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0490" windowHeight="7365"/>
  </bookViews>
  <sheets>
    <sheet name="DTM DATASET" sheetId="1" r:id="rId1"/>
    <sheet name="Summary" sheetId="2" r:id="rId2"/>
  </sheets>
  <definedNames>
    <definedName name="_xlnm._FilterDatabase" localSheetId="0" hidden="1">'DTM DATASET'!$A$4:$AW$3788</definedName>
  </definedNames>
  <calcPr calcId="145621"/>
</workbook>
</file>

<file path=xl/calcChain.xml><?xml version="1.0" encoding="utf-8"?>
<calcChain xmlns="http://schemas.openxmlformats.org/spreadsheetml/2006/main">
  <c r="B2" i="2" l="1"/>
  <c r="AU5" i="1" l="1"/>
  <c r="AV5" i="1"/>
  <c r="AW5" i="1"/>
  <c r="AU6" i="1"/>
  <c r="AV6" i="1"/>
  <c r="AW6" i="1"/>
  <c r="AU7" i="1"/>
  <c r="AV7" i="1"/>
  <c r="AW7" i="1"/>
  <c r="AU8" i="1"/>
  <c r="AV8" i="1"/>
  <c r="AW8" i="1"/>
  <c r="AU9" i="1"/>
  <c r="AV9" i="1"/>
  <c r="AW9" i="1"/>
  <c r="AU10" i="1"/>
  <c r="AV10" i="1"/>
  <c r="AW10" i="1"/>
  <c r="AU11" i="1"/>
  <c r="AV11" i="1"/>
  <c r="AW11" i="1"/>
  <c r="AU12" i="1"/>
  <c r="AV12" i="1"/>
  <c r="AW12" i="1"/>
  <c r="AU13" i="1"/>
  <c r="AV13" i="1"/>
  <c r="AW13" i="1"/>
  <c r="AU14" i="1"/>
  <c r="AV14" i="1"/>
  <c r="AW14" i="1"/>
  <c r="AU15" i="1"/>
  <c r="AV15" i="1"/>
  <c r="AW15" i="1"/>
  <c r="AU16" i="1"/>
  <c r="AV16" i="1"/>
  <c r="AW16" i="1"/>
  <c r="AU17" i="1"/>
  <c r="AV17" i="1"/>
  <c r="AW17" i="1"/>
  <c r="AU18" i="1"/>
  <c r="AV18" i="1"/>
  <c r="AW18" i="1"/>
  <c r="AU19" i="1"/>
  <c r="AV19" i="1"/>
  <c r="AW19" i="1"/>
  <c r="AU20" i="1"/>
  <c r="AV20" i="1"/>
  <c r="AW20" i="1"/>
  <c r="AU21" i="1"/>
  <c r="AV21" i="1"/>
  <c r="AW21" i="1"/>
  <c r="AU22" i="1"/>
  <c r="AV22" i="1"/>
  <c r="AW22" i="1"/>
  <c r="AU23" i="1"/>
  <c r="AV23" i="1"/>
  <c r="AW23" i="1"/>
  <c r="AU24" i="1"/>
  <c r="AV24" i="1"/>
  <c r="AW24" i="1"/>
  <c r="AU25" i="1"/>
  <c r="AV25" i="1"/>
  <c r="AW25" i="1"/>
  <c r="AU26" i="1"/>
  <c r="AV26" i="1"/>
  <c r="AW26" i="1"/>
  <c r="AU27" i="1"/>
  <c r="AV27" i="1"/>
  <c r="AW27" i="1"/>
  <c r="AU28" i="1"/>
  <c r="AV28" i="1"/>
  <c r="AW28" i="1"/>
  <c r="AU29" i="1"/>
  <c r="AV29" i="1"/>
  <c r="AW29" i="1"/>
  <c r="AU30" i="1"/>
  <c r="AV30" i="1"/>
  <c r="AW30" i="1"/>
  <c r="AU31" i="1"/>
  <c r="AV31" i="1"/>
  <c r="AW31" i="1"/>
  <c r="AU32" i="1"/>
  <c r="AV32" i="1"/>
  <c r="AW32" i="1"/>
  <c r="AU33" i="1"/>
  <c r="AV33" i="1"/>
  <c r="AW33" i="1"/>
  <c r="AU34" i="1"/>
  <c r="AV34" i="1"/>
  <c r="AW34" i="1"/>
  <c r="AU35" i="1"/>
  <c r="AV35" i="1"/>
  <c r="AW35" i="1"/>
  <c r="AU36" i="1"/>
  <c r="AV36" i="1"/>
  <c r="AW36" i="1"/>
  <c r="AU37" i="1"/>
  <c r="AV37" i="1"/>
  <c r="AW37" i="1"/>
  <c r="AU38" i="1"/>
  <c r="AV38" i="1"/>
  <c r="AW38" i="1"/>
  <c r="AU39" i="1"/>
  <c r="AV39" i="1"/>
  <c r="AW39" i="1"/>
  <c r="AU40" i="1"/>
  <c r="AV40" i="1"/>
  <c r="AW40" i="1"/>
  <c r="AU41" i="1"/>
  <c r="AV41" i="1"/>
  <c r="AW41" i="1"/>
  <c r="AU42" i="1"/>
  <c r="AV42" i="1"/>
  <c r="AW42" i="1"/>
  <c r="AU43" i="1"/>
  <c r="AV43" i="1"/>
  <c r="AW43" i="1"/>
  <c r="AU44" i="1"/>
  <c r="AV44" i="1"/>
  <c r="AW44" i="1"/>
  <c r="AU45" i="1"/>
  <c r="AV45" i="1"/>
  <c r="AW45" i="1"/>
  <c r="AU46" i="1"/>
  <c r="AV46" i="1"/>
  <c r="AW46" i="1"/>
  <c r="AU47" i="1"/>
  <c r="AV47" i="1"/>
  <c r="AW47" i="1"/>
  <c r="AU48" i="1"/>
  <c r="AV48" i="1"/>
  <c r="AW48" i="1"/>
  <c r="AU49" i="1"/>
  <c r="AV49" i="1"/>
  <c r="AW49" i="1"/>
  <c r="AU50" i="1"/>
  <c r="AV50" i="1"/>
  <c r="AW50" i="1"/>
  <c r="AU51" i="1"/>
  <c r="AV51" i="1"/>
  <c r="AW51" i="1"/>
  <c r="AU52" i="1"/>
  <c r="AV52" i="1"/>
  <c r="AW52" i="1"/>
  <c r="AU53" i="1"/>
  <c r="AV53" i="1"/>
  <c r="AW53" i="1"/>
  <c r="AU54" i="1"/>
  <c r="AV54" i="1"/>
  <c r="AW54" i="1"/>
  <c r="AU55" i="1"/>
  <c r="AV55" i="1"/>
  <c r="AW55" i="1"/>
  <c r="AU56" i="1"/>
  <c r="AV56" i="1"/>
  <c r="AW56" i="1"/>
  <c r="AU57" i="1"/>
  <c r="AV57" i="1"/>
  <c r="AW57" i="1"/>
  <c r="AU58" i="1"/>
  <c r="AV58" i="1"/>
  <c r="AW58" i="1"/>
  <c r="AU59" i="1"/>
  <c r="AV59" i="1"/>
  <c r="AW59" i="1"/>
  <c r="AU60" i="1"/>
  <c r="AV60" i="1"/>
  <c r="AW60" i="1"/>
  <c r="AU61" i="1"/>
  <c r="AV61" i="1"/>
  <c r="AW61" i="1"/>
  <c r="AU62" i="1"/>
  <c r="AV62" i="1"/>
  <c r="AW62" i="1"/>
  <c r="AU63" i="1"/>
  <c r="AV63" i="1"/>
  <c r="AW63" i="1"/>
  <c r="AU64" i="1"/>
  <c r="AV64" i="1"/>
  <c r="AW64" i="1"/>
  <c r="AU65" i="1"/>
  <c r="AV65" i="1"/>
  <c r="AW65" i="1"/>
  <c r="AU66" i="1"/>
  <c r="AV66" i="1"/>
  <c r="AW66" i="1"/>
  <c r="AU67" i="1"/>
  <c r="AV67" i="1"/>
  <c r="AW67" i="1"/>
  <c r="AU68" i="1"/>
  <c r="AV68" i="1"/>
  <c r="AW68" i="1"/>
  <c r="AU69" i="1"/>
  <c r="AV69" i="1"/>
  <c r="AW69" i="1"/>
  <c r="AU70" i="1"/>
  <c r="AV70" i="1"/>
  <c r="AW70" i="1"/>
  <c r="AU71" i="1"/>
  <c r="AV71" i="1"/>
  <c r="AW71" i="1"/>
  <c r="AU72" i="1"/>
  <c r="AV72" i="1"/>
  <c r="AW72" i="1"/>
  <c r="AU73" i="1"/>
  <c r="AV73" i="1"/>
  <c r="AW73" i="1"/>
  <c r="AU74" i="1"/>
  <c r="AV74" i="1"/>
  <c r="AW74" i="1"/>
  <c r="AU75" i="1"/>
  <c r="AV75" i="1"/>
  <c r="AW75" i="1"/>
  <c r="AU76" i="1"/>
  <c r="AV76" i="1"/>
  <c r="AW76" i="1"/>
  <c r="AU77" i="1"/>
  <c r="AV77" i="1"/>
  <c r="AW77" i="1"/>
  <c r="AU78" i="1"/>
  <c r="AV78" i="1"/>
  <c r="AW78" i="1"/>
  <c r="AU79" i="1"/>
  <c r="AV79" i="1"/>
  <c r="AW79" i="1"/>
  <c r="AU80" i="1"/>
  <c r="AV80" i="1"/>
  <c r="AW80" i="1"/>
  <c r="AU81" i="1"/>
  <c r="AV81" i="1"/>
  <c r="AW81" i="1"/>
  <c r="AU82" i="1"/>
  <c r="AV82" i="1"/>
  <c r="AW82" i="1"/>
  <c r="AU83" i="1"/>
  <c r="AV83" i="1"/>
  <c r="AW83" i="1"/>
  <c r="AU84" i="1"/>
  <c r="AV84" i="1"/>
  <c r="AW84" i="1"/>
  <c r="AU85" i="1"/>
  <c r="AV85" i="1"/>
  <c r="AW85" i="1"/>
  <c r="AU86" i="1"/>
  <c r="AV86" i="1"/>
  <c r="AW86" i="1"/>
  <c r="AU87" i="1"/>
  <c r="AV87" i="1"/>
  <c r="AW87" i="1"/>
  <c r="AU88" i="1"/>
  <c r="AV88" i="1"/>
  <c r="AW88" i="1"/>
  <c r="AU89" i="1"/>
  <c r="AV89" i="1"/>
  <c r="AW89" i="1"/>
  <c r="AU90" i="1"/>
  <c r="AV90" i="1"/>
  <c r="AW90" i="1"/>
  <c r="AU91" i="1"/>
  <c r="AV91" i="1"/>
  <c r="AW91" i="1"/>
  <c r="AU92" i="1"/>
  <c r="AV92" i="1"/>
  <c r="AW92" i="1"/>
  <c r="AU93" i="1"/>
  <c r="AV93" i="1"/>
  <c r="AW93" i="1"/>
  <c r="AU94" i="1"/>
  <c r="AV94" i="1"/>
  <c r="AW94" i="1"/>
  <c r="AU95" i="1"/>
  <c r="AV95" i="1"/>
  <c r="AW95" i="1"/>
  <c r="AU96" i="1"/>
  <c r="AV96" i="1"/>
  <c r="AW96" i="1"/>
  <c r="AU97" i="1"/>
  <c r="AV97" i="1"/>
  <c r="AW97" i="1"/>
  <c r="AU98" i="1"/>
  <c r="AV98" i="1"/>
  <c r="AW98" i="1"/>
  <c r="AU99" i="1"/>
  <c r="AV99" i="1"/>
  <c r="AW99" i="1"/>
  <c r="AU100" i="1"/>
  <c r="AV100" i="1"/>
  <c r="AW100" i="1"/>
  <c r="AU101" i="1"/>
  <c r="AV101" i="1"/>
  <c r="AW101" i="1"/>
  <c r="AU102" i="1"/>
  <c r="AV102" i="1"/>
  <c r="AW102" i="1"/>
  <c r="AU103" i="1"/>
  <c r="AV103" i="1"/>
  <c r="AW103" i="1"/>
  <c r="AU104" i="1"/>
  <c r="AV104" i="1"/>
  <c r="AW104" i="1"/>
  <c r="AU105" i="1"/>
  <c r="AV105" i="1"/>
  <c r="AW105" i="1"/>
  <c r="AU106" i="1"/>
  <c r="AV106" i="1"/>
  <c r="AW106" i="1"/>
  <c r="AU107" i="1"/>
  <c r="AV107" i="1"/>
  <c r="AW107" i="1"/>
  <c r="AU108" i="1"/>
  <c r="AV108" i="1"/>
  <c r="AW108" i="1"/>
  <c r="AU109" i="1"/>
  <c r="AV109" i="1"/>
  <c r="AW109" i="1"/>
  <c r="AU110" i="1"/>
  <c r="AV110" i="1"/>
  <c r="AW110" i="1"/>
  <c r="AU111" i="1"/>
  <c r="AV111" i="1"/>
  <c r="AW111" i="1"/>
  <c r="AU112" i="1"/>
  <c r="AV112" i="1"/>
  <c r="AW112" i="1"/>
  <c r="AU113" i="1"/>
  <c r="AV113" i="1"/>
  <c r="AW113" i="1"/>
  <c r="AU114" i="1"/>
  <c r="AV114" i="1"/>
  <c r="AW114" i="1"/>
  <c r="AU115" i="1"/>
  <c r="AV115" i="1"/>
  <c r="AW115" i="1"/>
  <c r="AU116" i="1"/>
  <c r="AV116" i="1"/>
  <c r="AW116" i="1"/>
  <c r="AU117" i="1"/>
  <c r="AV117" i="1"/>
  <c r="AW117" i="1"/>
  <c r="AU118" i="1"/>
  <c r="AV118" i="1"/>
  <c r="AW118" i="1"/>
  <c r="AU119" i="1"/>
  <c r="AV119" i="1"/>
  <c r="AW119" i="1"/>
  <c r="AU120" i="1"/>
  <c r="AV120" i="1"/>
  <c r="AW120" i="1"/>
  <c r="AU121" i="1"/>
  <c r="AV121" i="1"/>
  <c r="AW121" i="1"/>
  <c r="AU122" i="1"/>
  <c r="AV122" i="1"/>
  <c r="AW122" i="1"/>
  <c r="AU123" i="1"/>
  <c r="AV123" i="1"/>
  <c r="AW123" i="1"/>
  <c r="AU124" i="1"/>
  <c r="AV124" i="1"/>
  <c r="AW124" i="1"/>
  <c r="AU125" i="1"/>
  <c r="AV125" i="1"/>
  <c r="AW125" i="1"/>
  <c r="AU126" i="1"/>
  <c r="AV126" i="1"/>
  <c r="AW126" i="1"/>
  <c r="AU127" i="1"/>
  <c r="AV127" i="1"/>
  <c r="AW127" i="1"/>
  <c r="AU128" i="1"/>
  <c r="AV128" i="1"/>
  <c r="AW128" i="1"/>
  <c r="AU129" i="1"/>
  <c r="AV129" i="1"/>
  <c r="AW129" i="1"/>
  <c r="AU130" i="1"/>
  <c r="AV130" i="1"/>
  <c r="AW130" i="1"/>
  <c r="AU131" i="1"/>
  <c r="AV131" i="1"/>
  <c r="AW131" i="1"/>
  <c r="AU132" i="1"/>
  <c r="AV132" i="1"/>
  <c r="AW132" i="1"/>
  <c r="AU133" i="1"/>
  <c r="AV133" i="1"/>
  <c r="AW133" i="1"/>
  <c r="AU134" i="1"/>
  <c r="AV134" i="1"/>
  <c r="AW134" i="1"/>
  <c r="AU135" i="1"/>
  <c r="AV135" i="1"/>
  <c r="AW135" i="1"/>
  <c r="AU136" i="1"/>
  <c r="AV136" i="1"/>
  <c r="AW136" i="1"/>
  <c r="AU137" i="1"/>
  <c r="AV137" i="1"/>
  <c r="AW137" i="1"/>
  <c r="AU138" i="1"/>
  <c r="AV138" i="1"/>
  <c r="AW138" i="1"/>
  <c r="AU139" i="1"/>
  <c r="AV139" i="1"/>
  <c r="AW139" i="1"/>
  <c r="AU140" i="1"/>
  <c r="AV140" i="1"/>
  <c r="AW140" i="1"/>
  <c r="AU141" i="1"/>
  <c r="AV141" i="1"/>
  <c r="AW141" i="1"/>
  <c r="AU142" i="1"/>
  <c r="AV142" i="1"/>
  <c r="AW142" i="1"/>
  <c r="AU143" i="1"/>
  <c r="AV143" i="1"/>
  <c r="AW143" i="1"/>
  <c r="AU144" i="1"/>
  <c r="AV144" i="1"/>
  <c r="AW144" i="1"/>
  <c r="AU145" i="1"/>
  <c r="AV145" i="1"/>
  <c r="AW145" i="1"/>
  <c r="AU146" i="1"/>
  <c r="AV146" i="1"/>
  <c r="AW146" i="1"/>
  <c r="AU147" i="1"/>
  <c r="AV147" i="1"/>
  <c r="AW147" i="1"/>
  <c r="AU148" i="1"/>
  <c r="AV148" i="1"/>
  <c r="AW148" i="1"/>
  <c r="AU149" i="1"/>
  <c r="AV149" i="1"/>
  <c r="AW149" i="1"/>
  <c r="AU150" i="1"/>
  <c r="AV150" i="1"/>
  <c r="AW150" i="1"/>
  <c r="AU151" i="1"/>
  <c r="AV151" i="1"/>
  <c r="AW151" i="1"/>
  <c r="AU152" i="1"/>
  <c r="AV152" i="1"/>
  <c r="AW152" i="1"/>
  <c r="AU153" i="1"/>
  <c r="AV153" i="1"/>
  <c r="AW153" i="1"/>
  <c r="AU154" i="1"/>
  <c r="AV154" i="1"/>
  <c r="AW154" i="1"/>
  <c r="AU155" i="1"/>
  <c r="AV155" i="1"/>
  <c r="AW155" i="1"/>
  <c r="AU156" i="1"/>
  <c r="AV156" i="1"/>
  <c r="AW156" i="1"/>
  <c r="AU157" i="1"/>
  <c r="AV157" i="1"/>
  <c r="AW157" i="1"/>
  <c r="AU158" i="1"/>
  <c r="AV158" i="1"/>
  <c r="AW158" i="1"/>
  <c r="AU159" i="1"/>
  <c r="AV159" i="1"/>
  <c r="AW159" i="1"/>
  <c r="AU160" i="1"/>
  <c r="AV160" i="1"/>
  <c r="AW160" i="1"/>
  <c r="AU161" i="1"/>
  <c r="AV161" i="1"/>
  <c r="AW161" i="1"/>
  <c r="AU162" i="1"/>
  <c r="AV162" i="1"/>
  <c r="AW162" i="1"/>
  <c r="AU163" i="1"/>
  <c r="AV163" i="1"/>
  <c r="AW163" i="1"/>
  <c r="AU164" i="1"/>
  <c r="AV164" i="1"/>
  <c r="AW164" i="1"/>
  <c r="AU165" i="1"/>
  <c r="AV165" i="1"/>
  <c r="AW165" i="1"/>
  <c r="AU166" i="1"/>
  <c r="AV166" i="1"/>
  <c r="AW166" i="1"/>
  <c r="AU167" i="1"/>
  <c r="AV167" i="1"/>
  <c r="AW167" i="1"/>
  <c r="AU168" i="1"/>
  <c r="AV168" i="1"/>
  <c r="AW168" i="1"/>
  <c r="AU169" i="1"/>
  <c r="AV169" i="1"/>
  <c r="AW169" i="1"/>
  <c r="AU170" i="1"/>
  <c r="AV170" i="1"/>
  <c r="AW170" i="1"/>
  <c r="AU171" i="1"/>
  <c r="AV171" i="1"/>
  <c r="AW171" i="1"/>
  <c r="AU172" i="1"/>
  <c r="AV172" i="1"/>
  <c r="AW172" i="1"/>
  <c r="AU173" i="1"/>
  <c r="AV173" i="1"/>
  <c r="AW173" i="1"/>
  <c r="AU174" i="1"/>
  <c r="AV174" i="1"/>
  <c r="AW174" i="1"/>
  <c r="AU175" i="1"/>
  <c r="AV175" i="1"/>
  <c r="AW175" i="1"/>
  <c r="AU176" i="1"/>
  <c r="AV176" i="1"/>
  <c r="AW176" i="1"/>
  <c r="AU177" i="1"/>
  <c r="AV177" i="1"/>
  <c r="AW177" i="1"/>
  <c r="AU178" i="1"/>
  <c r="AV178" i="1"/>
  <c r="AW178" i="1"/>
  <c r="AU179" i="1"/>
  <c r="AV179" i="1"/>
  <c r="AW179" i="1"/>
  <c r="AU180" i="1"/>
  <c r="AV180" i="1"/>
  <c r="AW180" i="1"/>
  <c r="AU181" i="1"/>
  <c r="AV181" i="1"/>
  <c r="AW181" i="1"/>
  <c r="AU182" i="1"/>
  <c r="AV182" i="1"/>
  <c r="AW182" i="1"/>
  <c r="AU183" i="1"/>
  <c r="AV183" i="1"/>
  <c r="AW183" i="1"/>
  <c r="AU184" i="1"/>
  <c r="AV184" i="1"/>
  <c r="AW184" i="1"/>
  <c r="AU185" i="1"/>
  <c r="AV185" i="1"/>
  <c r="AW185" i="1"/>
  <c r="AU186" i="1"/>
  <c r="AV186" i="1"/>
  <c r="AW186" i="1"/>
  <c r="AU187" i="1"/>
  <c r="AV187" i="1"/>
  <c r="AW187" i="1"/>
  <c r="AU188" i="1"/>
  <c r="AV188" i="1"/>
  <c r="AW188" i="1"/>
  <c r="AU189" i="1"/>
  <c r="AV189" i="1"/>
  <c r="AW189" i="1"/>
  <c r="AU190" i="1"/>
  <c r="AV190" i="1"/>
  <c r="AW190" i="1"/>
  <c r="AU191" i="1"/>
  <c r="AV191" i="1"/>
  <c r="AW191" i="1"/>
  <c r="AU192" i="1"/>
  <c r="AV192" i="1"/>
  <c r="AW192" i="1"/>
  <c r="AU193" i="1"/>
  <c r="AV193" i="1"/>
  <c r="AW193" i="1"/>
  <c r="AU194" i="1"/>
  <c r="AV194" i="1"/>
  <c r="AW194" i="1"/>
  <c r="AU195" i="1"/>
  <c r="AV195" i="1"/>
  <c r="AW195" i="1"/>
  <c r="AU196" i="1"/>
  <c r="AV196" i="1"/>
  <c r="AW196" i="1"/>
  <c r="AU197" i="1"/>
  <c r="AV197" i="1"/>
  <c r="AW197" i="1"/>
  <c r="AU198" i="1"/>
  <c r="AV198" i="1"/>
  <c r="AW198" i="1"/>
  <c r="AU199" i="1"/>
  <c r="AV199" i="1"/>
  <c r="AW199" i="1"/>
  <c r="AU200" i="1"/>
  <c r="AV200" i="1"/>
  <c r="AW200" i="1"/>
  <c r="AU201" i="1"/>
  <c r="AV201" i="1"/>
  <c r="AW201" i="1"/>
  <c r="AU202" i="1"/>
  <c r="AV202" i="1"/>
  <c r="AW202" i="1"/>
  <c r="AU203" i="1"/>
  <c r="AV203" i="1"/>
  <c r="AW203" i="1"/>
  <c r="AU204" i="1"/>
  <c r="AV204" i="1"/>
  <c r="AW204" i="1"/>
  <c r="AU205" i="1"/>
  <c r="AV205" i="1"/>
  <c r="AW205" i="1"/>
  <c r="AU206" i="1"/>
  <c r="AV206" i="1"/>
  <c r="AW206" i="1"/>
  <c r="AU207" i="1"/>
  <c r="AV207" i="1"/>
  <c r="AW207" i="1"/>
  <c r="AU208" i="1"/>
  <c r="AV208" i="1"/>
  <c r="AW208" i="1"/>
  <c r="AU209" i="1"/>
  <c r="AV209" i="1"/>
  <c r="AW209" i="1"/>
  <c r="AU210" i="1"/>
  <c r="AV210" i="1"/>
  <c r="AW210" i="1"/>
  <c r="AU211" i="1"/>
  <c r="AV211" i="1"/>
  <c r="AW211" i="1"/>
  <c r="AU212" i="1"/>
  <c r="AV212" i="1"/>
  <c r="AW212" i="1"/>
  <c r="AU213" i="1"/>
  <c r="AV213" i="1"/>
  <c r="AW213" i="1"/>
  <c r="AU214" i="1"/>
  <c r="AV214" i="1"/>
  <c r="AW214" i="1"/>
  <c r="AU215" i="1"/>
  <c r="AV215" i="1"/>
  <c r="AW215" i="1"/>
  <c r="AU216" i="1"/>
  <c r="AV216" i="1"/>
  <c r="AW216" i="1"/>
  <c r="AU217" i="1"/>
  <c r="AV217" i="1"/>
  <c r="AW217" i="1"/>
  <c r="AU218" i="1"/>
  <c r="AV218" i="1"/>
  <c r="AW218" i="1"/>
  <c r="AU219" i="1"/>
  <c r="AV219" i="1"/>
  <c r="AW219" i="1"/>
  <c r="AU220" i="1"/>
  <c r="AV220" i="1"/>
  <c r="AW220" i="1"/>
  <c r="AU221" i="1"/>
  <c r="AV221" i="1"/>
  <c r="AW221" i="1"/>
  <c r="AU222" i="1"/>
  <c r="AV222" i="1"/>
  <c r="AW222" i="1"/>
  <c r="AU223" i="1"/>
  <c r="AV223" i="1"/>
  <c r="AW223" i="1"/>
  <c r="AU224" i="1"/>
  <c r="AV224" i="1"/>
  <c r="AW224" i="1"/>
  <c r="AU225" i="1"/>
  <c r="AV225" i="1"/>
  <c r="AW225" i="1"/>
  <c r="AU226" i="1"/>
  <c r="AV226" i="1"/>
  <c r="AW226" i="1"/>
  <c r="AU227" i="1"/>
  <c r="AV227" i="1"/>
  <c r="AW227" i="1"/>
  <c r="AU228" i="1"/>
  <c r="AV228" i="1"/>
  <c r="AW228" i="1"/>
  <c r="AU229" i="1"/>
  <c r="AV229" i="1"/>
  <c r="AW229" i="1"/>
  <c r="AU230" i="1"/>
  <c r="AV230" i="1"/>
  <c r="AW230" i="1"/>
  <c r="AU231" i="1"/>
  <c r="AV231" i="1"/>
  <c r="AW231" i="1"/>
  <c r="AU232" i="1"/>
  <c r="AV232" i="1"/>
  <c r="AW232" i="1"/>
  <c r="AU233" i="1"/>
  <c r="AV233" i="1"/>
  <c r="AW233" i="1"/>
  <c r="AU234" i="1"/>
  <c r="AV234" i="1"/>
  <c r="AW234" i="1"/>
  <c r="AU235" i="1"/>
  <c r="AV235" i="1"/>
  <c r="AW235" i="1"/>
  <c r="AU236" i="1"/>
  <c r="AV236" i="1"/>
  <c r="AW236" i="1"/>
  <c r="AU237" i="1"/>
  <c r="AV237" i="1"/>
  <c r="AW237" i="1"/>
  <c r="AU238" i="1"/>
  <c r="AV238" i="1"/>
  <c r="AW238" i="1"/>
  <c r="AU239" i="1"/>
  <c r="AV239" i="1"/>
  <c r="AW239" i="1"/>
  <c r="AU240" i="1"/>
  <c r="AV240" i="1"/>
  <c r="AW240" i="1"/>
  <c r="AU241" i="1"/>
  <c r="AV241" i="1"/>
  <c r="AW241" i="1"/>
  <c r="AU242" i="1"/>
  <c r="AV242" i="1"/>
  <c r="AW242" i="1"/>
  <c r="AU243" i="1"/>
  <c r="AV243" i="1"/>
  <c r="AW243" i="1"/>
  <c r="AU244" i="1"/>
  <c r="AV244" i="1"/>
  <c r="AW244" i="1"/>
  <c r="AU245" i="1"/>
  <c r="AV245" i="1"/>
  <c r="AW245" i="1"/>
  <c r="AU246" i="1"/>
  <c r="AV246" i="1"/>
  <c r="AW246" i="1"/>
  <c r="AU247" i="1"/>
  <c r="AV247" i="1"/>
  <c r="AW247" i="1"/>
  <c r="AU248" i="1"/>
  <c r="AV248" i="1"/>
  <c r="AW248" i="1"/>
  <c r="AU249" i="1"/>
  <c r="AV249" i="1"/>
  <c r="AW249" i="1"/>
  <c r="AU250" i="1"/>
  <c r="AV250" i="1"/>
  <c r="AW250" i="1"/>
  <c r="AU251" i="1"/>
  <c r="AV251" i="1"/>
  <c r="AW251" i="1"/>
  <c r="AU252" i="1"/>
  <c r="AV252" i="1"/>
  <c r="AW252" i="1"/>
  <c r="AU253" i="1"/>
  <c r="AV253" i="1"/>
  <c r="AW253" i="1"/>
  <c r="AU254" i="1"/>
  <c r="AV254" i="1"/>
  <c r="AW254" i="1"/>
  <c r="AU255" i="1"/>
  <c r="AV255" i="1"/>
  <c r="AW255" i="1"/>
  <c r="AU256" i="1"/>
  <c r="AV256" i="1"/>
  <c r="AW256" i="1"/>
  <c r="AU257" i="1"/>
  <c r="AV257" i="1"/>
  <c r="AW257" i="1"/>
  <c r="AU258" i="1"/>
  <c r="AV258" i="1"/>
  <c r="AW258" i="1"/>
  <c r="AU259" i="1"/>
  <c r="AV259" i="1"/>
  <c r="AW259" i="1"/>
  <c r="AU260" i="1"/>
  <c r="AV260" i="1"/>
  <c r="AW260" i="1"/>
  <c r="AU261" i="1"/>
  <c r="AV261" i="1"/>
  <c r="AW261" i="1"/>
  <c r="AU262" i="1"/>
  <c r="AV262" i="1"/>
  <c r="AW262" i="1"/>
  <c r="AU263" i="1"/>
  <c r="AV263" i="1"/>
  <c r="AW263" i="1"/>
  <c r="AU264" i="1"/>
  <c r="AV264" i="1"/>
  <c r="AW264" i="1"/>
  <c r="AU265" i="1"/>
  <c r="AV265" i="1"/>
  <c r="AW265" i="1"/>
  <c r="AU266" i="1"/>
  <c r="AV266" i="1"/>
  <c r="AW266" i="1"/>
  <c r="AU267" i="1"/>
  <c r="AV267" i="1"/>
  <c r="AW267" i="1"/>
  <c r="AU268" i="1"/>
  <c r="AV268" i="1"/>
  <c r="AW268" i="1"/>
  <c r="AU269" i="1"/>
  <c r="AV269" i="1"/>
  <c r="AW269" i="1"/>
  <c r="AU270" i="1"/>
  <c r="AV270" i="1"/>
  <c r="AW270" i="1"/>
  <c r="AU271" i="1"/>
  <c r="AV271" i="1"/>
  <c r="AW271" i="1"/>
  <c r="AU272" i="1"/>
  <c r="AV272" i="1"/>
  <c r="AW272" i="1"/>
  <c r="AU273" i="1"/>
  <c r="AV273" i="1"/>
  <c r="AW273" i="1"/>
  <c r="AU274" i="1"/>
  <c r="AV274" i="1"/>
  <c r="AW274" i="1"/>
  <c r="AU275" i="1"/>
  <c r="AV275" i="1"/>
  <c r="AW275" i="1"/>
  <c r="AU276" i="1"/>
  <c r="AV276" i="1"/>
  <c r="AW276" i="1"/>
  <c r="AU277" i="1"/>
  <c r="AV277" i="1"/>
  <c r="AW277" i="1"/>
  <c r="AU278" i="1"/>
  <c r="AV278" i="1"/>
  <c r="AW278" i="1"/>
  <c r="AU279" i="1"/>
  <c r="AV279" i="1"/>
  <c r="AW279" i="1"/>
  <c r="AU280" i="1"/>
  <c r="AV280" i="1"/>
  <c r="AW280" i="1"/>
  <c r="AU281" i="1"/>
  <c r="AV281" i="1"/>
  <c r="AW281" i="1"/>
  <c r="AU282" i="1"/>
  <c r="AV282" i="1"/>
  <c r="AW282" i="1"/>
  <c r="AU283" i="1"/>
  <c r="AV283" i="1"/>
  <c r="AW283" i="1"/>
  <c r="AU284" i="1"/>
  <c r="AV284" i="1"/>
  <c r="AW284" i="1"/>
  <c r="AU285" i="1"/>
  <c r="AV285" i="1"/>
  <c r="AW285" i="1"/>
  <c r="AU286" i="1"/>
  <c r="AV286" i="1"/>
  <c r="AW286" i="1"/>
  <c r="AU287" i="1"/>
  <c r="AV287" i="1"/>
  <c r="AW287" i="1"/>
  <c r="AU288" i="1"/>
  <c r="AV288" i="1"/>
  <c r="AW288" i="1"/>
  <c r="AU289" i="1"/>
  <c r="AV289" i="1"/>
  <c r="AW289" i="1"/>
  <c r="AU290" i="1"/>
  <c r="AV290" i="1"/>
  <c r="AW290" i="1"/>
  <c r="AU291" i="1"/>
  <c r="AV291" i="1"/>
  <c r="AW291" i="1"/>
  <c r="AU292" i="1"/>
  <c r="AV292" i="1"/>
  <c r="AW292" i="1"/>
  <c r="AU293" i="1"/>
  <c r="AV293" i="1"/>
  <c r="AW293" i="1"/>
  <c r="AU294" i="1"/>
  <c r="AV294" i="1"/>
  <c r="AW294" i="1"/>
  <c r="AU295" i="1"/>
  <c r="AV295" i="1"/>
  <c r="AW295" i="1"/>
  <c r="AU296" i="1"/>
  <c r="AV296" i="1"/>
  <c r="AW296" i="1"/>
  <c r="AU297" i="1"/>
  <c r="AV297" i="1"/>
  <c r="AW297" i="1"/>
  <c r="AU298" i="1"/>
  <c r="AV298" i="1"/>
  <c r="AW298" i="1"/>
  <c r="AU299" i="1"/>
  <c r="AV299" i="1"/>
  <c r="AW299" i="1"/>
  <c r="AU300" i="1"/>
  <c r="AV300" i="1"/>
  <c r="AW300" i="1"/>
  <c r="AU301" i="1"/>
  <c r="AV301" i="1"/>
  <c r="AW301" i="1"/>
  <c r="AU302" i="1"/>
  <c r="AV302" i="1"/>
  <c r="AW302" i="1"/>
  <c r="AU303" i="1"/>
  <c r="AV303" i="1"/>
  <c r="AW303" i="1"/>
  <c r="AU304" i="1"/>
  <c r="AV304" i="1"/>
  <c r="AW304" i="1"/>
  <c r="AU305" i="1"/>
  <c r="AV305" i="1"/>
  <c r="AW305" i="1"/>
  <c r="AU306" i="1"/>
  <c r="AV306" i="1"/>
  <c r="AW306" i="1"/>
  <c r="AU307" i="1"/>
  <c r="AV307" i="1"/>
  <c r="AW307" i="1"/>
  <c r="AU308" i="1"/>
  <c r="AV308" i="1"/>
  <c r="AW308" i="1"/>
  <c r="AU309" i="1"/>
  <c r="AV309" i="1"/>
  <c r="AW309" i="1"/>
  <c r="AU310" i="1"/>
  <c r="AV310" i="1"/>
  <c r="AW310" i="1"/>
  <c r="AU311" i="1"/>
  <c r="AV311" i="1"/>
  <c r="AW311" i="1"/>
  <c r="AU312" i="1"/>
  <c r="AV312" i="1"/>
  <c r="AW312" i="1"/>
  <c r="AU313" i="1"/>
  <c r="AV313" i="1"/>
  <c r="AW313" i="1"/>
  <c r="AU314" i="1"/>
  <c r="AV314" i="1"/>
  <c r="AW314" i="1"/>
  <c r="AU315" i="1"/>
  <c r="AV315" i="1"/>
  <c r="AW315" i="1"/>
  <c r="AU316" i="1"/>
  <c r="AV316" i="1"/>
  <c r="AW316" i="1"/>
  <c r="AU317" i="1"/>
  <c r="AV317" i="1"/>
  <c r="AW317" i="1"/>
  <c r="AU318" i="1"/>
  <c r="AV318" i="1"/>
  <c r="AW318" i="1"/>
  <c r="AU319" i="1"/>
  <c r="AV319" i="1"/>
  <c r="AW319" i="1"/>
  <c r="AU320" i="1"/>
  <c r="AV320" i="1"/>
  <c r="AW320" i="1"/>
  <c r="AU321" i="1"/>
  <c r="AV321" i="1"/>
  <c r="AW321" i="1"/>
  <c r="AU322" i="1"/>
  <c r="AV322" i="1"/>
  <c r="AW322" i="1"/>
  <c r="AU323" i="1"/>
  <c r="AV323" i="1"/>
  <c r="AW323" i="1"/>
  <c r="AU324" i="1"/>
  <c r="AV324" i="1"/>
  <c r="AW324" i="1"/>
  <c r="AU325" i="1"/>
  <c r="AV325" i="1"/>
  <c r="AW325" i="1"/>
  <c r="AU326" i="1"/>
  <c r="AV326" i="1"/>
  <c r="AW326" i="1"/>
  <c r="AU327" i="1"/>
  <c r="AV327" i="1"/>
  <c r="AW327" i="1"/>
  <c r="AU328" i="1"/>
  <c r="AV328" i="1"/>
  <c r="AW328" i="1"/>
  <c r="AU329" i="1"/>
  <c r="AV329" i="1"/>
  <c r="AW329" i="1"/>
  <c r="AU330" i="1"/>
  <c r="AV330" i="1"/>
  <c r="AW330" i="1"/>
  <c r="AU331" i="1"/>
  <c r="AV331" i="1"/>
  <c r="AW331" i="1"/>
  <c r="AU332" i="1"/>
  <c r="AV332" i="1"/>
  <c r="AW332" i="1"/>
  <c r="AU333" i="1"/>
  <c r="AV333" i="1"/>
  <c r="AW333" i="1"/>
  <c r="AU334" i="1"/>
  <c r="AV334" i="1"/>
  <c r="AW334" i="1"/>
  <c r="AU335" i="1"/>
  <c r="AV335" i="1"/>
  <c r="AW335" i="1"/>
  <c r="AU336" i="1"/>
  <c r="AV336" i="1"/>
  <c r="AW336" i="1"/>
  <c r="AU337" i="1"/>
  <c r="AV337" i="1"/>
  <c r="AW337" i="1"/>
  <c r="AU338" i="1"/>
  <c r="AV338" i="1"/>
  <c r="AW338" i="1"/>
  <c r="AU339" i="1"/>
  <c r="AV339" i="1"/>
  <c r="AW339" i="1"/>
  <c r="AU340" i="1"/>
  <c r="AV340" i="1"/>
  <c r="AW340" i="1"/>
  <c r="AU341" i="1"/>
  <c r="AV341" i="1"/>
  <c r="AW341" i="1"/>
  <c r="AU342" i="1"/>
  <c r="AV342" i="1"/>
  <c r="AW342" i="1"/>
  <c r="AU343" i="1"/>
  <c r="AV343" i="1"/>
  <c r="AW343" i="1"/>
  <c r="AU344" i="1"/>
  <c r="AV344" i="1"/>
  <c r="AW344" i="1"/>
  <c r="AU345" i="1"/>
  <c r="AV345" i="1"/>
  <c r="AW345" i="1"/>
  <c r="AU346" i="1"/>
  <c r="AV346" i="1"/>
  <c r="AW346" i="1"/>
  <c r="AU347" i="1"/>
  <c r="AV347" i="1"/>
  <c r="AW347" i="1"/>
  <c r="AU348" i="1"/>
  <c r="AV348" i="1"/>
  <c r="AW348" i="1"/>
  <c r="AU349" i="1"/>
  <c r="AV349" i="1"/>
  <c r="AW349" i="1"/>
  <c r="AU350" i="1"/>
  <c r="AV350" i="1"/>
  <c r="AW350" i="1"/>
  <c r="AU351" i="1"/>
  <c r="AV351" i="1"/>
  <c r="AW351" i="1"/>
  <c r="AU352" i="1"/>
  <c r="AV352" i="1"/>
  <c r="AW352" i="1"/>
  <c r="AU353" i="1"/>
  <c r="AV353" i="1"/>
  <c r="AW353" i="1"/>
  <c r="AU354" i="1"/>
  <c r="AV354" i="1"/>
  <c r="AW354" i="1"/>
  <c r="AU355" i="1"/>
  <c r="AV355" i="1"/>
  <c r="AW355" i="1"/>
  <c r="AU356" i="1"/>
  <c r="AV356" i="1"/>
  <c r="AW356" i="1"/>
  <c r="AU357" i="1"/>
  <c r="AV357" i="1"/>
  <c r="AW357" i="1"/>
  <c r="AU358" i="1"/>
  <c r="AV358" i="1"/>
  <c r="AW358" i="1"/>
  <c r="AU359" i="1"/>
  <c r="AV359" i="1"/>
  <c r="AW359" i="1"/>
  <c r="AU360" i="1"/>
  <c r="AV360" i="1"/>
  <c r="AW360" i="1"/>
  <c r="AU361" i="1"/>
  <c r="AV361" i="1"/>
  <c r="AW361" i="1"/>
  <c r="AU362" i="1"/>
  <c r="AV362" i="1"/>
  <c r="AW362" i="1"/>
  <c r="AU363" i="1"/>
  <c r="AV363" i="1"/>
  <c r="AW363" i="1"/>
  <c r="AU364" i="1"/>
  <c r="AV364" i="1"/>
  <c r="AW364" i="1"/>
  <c r="AU365" i="1"/>
  <c r="AV365" i="1"/>
  <c r="AW365" i="1"/>
  <c r="AU366" i="1"/>
  <c r="AV366" i="1"/>
  <c r="AW366" i="1"/>
  <c r="AU367" i="1"/>
  <c r="AV367" i="1"/>
  <c r="AW367" i="1"/>
  <c r="AU368" i="1"/>
  <c r="AV368" i="1"/>
  <c r="AW368" i="1"/>
  <c r="AU369" i="1"/>
  <c r="AV369" i="1"/>
  <c r="AW369" i="1"/>
  <c r="AU370" i="1"/>
  <c r="AV370" i="1"/>
  <c r="AW370" i="1"/>
  <c r="AU371" i="1"/>
  <c r="AV371" i="1"/>
  <c r="AW371" i="1"/>
  <c r="AU372" i="1"/>
  <c r="AV372" i="1"/>
  <c r="AW372" i="1"/>
  <c r="AU373" i="1"/>
  <c r="AV373" i="1"/>
  <c r="AW373" i="1"/>
  <c r="AU374" i="1"/>
  <c r="AV374" i="1"/>
  <c r="AW374" i="1"/>
  <c r="AU375" i="1"/>
  <c r="AV375" i="1"/>
  <c r="AW375" i="1"/>
  <c r="AU376" i="1"/>
  <c r="AV376" i="1"/>
  <c r="AW376" i="1"/>
  <c r="AU377" i="1"/>
  <c r="AV377" i="1"/>
  <c r="AW377" i="1"/>
  <c r="AU378" i="1"/>
  <c r="AV378" i="1"/>
  <c r="AW378" i="1"/>
  <c r="AU379" i="1"/>
  <c r="AV379" i="1"/>
  <c r="AW379" i="1"/>
  <c r="AU380" i="1"/>
  <c r="AV380" i="1"/>
  <c r="AW380" i="1"/>
  <c r="AU381" i="1"/>
  <c r="AV381" i="1"/>
  <c r="AW381" i="1"/>
  <c r="AU382" i="1"/>
  <c r="AV382" i="1"/>
  <c r="AW382" i="1"/>
  <c r="AU383" i="1"/>
  <c r="AV383" i="1"/>
  <c r="AW383" i="1"/>
  <c r="AU384" i="1"/>
  <c r="AV384" i="1"/>
  <c r="AW384" i="1"/>
  <c r="AU385" i="1"/>
  <c r="AV385" i="1"/>
  <c r="AW385" i="1"/>
  <c r="AU386" i="1"/>
  <c r="AV386" i="1"/>
  <c r="AW386" i="1"/>
  <c r="AU387" i="1"/>
  <c r="AV387" i="1"/>
  <c r="AW387" i="1"/>
  <c r="AU388" i="1"/>
  <c r="AV388" i="1"/>
  <c r="AW388" i="1"/>
  <c r="AU389" i="1"/>
  <c r="AV389" i="1"/>
  <c r="AW389" i="1"/>
  <c r="AU390" i="1"/>
  <c r="AV390" i="1"/>
  <c r="AW390" i="1"/>
  <c r="AU391" i="1"/>
  <c r="AV391" i="1"/>
  <c r="AW391" i="1"/>
  <c r="AU392" i="1"/>
  <c r="AV392" i="1"/>
  <c r="AW392" i="1"/>
  <c r="AU393" i="1"/>
  <c r="AV393" i="1"/>
  <c r="AW393" i="1"/>
  <c r="AU394" i="1"/>
  <c r="AV394" i="1"/>
  <c r="AW394" i="1"/>
  <c r="AU395" i="1"/>
  <c r="AV395" i="1"/>
  <c r="AW395" i="1"/>
  <c r="AU396" i="1"/>
  <c r="AV396" i="1"/>
  <c r="AW396" i="1"/>
  <c r="AU397" i="1"/>
  <c r="AV397" i="1"/>
  <c r="AW397" i="1"/>
  <c r="AU398" i="1"/>
  <c r="AV398" i="1"/>
  <c r="AW398" i="1"/>
  <c r="AU399" i="1"/>
  <c r="AV399" i="1"/>
  <c r="AW399" i="1"/>
  <c r="AU400" i="1"/>
  <c r="AV400" i="1"/>
  <c r="AW400" i="1"/>
  <c r="AU401" i="1"/>
  <c r="AV401" i="1"/>
  <c r="AW401" i="1"/>
  <c r="AU402" i="1"/>
  <c r="AV402" i="1"/>
  <c r="AW402" i="1"/>
  <c r="AU403" i="1"/>
  <c r="AV403" i="1"/>
  <c r="AW403" i="1"/>
  <c r="AU404" i="1"/>
  <c r="AV404" i="1"/>
  <c r="AW404" i="1"/>
  <c r="AU405" i="1"/>
  <c r="AV405" i="1"/>
  <c r="AW405" i="1"/>
  <c r="AU406" i="1"/>
  <c r="AV406" i="1"/>
  <c r="AW406" i="1"/>
  <c r="AU407" i="1"/>
  <c r="AV407" i="1"/>
  <c r="AW407" i="1"/>
  <c r="AU408" i="1"/>
  <c r="AV408" i="1"/>
  <c r="AW408" i="1"/>
  <c r="AU409" i="1"/>
  <c r="AV409" i="1"/>
  <c r="AW409" i="1"/>
  <c r="AU410" i="1"/>
  <c r="AV410" i="1"/>
  <c r="AW410" i="1"/>
  <c r="AU411" i="1"/>
  <c r="AV411" i="1"/>
  <c r="AW411" i="1"/>
  <c r="AU412" i="1"/>
  <c r="AV412" i="1"/>
  <c r="AW412" i="1"/>
  <c r="AU413" i="1"/>
  <c r="AV413" i="1"/>
  <c r="AW413" i="1"/>
  <c r="AU414" i="1"/>
  <c r="AV414" i="1"/>
  <c r="AW414" i="1"/>
  <c r="AU415" i="1"/>
  <c r="AV415" i="1"/>
  <c r="AW415" i="1"/>
  <c r="AU416" i="1"/>
  <c r="AV416" i="1"/>
  <c r="AW416" i="1"/>
  <c r="AU417" i="1"/>
  <c r="AV417" i="1"/>
  <c r="AW417" i="1"/>
  <c r="AU418" i="1"/>
  <c r="AV418" i="1"/>
  <c r="AW418" i="1"/>
  <c r="AU419" i="1"/>
  <c r="AV419" i="1"/>
  <c r="AW419" i="1"/>
  <c r="AU420" i="1"/>
  <c r="AV420" i="1"/>
  <c r="AW420" i="1"/>
  <c r="AU421" i="1"/>
  <c r="AV421" i="1"/>
  <c r="AW421" i="1"/>
  <c r="AU422" i="1"/>
  <c r="AV422" i="1"/>
  <c r="AW422" i="1"/>
  <c r="AU423" i="1"/>
  <c r="AV423" i="1"/>
  <c r="AW423" i="1"/>
  <c r="AU424" i="1"/>
  <c r="AV424" i="1"/>
  <c r="AW424" i="1"/>
  <c r="AU425" i="1"/>
  <c r="AV425" i="1"/>
  <c r="AW425" i="1"/>
  <c r="AU426" i="1"/>
  <c r="AV426" i="1"/>
  <c r="AW426" i="1"/>
  <c r="AU427" i="1"/>
  <c r="AV427" i="1"/>
  <c r="AW427" i="1"/>
  <c r="AU428" i="1"/>
  <c r="AV428" i="1"/>
  <c r="AW428" i="1"/>
  <c r="AU429" i="1"/>
  <c r="AV429" i="1"/>
  <c r="AW429" i="1"/>
  <c r="AU430" i="1"/>
  <c r="AV430" i="1"/>
  <c r="AW430" i="1"/>
  <c r="AU431" i="1"/>
  <c r="AV431" i="1"/>
  <c r="AW431" i="1"/>
  <c r="AU432" i="1"/>
  <c r="AV432" i="1"/>
  <c r="AW432" i="1"/>
  <c r="AU433" i="1"/>
  <c r="AV433" i="1"/>
  <c r="AW433" i="1"/>
  <c r="AU434" i="1"/>
  <c r="AV434" i="1"/>
  <c r="AW434" i="1"/>
  <c r="AU435" i="1"/>
  <c r="AV435" i="1"/>
  <c r="AW435" i="1"/>
  <c r="AU436" i="1"/>
  <c r="AV436" i="1"/>
  <c r="AW436" i="1"/>
  <c r="AU437" i="1"/>
  <c r="AV437" i="1"/>
  <c r="AW437" i="1"/>
  <c r="AU438" i="1"/>
  <c r="AV438" i="1"/>
  <c r="AW438" i="1"/>
  <c r="AU439" i="1"/>
  <c r="AV439" i="1"/>
  <c r="AW439" i="1"/>
  <c r="AU440" i="1"/>
  <c r="AV440" i="1"/>
  <c r="AW440" i="1"/>
  <c r="AU441" i="1"/>
  <c r="AV441" i="1"/>
  <c r="AW441" i="1"/>
  <c r="AU442" i="1"/>
  <c r="AV442" i="1"/>
  <c r="AW442" i="1"/>
  <c r="AU443" i="1"/>
  <c r="AV443" i="1"/>
  <c r="AW443" i="1"/>
  <c r="AU444" i="1"/>
  <c r="AV444" i="1"/>
  <c r="AW444" i="1"/>
  <c r="AU445" i="1"/>
  <c r="AV445" i="1"/>
  <c r="AW445" i="1"/>
  <c r="AU446" i="1"/>
  <c r="AV446" i="1"/>
  <c r="AW446" i="1"/>
  <c r="AU447" i="1"/>
  <c r="AV447" i="1"/>
  <c r="AW447" i="1"/>
  <c r="AU448" i="1"/>
  <c r="AV448" i="1"/>
  <c r="AW448" i="1"/>
  <c r="AU449" i="1"/>
  <c r="AV449" i="1"/>
  <c r="AW449" i="1"/>
  <c r="AU450" i="1"/>
  <c r="AV450" i="1"/>
  <c r="AW450" i="1"/>
  <c r="AU451" i="1"/>
  <c r="AV451" i="1"/>
  <c r="AW451" i="1"/>
  <c r="AU452" i="1"/>
  <c r="AV452" i="1"/>
  <c r="AW452" i="1"/>
  <c r="AU453" i="1"/>
  <c r="AV453" i="1"/>
  <c r="AW453" i="1"/>
  <c r="AU454" i="1"/>
  <c r="AV454" i="1"/>
  <c r="AW454" i="1"/>
  <c r="AU455" i="1"/>
  <c r="AV455" i="1"/>
  <c r="AW455" i="1"/>
  <c r="AU456" i="1"/>
  <c r="AV456" i="1"/>
  <c r="AW456" i="1"/>
  <c r="AU457" i="1"/>
  <c r="AV457" i="1"/>
  <c r="AW457" i="1"/>
  <c r="AU458" i="1"/>
  <c r="AV458" i="1"/>
  <c r="AW458" i="1"/>
  <c r="AU459" i="1"/>
  <c r="AV459" i="1"/>
  <c r="AW459" i="1"/>
  <c r="AU460" i="1"/>
  <c r="AV460" i="1"/>
  <c r="AW460" i="1"/>
  <c r="AU461" i="1"/>
  <c r="AV461" i="1"/>
  <c r="AW461" i="1"/>
  <c r="AU462" i="1"/>
  <c r="AV462" i="1"/>
  <c r="AW462" i="1"/>
  <c r="AU463" i="1"/>
  <c r="AV463" i="1"/>
  <c r="AW463" i="1"/>
  <c r="AU464" i="1"/>
  <c r="AV464" i="1"/>
  <c r="AW464" i="1"/>
  <c r="AU465" i="1"/>
  <c r="AV465" i="1"/>
  <c r="AW465" i="1"/>
  <c r="AU466" i="1"/>
  <c r="AV466" i="1"/>
  <c r="AW466" i="1"/>
  <c r="AU467" i="1"/>
  <c r="AV467" i="1"/>
  <c r="AW467" i="1"/>
  <c r="AU468" i="1"/>
  <c r="AV468" i="1"/>
  <c r="AW468" i="1"/>
  <c r="AU469" i="1"/>
  <c r="AV469" i="1"/>
  <c r="AW469" i="1"/>
  <c r="AU470" i="1"/>
  <c r="AV470" i="1"/>
  <c r="AW470" i="1"/>
  <c r="AU471" i="1"/>
  <c r="AV471" i="1"/>
  <c r="AW471" i="1"/>
  <c r="AU472" i="1"/>
  <c r="AV472" i="1"/>
  <c r="AW472" i="1"/>
  <c r="AU473" i="1"/>
  <c r="AV473" i="1"/>
  <c r="AW473" i="1"/>
  <c r="AU474" i="1"/>
  <c r="AV474" i="1"/>
  <c r="AW474" i="1"/>
  <c r="AU475" i="1"/>
  <c r="AV475" i="1"/>
  <c r="AW475" i="1"/>
  <c r="AU476" i="1"/>
  <c r="AV476" i="1"/>
  <c r="AW476" i="1"/>
  <c r="AU477" i="1"/>
  <c r="AV477" i="1"/>
  <c r="AW477" i="1"/>
  <c r="AU478" i="1"/>
  <c r="AV478" i="1"/>
  <c r="AW478" i="1"/>
  <c r="AU479" i="1"/>
  <c r="AV479" i="1"/>
  <c r="AW479" i="1"/>
  <c r="AU480" i="1"/>
  <c r="AV480" i="1"/>
  <c r="AW480" i="1"/>
  <c r="AU481" i="1"/>
  <c r="AV481" i="1"/>
  <c r="AW481" i="1"/>
  <c r="AU482" i="1"/>
  <c r="AV482" i="1"/>
  <c r="AW482" i="1"/>
  <c r="AU483" i="1"/>
  <c r="AV483" i="1"/>
  <c r="AW483" i="1"/>
  <c r="AU484" i="1"/>
  <c r="AV484" i="1"/>
  <c r="AW484" i="1"/>
  <c r="AU485" i="1"/>
  <c r="AV485" i="1"/>
  <c r="AW485" i="1"/>
  <c r="AU486" i="1"/>
  <c r="AV486" i="1"/>
  <c r="AW486" i="1"/>
  <c r="AU487" i="1"/>
  <c r="AV487" i="1"/>
  <c r="AW487" i="1"/>
  <c r="AU488" i="1"/>
  <c r="AV488" i="1"/>
  <c r="AW488" i="1"/>
  <c r="AU489" i="1"/>
  <c r="AV489" i="1"/>
  <c r="AW489" i="1"/>
  <c r="AU490" i="1"/>
  <c r="AV490" i="1"/>
  <c r="AW490" i="1"/>
  <c r="AU491" i="1"/>
  <c r="AV491" i="1"/>
  <c r="AW491" i="1"/>
  <c r="AU492" i="1"/>
  <c r="AV492" i="1"/>
  <c r="AW492" i="1"/>
  <c r="AU493" i="1"/>
  <c r="AV493" i="1"/>
  <c r="AW493" i="1"/>
  <c r="AU494" i="1"/>
  <c r="AV494" i="1"/>
  <c r="AW494" i="1"/>
  <c r="AU495" i="1"/>
  <c r="AV495" i="1"/>
  <c r="AW495" i="1"/>
  <c r="AU496" i="1"/>
  <c r="AV496" i="1"/>
  <c r="AW496" i="1"/>
  <c r="AU497" i="1"/>
  <c r="AV497" i="1"/>
  <c r="AW497" i="1"/>
  <c r="AU498" i="1"/>
  <c r="AV498" i="1"/>
  <c r="AW498" i="1"/>
  <c r="AU499" i="1"/>
  <c r="AV499" i="1"/>
  <c r="AW499" i="1"/>
  <c r="AU500" i="1"/>
  <c r="AV500" i="1"/>
  <c r="AW500" i="1"/>
  <c r="AU501" i="1"/>
  <c r="AV501" i="1"/>
  <c r="AW501" i="1"/>
  <c r="AU502" i="1"/>
  <c r="AV502" i="1"/>
  <c r="AW502" i="1"/>
  <c r="AU503" i="1"/>
  <c r="AV503" i="1"/>
  <c r="AW503" i="1"/>
  <c r="AU504" i="1"/>
  <c r="AV504" i="1"/>
  <c r="AW504" i="1"/>
  <c r="AU505" i="1"/>
  <c r="AV505" i="1"/>
  <c r="AW505" i="1"/>
  <c r="AU506" i="1"/>
  <c r="AV506" i="1"/>
  <c r="AW506" i="1"/>
  <c r="AU507" i="1"/>
  <c r="AV507" i="1"/>
  <c r="AW507" i="1"/>
  <c r="AU508" i="1"/>
  <c r="AV508" i="1"/>
  <c r="AW508" i="1"/>
  <c r="AU509" i="1"/>
  <c r="AV509" i="1"/>
  <c r="AW509" i="1"/>
  <c r="AU510" i="1"/>
  <c r="AV510" i="1"/>
  <c r="AW510" i="1"/>
  <c r="AU511" i="1"/>
  <c r="AV511" i="1"/>
  <c r="AW511" i="1"/>
  <c r="AU512" i="1"/>
  <c r="AV512" i="1"/>
  <c r="AW512" i="1"/>
  <c r="AU513" i="1"/>
  <c r="AV513" i="1"/>
  <c r="AW513" i="1"/>
  <c r="AU514" i="1"/>
  <c r="AV514" i="1"/>
  <c r="AW514" i="1"/>
  <c r="AU515" i="1"/>
  <c r="AV515" i="1"/>
  <c r="AW515" i="1"/>
  <c r="AU516" i="1"/>
  <c r="AV516" i="1"/>
  <c r="AW516" i="1"/>
  <c r="AU517" i="1"/>
  <c r="AV517" i="1"/>
  <c r="AW517" i="1"/>
  <c r="AU518" i="1"/>
  <c r="AV518" i="1"/>
  <c r="AW518" i="1"/>
  <c r="AU519" i="1"/>
  <c r="AV519" i="1"/>
  <c r="AW519" i="1"/>
  <c r="AU520" i="1"/>
  <c r="AV520" i="1"/>
  <c r="AW520" i="1"/>
  <c r="AU521" i="1"/>
  <c r="AV521" i="1"/>
  <c r="AW521" i="1"/>
  <c r="AU522" i="1"/>
  <c r="AV522" i="1"/>
  <c r="AW522" i="1"/>
  <c r="AU523" i="1"/>
  <c r="AV523" i="1"/>
  <c r="AW523" i="1"/>
  <c r="AU524" i="1"/>
  <c r="AV524" i="1"/>
  <c r="AW524" i="1"/>
  <c r="AU525" i="1"/>
  <c r="AV525" i="1"/>
  <c r="AW525" i="1"/>
  <c r="AU526" i="1"/>
  <c r="AV526" i="1"/>
  <c r="AW526" i="1"/>
  <c r="AU527" i="1"/>
  <c r="AV527" i="1"/>
  <c r="AW527" i="1"/>
  <c r="AU528" i="1"/>
  <c r="AV528" i="1"/>
  <c r="AW528" i="1"/>
  <c r="AU529" i="1"/>
  <c r="AV529" i="1"/>
  <c r="AW529" i="1"/>
  <c r="AU530" i="1"/>
  <c r="AV530" i="1"/>
  <c r="AW530" i="1"/>
  <c r="AU531" i="1"/>
  <c r="AV531" i="1"/>
  <c r="AW531" i="1"/>
  <c r="AU532" i="1"/>
  <c r="AV532" i="1"/>
  <c r="AW532" i="1"/>
  <c r="AU533" i="1"/>
  <c r="AV533" i="1"/>
  <c r="AW533" i="1"/>
  <c r="AU534" i="1"/>
  <c r="AV534" i="1"/>
  <c r="AW534" i="1"/>
  <c r="AU535" i="1"/>
  <c r="AV535" i="1"/>
  <c r="AW535" i="1"/>
  <c r="AU536" i="1"/>
  <c r="AV536" i="1"/>
  <c r="AW536" i="1"/>
  <c r="AU537" i="1"/>
  <c r="AV537" i="1"/>
  <c r="AW537" i="1"/>
  <c r="AU538" i="1"/>
  <c r="AV538" i="1"/>
  <c r="AW538" i="1"/>
  <c r="AU539" i="1"/>
  <c r="AV539" i="1"/>
  <c r="AW539" i="1"/>
  <c r="AU540" i="1"/>
  <c r="AV540" i="1"/>
  <c r="AW540" i="1"/>
  <c r="AU541" i="1"/>
  <c r="AV541" i="1"/>
  <c r="AW541" i="1"/>
  <c r="AU542" i="1"/>
  <c r="AV542" i="1"/>
  <c r="AW542" i="1"/>
  <c r="AU543" i="1"/>
  <c r="AV543" i="1"/>
  <c r="AW543" i="1"/>
  <c r="AU544" i="1"/>
  <c r="AV544" i="1"/>
  <c r="AW544" i="1"/>
  <c r="AU545" i="1"/>
  <c r="AV545" i="1"/>
  <c r="AW545" i="1"/>
  <c r="AU546" i="1"/>
  <c r="AV546" i="1"/>
  <c r="AW546" i="1"/>
  <c r="AU547" i="1"/>
  <c r="AV547" i="1"/>
  <c r="AW547" i="1"/>
  <c r="AU548" i="1"/>
  <c r="AV548" i="1"/>
  <c r="AW548" i="1"/>
  <c r="AU549" i="1"/>
  <c r="AV549" i="1"/>
  <c r="AW549" i="1"/>
  <c r="AU550" i="1"/>
  <c r="AV550" i="1"/>
  <c r="AW550" i="1"/>
  <c r="AU551" i="1"/>
  <c r="AV551" i="1"/>
  <c r="AW551" i="1"/>
  <c r="AU552" i="1"/>
  <c r="AV552" i="1"/>
  <c r="AW552" i="1"/>
  <c r="AU553" i="1"/>
  <c r="AV553" i="1"/>
  <c r="AW553" i="1"/>
  <c r="AU554" i="1"/>
  <c r="AV554" i="1"/>
  <c r="AW554" i="1"/>
  <c r="AU555" i="1"/>
  <c r="AV555" i="1"/>
  <c r="AW555" i="1"/>
  <c r="AU556" i="1"/>
  <c r="AV556" i="1"/>
  <c r="AW556" i="1"/>
  <c r="AU557" i="1"/>
  <c r="AV557" i="1"/>
  <c r="AW557" i="1"/>
  <c r="AU558" i="1"/>
  <c r="AV558" i="1"/>
  <c r="AW558" i="1"/>
  <c r="AU559" i="1"/>
  <c r="AV559" i="1"/>
  <c r="AW559" i="1"/>
  <c r="AU560" i="1"/>
  <c r="AV560" i="1"/>
  <c r="AW560" i="1"/>
  <c r="AU561" i="1"/>
  <c r="AV561" i="1"/>
  <c r="AW561" i="1"/>
  <c r="AU562" i="1"/>
  <c r="AV562" i="1"/>
  <c r="AW562" i="1"/>
  <c r="AU563" i="1"/>
  <c r="AV563" i="1"/>
  <c r="AW563" i="1"/>
  <c r="AU564" i="1"/>
  <c r="AV564" i="1"/>
  <c r="AW564" i="1"/>
  <c r="AU565" i="1"/>
  <c r="AV565" i="1"/>
  <c r="AW565" i="1"/>
  <c r="AU566" i="1"/>
  <c r="AV566" i="1"/>
  <c r="AW566" i="1"/>
  <c r="AU567" i="1"/>
  <c r="AV567" i="1"/>
  <c r="AW567" i="1"/>
  <c r="AU568" i="1"/>
  <c r="AV568" i="1"/>
  <c r="AW568" i="1"/>
  <c r="AU569" i="1"/>
  <c r="AV569" i="1"/>
  <c r="AW569" i="1"/>
  <c r="AU570" i="1"/>
  <c r="AV570" i="1"/>
  <c r="AW570" i="1"/>
  <c r="AU571" i="1"/>
  <c r="AV571" i="1"/>
  <c r="AW571" i="1"/>
  <c r="AU572" i="1"/>
  <c r="AV572" i="1"/>
  <c r="AW572" i="1"/>
  <c r="AU573" i="1"/>
  <c r="AV573" i="1"/>
  <c r="AW573" i="1"/>
  <c r="AU574" i="1"/>
  <c r="AV574" i="1"/>
  <c r="AW574" i="1"/>
  <c r="AU575" i="1"/>
  <c r="AV575" i="1"/>
  <c r="AW575" i="1"/>
  <c r="AU576" i="1"/>
  <c r="AV576" i="1"/>
  <c r="AW576" i="1"/>
  <c r="AU577" i="1"/>
  <c r="AV577" i="1"/>
  <c r="AW577" i="1"/>
  <c r="AU578" i="1"/>
  <c r="AV578" i="1"/>
  <c r="AW578" i="1"/>
  <c r="AU579" i="1"/>
  <c r="AV579" i="1"/>
  <c r="AW579" i="1"/>
  <c r="AU580" i="1"/>
  <c r="AV580" i="1"/>
  <c r="AW580" i="1"/>
  <c r="AU581" i="1"/>
  <c r="AV581" i="1"/>
  <c r="AW581" i="1"/>
  <c r="AU582" i="1"/>
  <c r="AV582" i="1"/>
  <c r="AW582" i="1"/>
  <c r="AU583" i="1"/>
  <c r="AV583" i="1"/>
  <c r="AW583" i="1"/>
  <c r="AU584" i="1"/>
  <c r="AV584" i="1"/>
  <c r="AW584" i="1"/>
  <c r="AU585" i="1"/>
  <c r="AV585" i="1"/>
  <c r="AW585" i="1"/>
  <c r="AU586" i="1"/>
  <c r="AV586" i="1"/>
  <c r="AW586" i="1"/>
  <c r="AU587" i="1"/>
  <c r="AV587" i="1"/>
  <c r="AW587" i="1"/>
  <c r="AU588" i="1"/>
  <c r="AV588" i="1"/>
  <c r="AW588" i="1"/>
  <c r="AU589" i="1"/>
  <c r="AV589" i="1"/>
  <c r="AW589" i="1"/>
  <c r="AU590" i="1"/>
  <c r="AV590" i="1"/>
  <c r="AW590" i="1"/>
  <c r="AU591" i="1"/>
  <c r="AV591" i="1"/>
  <c r="AW591" i="1"/>
  <c r="AU592" i="1"/>
  <c r="AV592" i="1"/>
  <c r="AW592" i="1"/>
  <c r="AU593" i="1"/>
  <c r="AV593" i="1"/>
  <c r="AW593" i="1"/>
  <c r="AU594" i="1"/>
  <c r="AV594" i="1"/>
  <c r="AW594" i="1"/>
  <c r="AU595" i="1"/>
  <c r="AV595" i="1"/>
  <c r="AW595" i="1"/>
  <c r="AU596" i="1"/>
  <c r="AV596" i="1"/>
  <c r="AW596" i="1"/>
  <c r="AU597" i="1"/>
  <c r="AV597" i="1"/>
  <c r="AW597" i="1"/>
  <c r="AU598" i="1"/>
  <c r="AV598" i="1"/>
  <c r="AW598" i="1"/>
  <c r="AU599" i="1"/>
  <c r="AV599" i="1"/>
  <c r="AW599" i="1"/>
  <c r="AU600" i="1"/>
  <c r="AV600" i="1"/>
  <c r="AW600" i="1"/>
  <c r="AU601" i="1"/>
  <c r="AV601" i="1"/>
  <c r="AW601" i="1"/>
  <c r="AU602" i="1"/>
  <c r="AV602" i="1"/>
  <c r="AW602" i="1"/>
  <c r="AU603" i="1"/>
  <c r="AV603" i="1"/>
  <c r="AW603" i="1"/>
  <c r="AU604" i="1"/>
  <c r="AV604" i="1"/>
  <c r="AW604" i="1"/>
  <c r="AU605" i="1"/>
  <c r="AV605" i="1"/>
  <c r="AW605" i="1"/>
  <c r="AU606" i="1"/>
  <c r="AV606" i="1"/>
  <c r="AW606" i="1"/>
  <c r="AU607" i="1"/>
  <c r="AV607" i="1"/>
  <c r="AW607" i="1"/>
  <c r="AU608" i="1"/>
  <c r="AV608" i="1"/>
  <c r="AW608" i="1"/>
  <c r="AU609" i="1"/>
  <c r="AV609" i="1"/>
  <c r="AW609" i="1"/>
  <c r="AU610" i="1"/>
  <c r="AV610" i="1"/>
  <c r="AW610" i="1"/>
  <c r="AU611" i="1"/>
  <c r="AV611" i="1"/>
  <c r="AW611" i="1"/>
  <c r="AU612" i="1"/>
  <c r="AV612" i="1"/>
  <c r="AW612" i="1"/>
  <c r="AU613" i="1"/>
  <c r="AV613" i="1"/>
  <c r="AW613" i="1"/>
  <c r="AU614" i="1"/>
  <c r="AV614" i="1"/>
  <c r="AW614" i="1"/>
  <c r="AU615" i="1"/>
  <c r="AV615" i="1"/>
  <c r="AW615" i="1"/>
  <c r="AU616" i="1"/>
  <c r="AV616" i="1"/>
  <c r="AW616" i="1"/>
  <c r="AU617" i="1"/>
  <c r="AV617" i="1"/>
  <c r="AW617" i="1"/>
  <c r="AU618" i="1"/>
  <c r="AV618" i="1"/>
  <c r="AW618" i="1"/>
  <c r="AU619" i="1"/>
  <c r="AV619" i="1"/>
  <c r="AW619" i="1"/>
  <c r="AU620" i="1"/>
  <c r="AV620" i="1"/>
  <c r="AW620" i="1"/>
  <c r="AU621" i="1"/>
  <c r="AV621" i="1"/>
  <c r="AW621" i="1"/>
  <c r="AU622" i="1"/>
  <c r="AV622" i="1"/>
  <c r="AW622" i="1"/>
  <c r="AU623" i="1"/>
  <c r="AV623" i="1"/>
  <c r="AW623" i="1"/>
  <c r="AU624" i="1"/>
  <c r="AV624" i="1"/>
  <c r="AW624" i="1"/>
  <c r="AU625" i="1"/>
  <c r="AV625" i="1"/>
  <c r="AW625" i="1"/>
  <c r="AU626" i="1"/>
  <c r="AV626" i="1"/>
  <c r="AW626" i="1"/>
  <c r="AU627" i="1"/>
  <c r="AV627" i="1"/>
  <c r="AW627" i="1"/>
  <c r="AU628" i="1"/>
  <c r="AV628" i="1"/>
  <c r="AW628" i="1"/>
  <c r="AU629" i="1"/>
  <c r="AV629" i="1"/>
  <c r="AW629" i="1"/>
  <c r="AU630" i="1"/>
  <c r="AV630" i="1"/>
  <c r="AW630" i="1"/>
  <c r="AU631" i="1"/>
  <c r="AV631" i="1"/>
  <c r="AW631" i="1"/>
  <c r="AU632" i="1"/>
  <c r="AV632" i="1"/>
  <c r="AW632" i="1"/>
  <c r="AU633" i="1"/>
  <c r="AV633" i="1"/>
  <c r="AW633" i="1"/>
  <c r="AU634" i="1"/>
  <c r="AV634" i="1"/>
  <c r="AW634" i="1"/>
  <c r="AU635" i="1"/>
  <c r="AV635" i="1"/>
  <c r="AW635" i="1"/>
  <c r="AU636" i="1"/>
  <c r="AV636" i="1"/>
  <c r="AW636" i="1"/>
  <c r="AU637" i="1"/>
  <c r="AV637" i="1"/>
  <c r="AW637" i="1"/>
  <c r="AU638" i="1"/>
  <c r="AV638" i="1"/>
  <c r="AW638" i="1"/>
  <c r="AU639" i="1"/>
  <c r="AV639" i="1"/>
  <c r="AW639" i="1"/>
  <c r="AU640" i="1"/>
  <c r="AV640" i="1"/>
  <c r="AW640" i="1"/>
  <c r="AU641" i="1"/>
  <c r="AV641" i="1"/>
  <c r="AW641" i="1"/>
  <c r="AU642" i="1"/>
  <c r="AV642" i="1"/>
  <c r="AW642" i="1"/>
  <c r="AU643" i="1"/>
  <c r="AV643" i="1"/>
  <c r="AW643" i="1"/>
  <c r="AU644" i="1"/>
  <c r="AV644" i="1"/>
  <c r="AW644" i="1"/>
  <c r="AU645" i="1"/>
  <c r="AV645" i="1"/>
  <c r="AW645" i="1"/>
  <c r="AU646" i="1"/>
  <c r="AV646" i="1"/>
  <c r="AW646" i="1"/>
  <c r="AU647" i="1"/>
  <c r="AV647" i="1"/>
  <c r="AW647" i="1"/>
  <c r="AU648" i="1"/>
  <c r="AV648" i="1"/>
  <c r="AW648" i="1"/>
  <c r="AU649" i="1"/>
  <c r="AV649" i="1"/>
  <c r="AW649" i="1"/>
  <c r="AU650" i="1"/>
  <c r="AV650" i="1"/>
  <c r="AW650" i="1"/>
  <c r="AU651" i="1"/>
  <c r="AV651" i="1"/>
  <c r="AW651" i="1"/>
  <c r="AU652" i="1"/>
  <c r="AV652" i="1"/>
  <c r="AW652" i="1"/>
  <c r="AU653" i="1"/>
  <c r="AV653" i="1"/>
  <c r="AW653" i="1"/>
  <c r="AU654" i="1"/>
  <c r="AV654" i="1"/>
  <c r="AW654" i="1"/>
  <c r="AU655" i="1"/>
  <c r="AV655" i="1"/>
  <c r="AW655" i="1"/>
  <c r="AU656" i="1"/>
  <c r="AV656" i="1"/>
  <c r="AW656" i="1"/>
  <c r="AU657" i="1"/>
  <c r="AV657" i="1"/>
  <c r="AW657" i="1"/>
  <c r="AU658" i="1"/>
  <c r="AV658" i="1"/>
  <c r="AW658" i="1"/>
  <c r="AU659" i="1"/>
  <c r="AV659" i="1"/>
  <c r="AW659" i="1"/>
  <c r="AU660" i="1"/>
  <c r="AV660" i="1"/>
  <c r="AW660" i="1"/>
  <c r="AU661" i="1"/>
  <c r="AV661" i="1"/>
  <c r="AW661" i="1"/>
  <c r="AU662" i="1"/>
  <c r="AV662" i="1"/>
  <c r="AW662" i="1"/>
  <c r="AU663" i="1"/>
  <c r="AV663" i="1"/>
  <c r="AW663" i="1"/>
  <c r="AU664" i="1"/>
  <c r="AV664" i="1"/>
  <c r="AW664" i="1"/>
  <c r="AU665" i="1"/>
  <c r="AV665" i="1"/>
  <c r="AW665" i="1"/>
  <c r="AU666" i="1"/>
  <c r="AV666" i="1"/>
  <c r="AW666" i="1"/>
  <c r="AU667" i="1"/>
  <c r="AV667" i="1"/>
  <c r="AW667" i="1"/>
  <c r="AU668" i="1"/>
  <c r="AV668" i="1"/>
  <c r="AW668" i="1"/>
  <c r="AU669" i="1"/>
  <c r="AV669" i="1"/>
  <c r="AW669" i="1"/>
  <c r="AU670" i="1"/>
  <c r="AV670" i="1"/>
  <c r="AW670" i="1"/>
  <c r="AU671" i="1"/>
  <c r="AV671" i="1"/>
  <c r="AW671" i="1"/>
  <c r="AU672" i="1"/>
  <c r="AV672" i="1"/>
  <c r="AW672" i="1"/>
  <c r="AU673" i="1"/>
  <c r="AV673" i="1"/>
  <c r="AW673" i="1"/>
  <c r="AU674" i="1"/>
  <c r="AV674" i="1"/>
  <c r="AW674" i="1"/>
  <c r="AU675" i="1"/>
  <c r="AV675" i="1"/>
  <c r="AW675" i="1"/>
  <c r="AU676" i="1"/>
  <c r="AV676" i="1"/>
  <c r="AW676" i="1"/>
  <c r="AU677" i="1"/>
  <c r="AV677" i="1"/>
  <c r="AW677" i="1"/>
  <c r="AU678" i="1"/>
  <c r="AV678" i="1"/>
  <c r="AW678" i="1"/>
  <c r="AU679" i="1"/>
  <c r="AV679" i="1"/>
  <c r="AW679" i="1"/>
  <c r="AU680" i="1"/>
  <c r="AV680" i="1"/>
  <c r="AW680" i="1"/>
  <c r="AU681" i="1"/>
  <c r="AV681" i="1"/>
  <c r="AW681" i="1"/>
  <c r="AU682" i="1"/>
  <c r="AV682" i="1"/>
  <c r="AW682" i="1"/>
  <c r="AU683" i="1"/>
  <c r="AV683" i="1"/>
  <c r="AW683" i="1"/>
  <c r="AU684" i="1"/>
  <c r="AV684" i="1"/>
  <c r="AW684" i="1"/>
  <c r="AU685" i="1"/>
  <c r="AV685" i="1"/>
  <c r="AW685" i="1"/>
  <c r="AU686" i="1"/>
  <c r="AV686" i="1"/>
  <c r="AW686" i="1"/>
  <c r="AU687" i="1"/>
  <c r="AV687" i="1"/>
  <c r="AW687" i="1"/>
  <c r="AU688" i="1"/>
  <c r="AV688" i="1"/>
  <c r="AW688" i="1"/>
  <c r="AU689" i="1"/>
  <c r="AV689" i="1"/>
  <c r="AW689" i="1"/>
  <c r="AU690" i="1"/>
  <c r="AV690" i="1"/>
  <c r="AW690" i="1"/>
  <c r="AU691" i="1"/>
  <c r="AV691" i="1"/>
  <c r="AW691" i="1"/>
  <c r="AU692" i="1"/>
  <c r="AV692" i="1"/>
  <c r="AW692" i="1"/>
  <c r="AU693" i="1"/>
  <c r="AV693" i="1"/>
  <c r="AW693" i="1"/>
  <c r="AU694" i="1"/>
  <c r="AV694" i="1"/>
  <c r="AW694" i="1"/>
  <c r="AU695" i="1"/>
  <c r="AV695" i="1"/>
  <c r="AW695" i="1"/>
  <c r="AU696" i="1"/>
  <c r="AV696" i="1"/>
  <c r="AW696" i="1"/>
  <c r="AU697" i="1"/>
  <c r="AV697" i="1"/>
  <c r="AW697" i="1"/>
  <c r="AU698" i="1"/>
  <c r="AV698" i="1"/>
  <c r="AW698" i="1"/>
  <c r="AU699" i="1"/>
  <c r="AV699" i="1"/>
  <c r="AW699" i="1"/>
  <c r="AU700" i="1"/>
  <c r="AV700" i="1"/>
  <c r="AW700" i="1"/>
  <c r="AU701" i="1"/>
  <c r="AV701" i="1"/>
  <c r="AW701" i="1"/>
  <c r="AU702" i="1"/>
  <c r="AV702" i="1"/>
  <c r="AW702" i="1"/>
  <c r="AU703" i="1"/>
  <c r="AV703" i="1"/>
  <c r="AW703" i="1"/>
  <c r="AU704" i="1"/>
  <c r="AV704" i="1"/>
  <c r="AW704" i="1"/>
  <c r="AU705" i="1"/>
  <c r="AV705" i="1"/>
  <c r="AW705" i="1"/>
  <c r="AU706" i="1"/>
  <c r="AV706" i="1"/>
  <c r="AW706" i="1"/>
  <c r="AU707" i="1"/>
  <c r="AV707" i="1"/>
  <c r="AW707" i="1"/>
  <c r="AU708" i="1"/>
  <c r="AV708" i="1"/>
  <c r="AW708" i="1"/>
  <c r="AU709" i="1"/>
  <c r="AV709" i="1"/>
  <c r="AW709" i="1"/>
  <c r="AU710" i="1"/>
  <c r="AV710" i="1"/>
  <c r="AW710" i="1"/>
  <c r="AU711" i="1"/>
  <c r="AV711" i="1"/>
  <c r="AW711" i="1"/>
  <c r="AU712" i="1"/>
  <c r="AV712" i="1"/>
  <c r="AW712" i="1"/>
  <c r="AU713" i="1"/>
  <c r="AV713" i="1"/>
  <c r="AW713" i="1"/>
  <c r="AU714" i="1"/>
  <c r="AV714" i="1"/>
  <c r="AW714" i="1"/>
  <c r="AU715" i="1"/>
  <c r="AV715" i="1"/>
  <c r="AW715" i="1"/>
  <c r="AU716" i="1"/>
  <c r="AV716" i="1"/>
  <c r="AW716" i="1"/>
  <c r="AU717" i="1"/>
  <c r="AV717" i="1"/>
  <c r="AW717" i="1"/>
  <c r="AU718" i="1"/>
  <c r="AV718" i="1"/>
  <c r="AW718" i="1"/>
  <c r="AU719" i="1"/>
  <c r="AV719" i="1"/>
  <c r="AW719" i="1"/>
  <c r="AU720" i="1"/>
  <c r="AV720" i="1"/>
  <c r="AW720" i="1"/>
  <c r="AU721" i="1"/>
  <c r="AV721" i="1"/>
  <c r="AW721" i="1"/>
  <c r="AU722" i="1"/>
  <c r="AV722" i="1"/>
  <c r="AW722" i="1"/>
  <c r="AU723" i="1"/>
  <c r="AV723" i="1"/>
  <c r="AW723" i="1"/>
  <c r="AU724" i="1"/>
  <c r="AV724" i="1"/>
  <c r="AW724" i="1"/>
  <c r="AU725" i="1"/>
  <c r="AV725" i="1"/>
  <c r="AW725" i="1"/>
  <c r="AU726" i="1"/>
  <c r="AV726" i="1"/>
  <c r="AW726" i="1"/>
  <c r="AU727" i="1"/>
  <c r="AV727" i="1"/>
  <c r="AW727" i="1"/>
  <c r="AU728" i="1"/>
  <c r="AV728" i="1"/>
  <c r="AW728" i="1"/>
  <c r="AU729" i="1"/>
  <c r="AV729" i="1"/>
  <c r="AW729" i="1"/>
  <c r="AU730" i="1"/>
  <c r="AV730" i="1"/>
  <c r="AW730" i="1"/>
  <c r="AU731" i="1"/>
  <c r="AV731" i="1"/>
  <c r="AW731" i="1"/>
  <c r="AU732" i="1"/>
  <c r="AV732" i="1"/>
  <c r="AW732" i="1"/>
  <c r="AU733" i="1"/>
  <c r="AV733" i="1"/>
  <c r="AW733" i="1"/>
  <c r="AU734" i="1"/>
  <c r="AV734" i="1"/>
  <c r="AW734" i="1"/>
  <c r="AU735" i="1"/>
  <c r="AV735" i="1"/>
  <c r="AW735" i="1"/>
  <c r="AU736" i="1"/>
  <c r="AV736" i="1"/>
  <c r="AW736" i="1"/>
  <c r="AU737" i="1"/>
  <c r="AV737" i="1"/>
  <c r="AW737" i="1"/>
  <c r="AU738" i="1"/>
  <c r="AV738" i="1"/>
  <c r="AW738" i="1"/>
  <c r="AU739" i="1"/>
  <c r="AV739" i="1"/>
  <c r="AW739" i="1"/>
  <c r="AU740" i="1"/>
  <c r="AV740" i="1"/>
  <c r="AW740" i="1"/>
  <c r="AU741" i="1"/>
  <c r="AV741" i="1"/>
  <c r="AW741" i="1"/>
  <c r="AU742" i="1"/>
  <c r="AV742" i="1"/>
  <c r="AW742" i="1"/>
  <c r="AU743" i="1"/>
  <c r="AV743" i="1"/>
  <c r="AW743" i="1"/>
  <c r="AU744" i="1"/>
  <c r="AV744" i="1"/>
  <c r="AW744" i="1"/>
  <c r="AU745" i="1"/>
  <c r="AV745" i="1"/>
  <c r="AW745" i="1"/>
  <c r="AU746" i="1"/>
  <c r="AV746" i="1"/>
  <c r="AW746" i="1"/>
  <c r="AU747" i="1"/>
  <c r="AV747" i="1"/>
  <c r="AW747" i="1"/>
  <c r="AU748" i="1"/>
  <c r="AV748" i="1"/>
  <c r="AW748" i="1"/>
  <c r="AU749" i="1"/>
  <c r="AV749" i="1"/>
  <c r="AW749" i="1"/>
  <c r="AU750" i="1"/>
  <c r="AV750" i="1"/>
  <c r="AW750" i="1"/>
  <c r="AU751" i="1"/>
  <c r="AV751" i="1"/>
  <c r="AW751" i="1"/>
  <c r="AU752" i="1"/>
  <c r="AV752" i="1"/>
  <c r="AW752" i="1"/>
  <c r="AU753" i="1"/>
  <c r="AV753" i="1"/>
  <c r="AW753" i="1"/>
  <c r="AU754" i="1"/>
  <c r="AV754" i="1"/>
  <c r="AW754" i="1"/>
  <c r="AU755" i="1"/>
  <c r="AV755" i="1"/>
  <c r="AW755" i="1"/>
  <c r="AU756" i="1"/>
  <c r="AV756" i="1"/>
  <c r="AW756" i="1"/>
  <c r="AU757" i="1"/>
  <c r="AV757" i="1"/>
  <c r="AW757" i="1"/>
  <c r="AU758" i="1"/>
  <c r="AV758" i="1"/>
  <c r="AW758" i="1"/>
  <c r="AU759" i="1"/>
  <c r="AV759" i="1"/>
  <c r="AW759" i="1"/>
  <c r="AU760" i="1"/>
  <c r="AV760" i="1"/>
  <c r="AW760" i="1"/>
  <c r="AU761" i="1"/>
  <c r="AV761" i="1"/>
  <c r="AW761" i="1"/>
  <c r="AU762" i="1"/>
  <c r="AV762" i="1"/>
  <c r="AW762" i="1"/>
  <c r="AU763" i="1"/>
  <c r="AV763" i="1"/>
  <c r="AW763" i="1"/>
  <c r="AU764" i="1"/>
  <c r="AV764" i="1"/>
  <c r="AW764" i="1"/>
  <c r="AU765" i="1"/>
  <c r="AV765" i="1"/>
  <c r="AW765" i="1"/>
  <c r="AU766" i="1"/>
  <c r="AV766" i="1"/>
  <c r="AW766" i="1"/>
  <c r="AU767" i="1"/>
  <c r="AV767" i="1"/>
  <c r="AW767" i="1"/>
  <c r="AU768" i="1"/>
  <c r="AV768" i="1"/>
  <c r="AW768" i="1"/>
  <c r="AU769" i="1"/>
  <c r="AV769" i="1"/>
  <c r="AW769" i="1"/>
  <c r="AU770" i="1"/>
  <c r="AV770" i="1"/>
  <c r="AW770" i="1"/>
  <c r="AU771" i="1"/>
  <c r="AV771" i="1"/>
  <c r="AW771" i="1"/>
  <c r="AU772" i="1"/>
  <c r="AV772" i="1"/>
  <c r="AW772" i="1"/>
  <c r="AU773" i="1"/>
  <c r="AV773" i="1"/>
  <c r="AW773" i="1"/>
  <c r="AU774" i="1"/>
  <c r="AV774" i="1"/>
  <c r="AW774" i="1"/>
  <c r="AU775" i="1"/>
  <c r="AV775" i="1"/>
  <c r="AW775" i="1"/>
  <c r="AU776" i="1"/>
  <c r="AV776" i="1"/>
  <c r="AW776" i="1"/>
  <c r="AU777" i="1"/>
  <c r="AV777" i="1"/>
  <c r="AW777" i="1"/>
  <c r="AU778" i="1"/>
  <c r="AV778" i="1"/>
  <c r="AW778" i="1"/>
  <c r="AU779" i="1"/>
  <c r="AV779" i="1"/>
  <c r="AW779" i="1"/>
  <c r="AU780" i="1"/>
  <c r="AV780" i="1"/>
  <c r="AW780" i="1"/>
  <c r="AU781" i="1"/>
  <c r="AV781" i="1"/>
  <c r="AW781" i="1"/>
  <c r="AU782" i="1"/>
  <c r="AV782" i="1"/>
  <c r="AW782" i="1"/>
  <c r="AU783" i="1"/>
  <c r="AV783" i="1"/>
  <c r="AW783" i="1"/>
  <c r="AU784" i="1"/>
  <c r="AV784" i="1"/>
  <c r="AW784" i="1"/>
  <c r="AU785" i="1"/>
  <c r="AV785" i="1"/>
  <c r="AW785" i="1"/>
  <c r="AU786" i="1"/>
  <c r="AV786" i="1"/>
  <c r="AW786" i="1"/>
  <c r="AU787" i="1"/>
  <c r="AV787" i="1"/>
  <c r="AW787" i="1"/>
  <c r="AU788" i="1"/>
  <c r="AV788" i="1"/>
  <c r="AW788" i="1"/>
  <c r="AU789" i="1"/>
  <c r="AV789" i="1"/>
  <c r="AW789" i="1"/>
  <c r="AU790" i="1"/>
  <c r="AV790" i="1"/>
  <c r="AW790" i="1"/>
  <c r="AU791" i="1"/>
  <c r="AV791" i="1"/>
  <c r="AW791" i="1"/>
  <c r="AU792" i="1"/>
  <c r="AV792" i="1"/>
  <c r="AW792" i="1"/>
  <c r="AU793" i="1"/>
  <c r="AV793" i="1"/>
  <c r="AW793" i="1"/>
  <c r="AU794" i="1"/>
  <c r="AV794" i="1"/>
  <c r="AW794" i="1"/>
  <c r="AU795" i="1"/>
  <c r="AV795" i="1"/>
  <c r="AW795" i="1"/>
  <c r="AU796" i="1"/>
  <c r="AV796" i="1"/>
  <c r="AW796" i="1"/>
  <c r="AU797" i="1"/>
  <c r="AV797" i="1"/>
  <c r="AW797" i="1"/>
  <c r="AU798" i="1"/>
  <c r="AV798" i="1"/>
  <c r="AW798" i="1"/>
  <c r="AU799" i="1"/>
  <c r="AV799" i="1"/>
  <c r="AW799" i="1"/>
  <c r="AU800" i="1"/>
  <c r="AV800" i="1"/>
  <c r="AW800" i="1"/>
  <c r="AU801" i="1"/>
  <c r="AV801" i="1"/>
  <c r="AW801" i="1"/>
  <c r="AU802" i="1"/>
  <c r="AV802" i="1"/>
  <c r="AW802" i="1"/>
  <c r="AU803" i="1"/>
  <c r="AV803" i="1"/>
  <c r="AW803" i="1"/>
  <c r="AU804" i="1"/>
  <c r="AV804" i="1"/>
  <c r="AW804" i="1"/>
  <c r="AU805" i="1"/>
  <c r="AV805" i="1"/>
  <c r="AW805" i="1"/>
  <c r="AU806" i="1"/>
  <c r="AV806" i="1"/>
  <c r="AW806" i="1"/>
  <c r="AU807" i="1"/>
  <c r="AV807" i="1"/>
  <c r="AW807" i="1"/>
  <c r="AU808" i="1"/>
  <c r="AV808" i="1"/>
  <c r="AW808" i="1"/>
  <c r="AU809" i="1"/>
  <c r="AV809" i="1"/>
  <c r="AW809" i="1"/>
  <c r="AU810" i="1"/>
  <c r="AV810" i="1"/>
  <c r="AW810" i="1"/>
  <c r="AU811" i="1"/>
  <c r="AV811" i="1"/>
  <c r="AW811" i="1"/>
  <c r="AU812" i="1"/>
  <c r="AV812" i="1"/>
  <c r="AW812" i="1"/>
  <c r="AU813" i="1"/>
  <c r="AV813" i="1"/>
  <c r="AW813" i="1"/>
  <c r="AU814" i="1"/>
  <c r="AV814" i="1"/>
  <c r="AW814" i="1"/>
  <c r="AU815" i="1"/>
  <c r="AV815" i="1"/>
  <c r="AW815" i="1"/>
  <c r="AU816" i="1"/>
  <c r="AV816" i="1"/>
  <c r="AW816" i="1"/>
  <c r="AU817" i="1"/>
  <c r="AV817" i="1"/>
  <c r="AW817" i="1"/>
  <c r="AU818" i="1"/>
  <c r="AV818" i="1"/>
  <c r="AW818" i="1"/>
  <c r="AU819" i="1"/>
  <c r="AV819" i="1"/>
  <c r="AW819" i="1"/>
  <c r="AU820" i="1"/>
  <c r="AV820" i="1"/>
  <c r="AW820" i="1"/>
  <c r="AU821" i="1"/>
  <c r="AV821" i="1"/>
  <c r="AW821" i="1"/>
  <c r="AU822" i="1"/>
  <c r="AV822" i="1"/>
  <c r="AW822" i="1"/>
  <c r="AU823" i="1"/>
  <c r="AV823" i="1"/>
  <c r="AW823" i="1"/>
  <c r="AU824" i="1"/>
  <c r="AV824" i="1"/>
  <c r="AW824" i="1"/>
  <c r="AU825" i="1"/>
  <c r="AV825" i="1"/>
  <c r="AW825" i="1"/>
  <c r="AU826" i="1"/>
  <c r="AV826" i="1"/>
  <c r="AW826" i="1"/>
  <c r="AU827" i="1"/>
  <c r="AV827" i="1"/>
  <c r="AW827" i="1"/>
  <c r="AU828" i="1"/>
  <c r="AV828" i="1"/>
  <c r="AW828" i="1"/>
  <c r="AU829" i="1"/>
  <c r="AV829" i="1"/>
  <c r="AW829" i="1"/>
  <c r="AU830" i="1"/>
  <c r="AV830" i="1"/>
  <c r="AW830" i="1"/>
  <c r="AU831" i="1"/>
  <c r="AV831" i="1"/>
  <c r="AW831" i="1"/>
  <c r="AU832" i="1"/>
  <c r="AV832" i="1"/>
  <c r="AW832" i="1"/>
  <c r="AU833" i="1"/>
  <c r="AV833" i="1"/>
  <c r="AW833" i="1"/>
  <c r="AU834" i="1"/>
  <c r="AV834" i="1"/>
  <c r="AW834" i="1"/>
  <c r="AU835" i="1"/>
  <c r="AV835" i="1"/>
  <c r="AW835" i="1"/>
  <c r="AU836" i="1"/>
  <c r="AV836" i="1"/>
  <c r="AW836" i="1"/>
  <c r="AU837" i="1"/>
  <c r="AV837" i="1"/>
  <c r="AW837" i="1"/>
  <c r="AU838" i="1"/>
  <c r="AV838" i="1"/>
  <c r="AW838" i="1"/>
  <c r="AU839" i="1"/>
  <c r="AV839" i="1"/>
  <c r="AW839" i="1"/>
  <c r="AU840" i="1"/>
  <c r="AV840" i="1"/>
  <c r="AW840" i="1"/>
  <c r="AU841" i="1"/>
  <c r="AV841" i="1"/>
  <c r="AW841" i="1"/>
  <c r="AU842" i="1"/>
  <c r="AV842" i="1"/>
  <c r="AW842" i="1"/>
  <c r="AU843" i="1"/>
  <c r="AV843" i="1"/>
  <c r="AW843" i="1"/>
  <c r="AU844" i="1"/>
  <c r="AV844" i="1"/>
  <c r="AW844" i="1"/>
  <c r="AU845" i="1"/>
  <c r="AV845" i="1"/>
  <c r="AW845" i="1"/>
  <c r="AU846" i="1"/>
  <c r="AV846" i="1"/>
  <c r="AW846" i="1"/>
  <c r="AU847" i="1"/>
  <c r="AV847" i="1"/>
  <c r="AW847" i="1"/>
  <c r="AU848" i="1"/>
  <c r="AV848" i="1"/>
  <c r="AW848" i="1"/>
  <c r="AU849" i="1"/>
  <c r="AV849" i="1"/>
  <c r="AW849" i="1"/>
  <c r="AU850" i="1"/>
  <c r="AV850" i="1"/>
  <c r="AW850" i="1"/>
  <c r="AU851" i="1"/>
  <c r="AV851" i="1"/>
  <c r="AW851" i="1"/>
  <c r="AU852" i="1"/>
  <c r="AV852" i="1"/>
  <c r="AW852" i="1"/>
  <c r="AU853" i="1"/>
  <c r="AV853" i="1"/>
  <c r="AW853" i="1"/>
  <c r="AU854" i="1"/>
  <c r="AV854" i="1"/>
  <c r="AW854" i="1"/>
  <c r="AU855" i="1"/>
  <c r="AV855" i="1"/>
  <c r="AW855" i="1"/>
  <c r="AU856" i="1"/>
  <c r="AV856" i="1"/>
  <c r="AW856" i="1"/>
  <c r="AU857" i="1"/>
  <c r="AV857" i="1"/>
  <c r="AW857" i="1"/>
  <c r="AU858" i="1"/>
  <c r="AV858" i="1"/>
  <c r="AW858" i="1"/>
  <c r="AU859" i="1"/>
  <c r="AV859" i="1"/>
  <c r="AW859" i="1"/>
  <c r="AU860" i="1"/>
  <c r="AV860" i="1"/>
  <c r="AW860" i="1"/>
  <c r="AU861" i="1"/>
  <c r="AV861" i="1"/>
  <c r="AW861" i="1"/>
  <c r="AU862" i="1"/>
  <c r="AV862" i="1"/>
  <c r="AW862" i="1"/>
  <c r="AU863" i="1"/>
  <c r="AV863" i="1"/>
  <c r="AW863" i="1"/>
  <c r="AU864" i="1"/>
  <c r="AV864" i="1"/>
  <c r="AW864" i="1"/>
  <c r="AU865" i="1"/>
  <c r="AV865" i="1"/>
  <c r="AW865" i="1"/>
  <c r="AU866" i="1"/>
  <c r="AV866" i="1"/>
  <c r="AW866" i="1"/>
  <c r="AU867" i="1"/>
  <c r="AV867" i="1"/>
  <c r="AW867" i="1"/>
  <c r="AU868" i="1"/>
  <c r="AV868" i="1"/>
  <c r="AW868" i="1"/>
  <c r="AU869" i="1"/>
  <c r="AV869" i="1"/>
  <c r="AW869" i="1"/>
  <c r="AU870" i="1"/>
  <c r="AV870" i="1"/>
  <c r="AW870" i="1"/>
  <c r="AU871" i="1"/>
  <c r="AV871" i="1"/>
  <c r="AW871" i="1"/>
  <c r="AU872" i="1"/>
  <c r="AV872" i="1"/>
  <c r="AW872" i="1"/>
  <c r="AU873" i="1"/>
  <c r="AV873" i="1"/>
  <c r="AW873" i="1"/>
  <c r="AU874" i="1"/>
  <c r="AV874" i="1"/>
  <c r="AW874" i="1"/>
  <c r="AU875" i="1"/>
  <c r="AV875" i="1"/>
  <c r="AW875" i="1"/>
  <c r="AU876" i="1"/>
  <c r="AV876" i="1"/>
  <c r="AW876" i="1"/>
  <c r="AU877" i="1"/>
  <c r="AV877" i="1"/>
  <c r="AW877" i="1"/>
  <c r="AU878" i="1"/>
  <c r="AV878" i="1"/>
  <c r="AW878" i="1"/>
  <c r="AU879" i="1"/>
  <c r="AV879" i="1"/>
  <c r="AW879" i="1"/>
  <c r="AU880" i="1"/>
  <c r="AV880" i="1"/>
  <c r="AW880" i="1"/>
  <c r="AU881" i="1"/>
  <c r="AV881" i="1"/>
  <c r="AW881" i="1"/>
  <c r="AU882" i="1"/>
  <c r="AV882" i="1"/>
  <c r="AW882" i="1"/>
  <c r="AU883" i="1"/>
  <c r="AV883" i="1"/>
  <c r="AW883" i="1"/>
  <c r="AU884" i="1"/>
  <c r="AV884" i="1"/>
  <c r="AW884" i="1"/>
  <c r="AU885" i="1"/>
  <c r="AV885" i="1"/>
  <c r="AW885" i="1"/>
  <c r="AU886" i="1"/>
  <c r="AV886" i="1"/>
  <c r="AW886" i="1"/>
  <c r="AU887" i="1"/>
  <c r="AV887" i="1"/>
  <c r="AW887" i="1"/>
  <c r="AU888" i="1"/>
  <c r="AV888" i="1"/>
  <c r="AW888" i="1"/>
  <c r="AU889" i="1"/>
  <c r="AV889" i="1"/>
  <c r="AW889" i="1"/>
  <c r="AU890" i="1"/>
  <c r="AV890" i="1"/>
  <c r="AW890" i="1"/>
  <c r="AU891" i="1"/>
  <c r="AV891" i="1"/>
  <c r="AW891" i="1"/>
  <c r="AU892" i="1"/>
  <c r="AV892" i="1"/>
  <c r="AW892" i="1"/>
  <c r="AU893" i="1"/>
  <c r="AV893" i="1"/>
  <c r="AW893" i="1"/>
  <c r="AU894" i="1"/>
  <c r="AV894" i="1"/>
  <c r="AW894" i="1"/>
  <c r="AU895" i="1"/>
  <c r="AV895" i="1"/>
  <c r="AW895" i="1"/>
  <c r="AU896" i="1"/>
  <c r="AV896" i="1"/>
  <c r="AW896" i="1"/>
  <c r="AU897" i="1"/>
  <c r="AV897" i="1"/>
  <c r="AW897" i="1"/>
  <c r="AU898" i="1"/>
  <c r="AV898" i="1"/>
  <c r="AW898" i="1"/>
  <c r="AU899" i="1"/>
  <c r="AV899" i="1"/>
  <c r="AW899" i="1"/>
  <c r="AU900" i="1"/>
  <c r="AV900" i="1"/>
  <c r="AW900" i="1"/>
  <c r="AU901" i="1"/>
  <c r="AV901" i="1"/>
  <c r="AW901" i="1"/>
  <c r="AU902" i="1"/>
  <c r="AV902" i="1"/>
  <c r="AW902" i="1"/>
  <c r="AU903" i="1"/>
  <c r="AV903" i="1"/>
  <c r="AW903" i="1"/>
  <c r="AU904" i="1"/>
  <c r="AV904" i="1"/>
  <c r="AW904" i="1"/>
  <c r="AU905" i="1"/>
  <c r="AV905" i="1"/>
  <c r="AW905" i="1"/>
  <c r="AU906" i="1"/>
  <c r="AV906" i="1"/>
  <c r="AW906" i="1"/>
  <c r="AU907" i="1"/>
  <c r="AV907" i="1"/>
  <c r="AW907" i="1"/>
  <c r="AU908" i="1"/>
  <c r="AV908" i="1"/>
  <c r="AW908" i="1"/>
  <c r="AU909" i="1"/>
  <c r="AV909" i="1"/>
  <c r="AW909" i="1"/>
  <c r="AU910" i="1"/>
  <c r="AV910" i="1"/>
  <c r="AW910" i="1"/>
  <c r="AU911" i="1"/>
  <c r="AV911" i="1"/>
  <c r="AW911" i="1"/>
  <c r="AU912" i="1"/>
  <c r="AV912" i="1"/>
  <c r="AW912" i="1"/>
  <c r="AU913" i="1"/>
  <c r="AV913" i="1"/>
  <c r="AW913" i="1"/>
  <c r="AU914" i="1"/>
  <c r="AV914" i="1"/>
  <c r="AW914" i="1"/>
  <c r="AU915" i="1"/>
  <c r="AV915" i="1"/>
  <c r="AW915" i="1"/>
  <c r="AU916" i="1"/>
  <c r="AV916" i="1"/>
  <c r="AW916" i="1"/>
  <c r="AU917" i="1"/>
  <c r="AV917" i="1"/>
  <c r="AW917" i="1"/>
  <c r="AU918" i="1"/>
  <c r="AV918" i="1"/>
  <c r="AW918" i="1"/>
  <c r="AU919" i="1"/>
  <c r="AV919" i="1"/>
  <c r="AW919" i="1"/>
  <c r="AU920" i="1"/>
  <c r="AV920" i="1"/>
  <c r="AW920" i="1"/>
  <c r="AU921" i="1"/>
  <c r="AV921" i="1"/>
  <c r="AW921" i="1"/>
  <c r="AU922" i="1"/>
  <c r="AV922" i="1"/>
  <c r="AW922" i="1"/>
  <c r="AU923" i="1"/>
  <c r="AV923" i="1"/>
  <c r="AW923" i="1"/>
  <c r="AU924" i="1"/>
  <c r="AV924" i="1"/>
  <c r="AW924" i="1"/>
  <c r="AU925" i="1"/>
  <c r="AV925" i="1"/>
  <c r="AW925" i="1"/>
  <c r="AU926" i="1"/>
  <c r="AV926" i="1"/>
  <c r="AW926" i="1"/>
  <c r="AU927" i="1"/>
  <c r="AV927" i="1"/>
  <c r="AW927" i="1"/>
  <c r="AU928" i="1"/>
  <c r="AV928" i="1"/>
  <c r="AW928" i="1"/>
  <c r="AU929" i="1"/>
  <c r="AV929" i="1"/>
  <c r="AW929" i="1"/>
  <c r="AU930" i="1"/>
  <c r="AV930" i="1"/>
  <c r="AW930" i="1"/>
  <c r="AU931" i="1"/>
  <c r="AV931" i="1"/>
  <c r="AW931" i="1"/>
  <c r="AU932" i="1"/>
  <c r="AV932" i="1"/>
  <c r="AW932" i="1"/>
  <c r="AU933" i="1"/>
  <c r="AV933" i="1"/>
  <c r="AW933" i="1"/>
  <c r="AU934" i="1"/>
  <c r="AV934" i="1"/>
  <c r="AW934" i="1"/>
  <c r="AU935" i="1"/>
  <c r="AV935" i="1"/>
  <c r="AW935" i="1"/>
  <c r="AU936" i="1"/>
  <c r="AV936" i="1"/>
  <c r="AW936" i="1"/>
  <c r="AU937" i="1"/>
  <c r="AV937" i="1"/>
  <c r="AW937" i="1"/>
  <c r="AU938" i="1"/>
  <c r="AV938" i="1"/>
  <c r="AW938" i="1"/>
  <c r="AU939" i="1"/>
  <c r="AV939" i="1"/>
  <c r="AW939" i="1"/>
  <c r="AU940" i="1"/>
  <c r="AV940" i="1"/>
  <c r="AW940" i="1"/>
  <c r="AU941" i="1"/>
  <c r="AV941" i="1"/>
  <c r="AW941" i="1"/>
  <c r="AU942" i="1"/>
  <c r="AV942" i="1"/>
  <c r="AW942" i="1"/>
  <c r="AU943" i="1"/>
  <c r="AV943" i="1"/>
  <c r="AW943" i="1"/>
  <c r="AU944" i="1"/>
  <c r="AV944" i="1"/>
  <c r="AW944" i="1"/>
  <c r="AU945" i="1"/>
  <c r="AV945" i="1"/>
  <c r="AW945" i="1"/>
  <c r="AU946" i="1"/>
  <c r="AV946" i="1"/>
  <c r="AW946" i="1"/>
  <c r="AU947" i="1"/>
  <c r="AV947" i="1"/>
  <c r="AW947" i="1"/>
  <c r="AU948" i="1"/>
  <c r="AV948" i="1"/>
  <c r="AW948" i="1"/>
  <c r="AU949" i="1"/>
  <c r="AV949" i="1"/>
  <c r="AW949" i="1"/>
  <c r="AU950" i="1"/>
  <c r="AV950" i="1"/>
  <c r="AW950" i="1"/>
  <c r="AU951" i="1"/>
  <c r="AV951" i="1"/>
  <c r="AW951" i="1"/>
  <c r="AU952" i="1"/>
  <c r="AV952" i="1"/>
  <c r="AW952" i="1"/>
  <c r="AU953" i="1"/>
  <c r="AV953" i="1"/>
  <c r="AW953" i="1"/>
  <c r="AU954" i="1"/>
  <c r="AV954" i="1"/>
  <c r="AW954" i="1"/>
  <c r="AU955" i="1"/>
  <c r="AV955" i="1"/>
  <c r="AW955" i="1"/>
  <c r="AU956" i="1"/>
  <c r="AV956" i="1"/>
  <c r="AW956" i="1"/>
  <c r="AU957" i="1"/>
  <c r="AV957" i="1"/>
  <c r="AW957" i="1"/>
  <c r="AU958" i="1"/>
  <c r="AV958" i="1"/>
  <c r="AW958" i="1"/>
  <c r="AU959" i="1"/>
  <c r="AV959" i="1"/>
  <c r="AW959" i="1"/>
  <c r="AU960" i="1"/>
  <c r="AV960" i="1"/>
  <c r="AW960" i="1"/>
  <c r="AU961" i="1"/>
  <c r="AV961" i="1"/>
  <c r="AW961" i="1"/>
  <c r="AU962" i="1"/>
  <c r="AV962" i="1"/>
  <c r="AW962" i="1"/>
  <c r="AU963" i="1"/>
  <c r="AV963" i="1"/>
  <c r="AW963" i="1"/>
  <c r="AU964" i="1"/>
  <c r="AV964" i="1"/>
  <c r="AW964" i="1"/>
  <c r="AU965" i="1"/>
  <c r="AV965" i="1"/>
  <c r="AW965" i="1"/>
  <c r="AU966" i="1"/>
  <c r="AV966" i="1"/>
  <c r="AW966" i="1"/>
  <c r="AU967" i="1"/>
  <c r="AV967" i="1"/>
  <c r="AW967" i="1"/>
  <c r="AU968" i="1"/>
  <c r="AV968" i="1"/>
  <c r="AW968" i="1"/>
  <c r="AU969" i="1"/>
  <c r="AV969" i="1"/>
  <c r="AW969" i="1"/>
  <c r="AU970" i="1"/>
  <c r="AV970" i="1"/>
  <c r="AW970" i="1"/>
  <c r="AU971" i="1"/>
  <c r="AV971" i="1"/>
  <c r="AW971" i="1"/>
  <c r="AU972" i="1"/>
  <c r="AV972" i="1"/>
  <c r="AW972" i="1"/>
  <c r="AU973" i="1"/>
  <c r="AV973" i="1"/>
  <c r="AW973" i="1"/>
  <c r="AU974" i="1"/>
  <c r="AV974" i="1"/>
  <c r="AW974" i="1"/>
  <c r="AU975" i="1"/>
  <c r="AV975" i="1"/>
  <c r="AW975" i="1"/>
  <c r="AU976" i="1"/>
  <c r="AV976" i="1"/>
  <c r="AW976" i="1"/>
  <c r="AU977" i="1"/>
  <c r="AV977" i="1"/>
  <c r="AW977" i="1"/>
  <c r="AU978" i="1"/>
  <c r="AV978" i="1"/>
  <c r="AW978" i="1"/>
  <c r="AU979" i="1"/>
  <c r="AV979" i="1"/>
  <c r="AW979" i="1"/>
  <c r="AU980" i="1"/>
  <c r="AV980" i="1"/>
  <c r="AW980" i="1"/>
  <c r="AU981" i="1"/>
  <c r="AV981" i="1"/>
  <c r="AW981" i="1"/>
  <c r="AU982" i="1"/>
  <c r="AV982" i="1"/>
  <c r="AW982" i="1"/>
  <c r="AU983" i="1"/>
  <c r="AV983" i="1"/>
  <c r="AW983" i="1"/>
  <c r="AU984" i="1"/>
  <c r="AV984" i="1"/>
  <c r="AW984" i="1"/>
  <c r="AU985" i="1"/>
  <c r="AV985" i="1"/>
  <c r="AW985" i="1"/>
  <c r="AU986" i="1"/>
  <c r="AV986" i="1"/>
  <c r="AW986" i="1"/>
  <c r="AU987" i="1"/>
  <c r="AV987" i="1"/>
  <c r="AW987" i="1"/>
  <c r="AU988" i="1"/>
  <c r="AV988" i="1"/>
  <c r="AW988" i="1"/>
  <c r="AU989" i="1"/>
  <c r="AV989" i="1"/>
  <c r="AW989" i="1"/>
  <c r="AU990" i="1"/>
  <c r="AV990" i="1"/>
  <c r="AW990" i="1"/>
  <c r="AU991" i="1"/>
  <c r="AV991" i="1"/>
  <c r="AW991" i="1"/>
  <c r="AU992" i="1"/>
  <c r="AV992" i="1"/>
  <c r="AW992" i="1"/>
  <c r="AU993" i="1"/>
  <c r="AV993" i="1"/>
  <c r="AW993" i="1"/>
  <c r="AU994" i="1"/>
  <c r="AV994" i="1"/>
  <c r="AW994" i="1"/>
  <c r="AU995" i="1"/>
  <c r="AV995" i="1"/>
  <c r="AW995" i="1"/>
  <c r="AU996" i="1"/>
  <c r="AV996" i="1"/>
  <c r="AW996" i="1"/>
  <c r="AU997" i="1"/>
  <c r="AV997" i="1"/>
  <c r="AW997" i="1"/>
  <c r="AU998" i="1"/>
  <c r="AV998" i="1"/>
  <c r="AW998" i="1"/>
  <c r="AU999" i="1"/>
  <c r="AV999" i="1"/>
  <c r="AW999" i="1"/>
  <c r="AU1000" i="1"/>
  <c r="AV1000" i="1"/>
  <c r="AW1000" i="1"/>
  <c r="AU1001" i="1"/>
  <c r="AV1001" i="1"/>
  <c r="AW1001" i="1"/>
  <c r="AU1002" i="1"/>
  <c r="AV1002" i="1"/>
  <c r="AW1002" i="1"/>
  <c r="AU1003" i="1"/>
  <c r="AV1003" i="1"/>
  <c r="AW1003" i="1"/>
  <c r="AU1004" i="1"/>
  <c r="AV1004" i="1"/>
  <c r="AW1004" i="1"/>
  <c r="AU1005" i="1"/>
  <c r="AV1005" i="1"/>
  <c r="AW1005" i="1"/>
  <c r="AU1006" i="1"/>
  <c r="AV1006" i="1"/>
  <c r="AW1006" i="1"/>
  <c r="AU1007" i="1"/>
  <c r="AV1007" i="1"/>
  <c r="AW1007" i="1"/>
  <c r="AU1008" i="1"/>
  <c r="AV1008" i="1"/>
  <c r="AW1008" i="1"/>
  <c r="AU1009" i="1"/>
  <c r="AV1009" i="1"/>
  <c r="AW1009" i="1"/>
  <c r="AU1010" i="1"/>
  <c r="AV1010" i="1"/>
  <c r="AW1010" i="1"/>
  <c r="AU1011" i="1"/>
  <c r="AV1011" i="1"/>
  <c r="AW1011" i="1"/>
  <c r="AU1012" i="1"/>
  <c r="AV1012" i="1"/>
  <c r="AW1012" i="1"/>
  <c r="AU1013" i="1"/>
  <c r="AV1013" i="1"/>
  <c r="AW1013" i="1"/>
  <c r="AU1014" i="1"/>
  <c r="AV1014" i="1"/>
  <c r="AW1014" i="1"/>
  <c r="AU1015" i="1"/>
  <c r="AV1015" i="1"/>
  <c r="AW1015" i="1"/>
  <c r="AU1016" i="1"/>
  <c r="AV1016" i="1"/>
  <c r="AW1016" i="1"/>
  <c r="AU1017" i="1"/>
  <c r="AV1017" i="1"/>
  <c r="AW1017" i="1"/>
  <c r="AU1018" i="1"/>
  <c r="AV1018" i="1"/>
  <c r="AW1018" i="1"/>
  <c r="AU1019" i="1"/>
  <c r="AV1019" i="1"/>
  <c r="AW1019" i="1"/>
  <c r="AU1020" i="1"/>
  <c r="AV1020" i="1"/>
  <c r="AW1020" i="1"/>
  <c r="AU1021" i="1"/>
  <c r="AV1021" i="1"/>
  <c r="AW1021" i="1"/>
  <c r="AU1022" i="1"/>
  <c r="AV1022" i="1"/>
  <c r="AW1022" i="1"/>
  <c r="AU1023" i="1"/>
  <c r="AV1023" i="1"/>
  <c r="AW1023" i="1"/>
  <c r="AU1024" i="1"/>
  <c r="AV1024" i="1"/>
  <c r="AW1024" i="1"/>
  <c r="AU1025" i="1"/>
  <c r="AV1025" i="1"/>
  <c r="AW1025" i="1"/>
  <c r="AU1026" i="1"/>
  <c r="AV1026" i="1"/>
  <c r="AW1026" i="1"/>
  <c r="AU1027" i="1"/>
  <c r="AV1027" i="1"/>
  <c r="AW1027" i="1"/>
  <c r="AU1028" i="1"/>
  <c r="AV1028" i="1"/>
  <c r="AW1028" i="1"/>
  <c r="AU1029" i="1"/>
  <c r="AV1029" i="1"/>
  <c r="AW1029" i="1"/>
  <c r="AU1030" i="1"/>
  <c r="AV1030" i="1"/>
  <c r="AW1030" i="1"/>
  <c r="AU1031" i="1"/>
  <c r="AV1031" i="1"/>
  <c r="AW1031" i="1"/>
  <c r="AU1032" i="1"/>
  <c r="AV1032" i="1"/>
  <c r="AW1032" i="1"/>
  <c r="AU1033" i="1"/>
  <c r="AV1033" i="1"/>
  <c r="AW1033" i="1"/>
  <c r="AU1034" i="1"/>
  <c r="AV1034" i="1"/>
  <c r="AW1034" i="1"/>
  <c r="AU1035" i="1"/>
  <c r="AV1035" i="1"/>
  <c r="AW1035" i="1"/>
  <c r="AU1036" i="1"/>
  <c r="AV1036" i="1"/>
  <c r="AW1036" i="1"/>
  <c r="AU1037" i="1"/>
  <c r="AV1037" i="1"/>
  <c r="AW1037" i="1"/>
  <c r="AU1038" i="1"/>
  <c r="AV1038" i="1"/>
  <c r="AW1038" i="1"/>
  <c r="AU1039" i="1"/>
  <c r="AV1039" i="1"/>
  <c r="AW1039" i="1"/>
  <c r="AU1040" i="1"/>
  <c r="AV1040" i="1"/>
  <c r="AW1040" i="1"/>
  <c r="AU1041" i="1"/>
  <c r="AV1041" i="1"/>
  <c r="AW1041" i="1"/>
  <c r="AU1042" i="1"/>
  <c r="AV1042" i="1"/>
  <c r="AW1042" i="1"/>
  <c r="AU1043" i="1"/>
  <c r="AV1043" i="1"/>
  <c r="AW1043" i="1"/>
  <c r="AU1044" i="1"/>
  <c r="AV1044" i="1"/>
  <c r="AW1044" i="1"/>
  <c r="AU1045" i="1"/>
  <c r="AV1045" i="1"/>
  <c r="AW1045" i="1"/>
  <c r="AU1046" i="1"/>
  <c r="AV1046" i="1"/>
  <c r="AW1046" i="1"/>
  <c r="AU1047" i="1"/>
  <c r="AV1047" i="1"/>
  <c r="AW1047" i="1"/>
  <c r="AU1048" i="1"/>
  <c r="AV1048" i="1"/>
  <c r="AW1048" i="1"/>
  <c r="AU1049" i="1"/>
  <c r="AV1049" i="1"/>
  <c r="AW1049" i="1"/>
  <c r="AU1050" i="1"/>
  <c r="AV1050" i="1"/>
  <c r="AW1050" i="1"/>
  <c r="AU1051" i="1"/>
  <c r="AV1051" i="1"/>
  <c r="AW1051" i="1"/>
  <c r="AU1052" i="1"/>
  <c r="AV1052" i="1"/>
  <c r="AW1052" i="1"/>
  <c r="AU1053" i="1"/>
  <c r="AV1053" i="1"/>
  <c r="AW1053" i="1"/>
  <c r="AU1054" i="1"/>
  <c r="AV1054" i="1"/>
  <c r="AW1054" i="1"/>
  <c r="AU1055" i="1"/>
  <c r="AV1055" i="1"/>
  <c r="AW1055" i="1"/>
  <c r="AU1056" i="1"/>
  <c r="AV1056" i="1"/>
  <c r="AW1056" i="1"/>
  <c r="AU1057" i="1"/>
  <c r="AV1057" i="1"/>
  <c r="AW1057" i="1"/>
  <c r="AU1058" i="1"/>
  <c r="AV1058" i="1"/>
  <c r="AW1058" i="1"/>
  <c r="AU1059" i="1"/>
  <c r="AV1059" i="1"/>
  <c r="AW1059" i="1"/>
  <c r="AU1060" i="1"/>
  <c r="AV1060" i="1"/>
  <c r="AW1060" i="1"/>
  <c r="AU1061" i="1"/>
  <c r="AV1061" i="1"/>
  <c r="AW1061" i="1"/>
  <c r="AU1062" i="1"/>
  <c r="AV1062" i="1"/>
  <c r="AW1062" i="1"/>
  <c r="AU1063" i="1"/>
  <c r="AV1063" i="1"/>
  <c r="AW1063" i="1"/>
  <c r="AU1064" i="1"/>
  <c r="AV1064" i="1"/>
  <c r="AW1064" i="1"/>
  <c r="AU1065" i="1"/>
  <c r="AV1065" i="1"/>
  <c r="AW1065" i="1"/>
  <c r="AU1066" i="1"/>
  <c r="AV1066" i="1"/>
  <c r="AW1066" i="1"/>
  <c r="AU1067" i="1"/>
  <c r="AV1067" i="1"/>
  <c r="AW1067" i="1"/>
  <c r="AU1068" i="1"/>
  <c r="AV1068" i="1"/>
  <c r="AW1068" i="1"/>
  <c r="AU1069" i="1"/>
  <c r="AV1069" i="1"/>
  <c r="AW1069" i="1"/>
  <c r="AU1070" i="1"/>
  <c r="AV1070" i="1"/>
  <c r="AW1070" i="1"/>
  <c r="AU1071" i="1"/>
  <c r="AV1071" i="1"/>
  <c r="AW1071" i="1"/>
  <c r="AU1072" i="1"/>
  <c r="AV1072" i="1"/>
  <c r="AW1072" i="1"/>
  <c r="AU1073" i="1"/>
  <c r="AV1073" i="1"/>
  <c r="AW1073" i="1"/>
  <c r="AU1074" i="1"/>
  <c r="AV1074" i="1"/>
  <c r="AW1074" i="1"/>
  <c r="AU1075" i="1"/>
  <c r="AV1075" i="1"/>
  <c r="AW1075" i="1"/>
  <c r="AU1076" i="1"/>
  <c r="AV1076" i="1"/>
  <c r="AW1076" i="1"/>
  <c r="AU1077" i="1"/>
  <c r="AV1077" i="1"/>
  <c r="AW1077" i="1"/>
  <c r="AU1078" i="1"/>
  <c r="AV1078" i="1"/>
  <c r="AW1078" i="1"/>
  <c r="AU1079" i="1"/>
  <c r="AV1079" i="1"/>
  <c r="AW1079" i="1"/>
  <c r="AU1080" i="1"/>
  <c r="AV1080" i="1"/>
  <c r="AW1080" i="1"/>
  <c r="AU1081" i="1"/>
  <c r="AV1081" i="1"/>
  <c r="AW1081" i="1"/>
  <c r="AU1082" i="1"/>
  <c r="AV1082" i="1"/>
  <c r="AW1082" i="1"/>
  <c r="AU1083" i="1"/>
  <c r="AV1083" i="1"/>
  <c r="AW1083" i="1"/>
  <c r="AU1084" i="1"/>
  <c r="AV1084" i="1"/>
  <c r="AW1084" i="1"/>
  <c r="AU1085" i="1"/>
  <c r="AV1085" i="1"/>
  <c r="AW1085" i="1"/>
  <c r="AU1086" i="1"/>
  <c r="AV1086" i="1"/>
  <c r="AW1086" i="1"/>
  <c r="AU1087" i="1"/>
  <c r="AV1087" i="1"/>
  <c r="AW1087" i="1"/>
  <c r="AU1088" i="1"/>
  <c r="AV1088" i="1"/>
  <c r="AW1088" i="1"/>
  <c r="AU1089" i="1"/>
  <c r="AV1089" i="1"/>
  <c r="AW1089" i="1"/>
  <c r="AU1090" i="1"/>
  <c r="AV1090" i="1"/>
  <c r="AW1090" i="1"/>
  <c r="AU1091" i="1"/>
  <c r="AV1091" i="1"/>
  <c r="AW1091" i="1"/>
  <c r="AU1092" i="1"/>
  <c r="AV1092" i="1"/>
  <c r="AW1092" i="1"/>
  <c r="AU1093" i="1"/>
  <c r="AV1093" i="1"/>
  <c r="AW1093" i="1"/>
  <c r="AU1094" i="1"/>
  <c r="AV1094" i="1"/>
  <c r="AW1094" i="1"/>
  <c r="AU1095" i="1"/>
  <c r="AV1095" i="1"/>
  <c r="AW1095" i="1"/>
  <c r="AU1096" i="1"/>
  <c r="AV1096" i="1"/>
  <c r="AW1096" i="1"/>
  <c r="AU1097" i="1"/>
  <c r="AV1097" i="1"/>
  <c r="AW1097" i="1"/>
  <c r="AU1098" i="1"/>
  <c r="AV1098" i="1"/>
  <c r="AW1098" i="1"/>
  <c r="AU1099" i="1"/>
  <c r="AV1099" i="1"/>
  <c r="AW1099" i="1"/>
  <c r="AU1100" i="1"/>
  <c r="AV1100" i="1"/>
  <c r="AW1100" i="1"/>
  <c r="AU1101" i="1"/>
  <c r="AV1101" i="1"/>
  <c r="AW1101" i="1"/>
  <c r="AU1102" i="1"/>
  <c r="AV1102" i="1"/>
  <c r="AW1102" i="1"/>
  <c r="AU1103" i="1"/>
  <c r="AV1103" i="1"/>
  <c r="AW1103" i="1"/>
  <c r="AU1104" i="1"/>
  <c r="AV1104" i="1"/>
  <c r="AW1104" i="1"/>
  <c r="AU1105" i="1"/>
  <c r="AV1105" i="1"/>
  <c r="AW1105" i="1"/>
  <c r="AU1106" i="1"/>
  <c r="AV1106" i="1"/>
  <c r="AW1106" i="1"/>
  <c r="AU1107" i="1"/>
  <c r="AV1107" i="1"/>
  <c r="AW1107" i="1"/>
  <c r="AU1108" i="1"/>
  <c r="AV1108" i="1"/>
  <c r="AW1108" i="1"/>
  <c r="AU1109" i="1"/>
  <c r="AV1109" i="1"/>
  <c r="AW1109" i="1"/>
  <c r="AU1110" i="1"/>
  <c r="AV1110" i="1"/>
  <c r="AW1110" i="1"/>
  <c r="AU1111" i="1"/>
  <c r="AV1111" i="1"/>
  <c r="AW1111" i="1"/>
  <c r="AU1112" i="1"/>
  <c r="AV1112" i="1"/>
  <c r="AW1112" i="1"/>
  <c r="AU1113" i="1"/>
  <c r="AV1113" i="1"/>
  <c r="AW1113" i="1"/>
  <c r="AU1114" i="1"/>
  <c r="AV1114" i="1"/>
  <c r="AW1114" i="1"/>
  <c r="AU1115" i="1"/>
  <c r="AV1115" i="1"/>
  <c r="AW1115" i="1"/>
  <c r="AU1116" i="1"/>
  <c r="AV1116" i="1"/>
  <c r="AW1116" i="1"/>
  <c r="AU1117" i="1"/>
  <c r="AV1117" i="1"/>
  <c r="AW1117" i="1"/>
  <c r="AU1118" i="1"/>
  <c r="AV1118" i="1"/>
  <c r="AW1118" i="1"/>
  <c r="AU1119" i="1"/>
  <c r="AV1119" i="1"/>
  <c r="AW1119" i="1"/>
  <c r="AU1120" i="1"/>
  <c r="AV1120" i="1"/>
  <c r="AW1120" i="1"/>
  <c r="AU1121" i="1"/>
  <c r="AV1121" i="1"/>
  <c r="AW1121" i="1"/>
  <c r="AU1122" i="1"/>
  <c r="AV1122" i="1"/>
  <c r="AW1122" i="1"/>
  <c r="AU1123" i="1"/>
  <c r="AV1123" i="1"/>
  <c r="AW1123" i="1"/>
  <c r="AU1124" i="1"/>
  <c r="AV1124" i="1"/>
  <c r="AW1124" i="1"/>
  <c r="AU1125" i="1"/>
  <c r="AV1125" i="1"/>
  <c r="AW1125" i="1"/>
  <c r="AU1126" i="1"/>
  <c r="AV1126" i="1"/>
  <c r="AW1126" i="1"/>
  <c r="AU1127" i="1"/>
  <c r="AV1127" i="1"/>
  <c r="AW1127" i="1"/>
  <c r="AU1128" i="1"/>
  <c r="AV1128" i="1"/>
  <c r="AW1128" i="1"/>
  <c r="AU1129" i="1"/>
  <c r="AV1129" i="1"/>
  <c r="AW1129" i="1"/>
  <c r="AU1130" i="1"/>
  <c r="AV1130" i="1"/>
  <c r="AW1130" i="1"/>
  <c r="AU1131" i="1"/>
  <c r="AV1131" i="1"/>
  <c r="AW1131" i="1"/>
  <c r="AU1132" i="1"/>
  <c r="AV1132" i="1"/>
  <c r="AW1132" i="1"/>
  <c r="AU1133" i="1"/>
  <c r="AV1133" i="1"/>
  <c r="AW1133" i="1"/>
  <c r="AU1134" i="1"/>
  <c r="AV1134" i="1"/>
  <c r="AW1134" i="1"/>
  <c r="AU1135" i="1"/>
  <c r="AV1135" i="1"/>
  <c r="AW1135" i="1"/>
  <c r="AU1136" i="1"/>
  <c r="AV1136" i="1"/>
  <c r="AW1136" i="1"/>
  <c r="AU1137" i="1"/>
  <c r="AV1137" i="1"/>
  <c r="AW1137" i="1"/>
  <c r="AU1138" i="1"/>
  <c r="AV1138" i="1"/>
  <c r="AW1138" i="1"/>
  <c r="AU1139" i="1"/>
  <c r="AV1139" i="1"/>
  <c r="AW1139" i="1"/>
  <c r="AU1140" i="1"/>
  <c r="AV1140" i="1"/>
  <c r="AW1140" i="1"/>
  <c r="AU1141" i="1"/>
  <c r="AV1141" i="1"/>
  <c r="AW1141" i="1"/>
  <c r="AU1142" i="1"/>
  <c r="AV1142" i="1"/>
  <c r="AW1142" i="1"/>
  <c r="AU1143" i="1"/>
  <c r="AV1143" i="1"/>
  <c r="AW1143" i="1"/>
  <c r="AU1144" i="1"/>
  <c r="AV1144" i="1"/>
  <c r="AW1144" i="1"/>
  <c r="AU1145" i="1"/>
  <c r="AV1145" i="1"/>
  <c r="AW1145" i="1"/>
  <c r="AU1146" i="1"/>
  <c r="AV1146" i="1"/>
  <c r="AW1146" i="1"/>
  <c r="AU1147" i="1"/>
  <c r="AV1147" i="1"/>
  <c r="AW1147" i="1"/>
  <c r="AU1148" i="1"/>
  <c r="AV1148" i="1"/>
  <c r="AW1148" i="1"/>
  <c r="AU1149" i="1"/>
  <c r="AV1149" i="1"/>
  <c r="AW1149" i="1"/>
  <c r="AU1150" i="1"/>
  <c r="AV1150" i="1"/>
  <c r="AW1150" i="1"/>
  <c r="AU1151" i="1"/>
  <c r="AV1151" i="1"/>
  <c r="AW1151" i="1"/>
  <c r="AU1152" i="1"/>
  <c r="AV1152" i="1"/>
  <c r="AW1152" i="1"/>
  <c r="AU1153" i="1"/>
  <c r="AV1153" i="1"/>
  <c r="AW1153" i="1"/>
  <c r="AU1154" i="1"/>
  <c r="AV1154" i="1"/>
  <c r="AW1154" i="1"/>
  <c r="AU1155" i="1"/>
  <c r="AV1155" i="1"/>
  <c r="AW1155" i="1"/>
  <c r="AU1156" i="1"/>
  <c r="AV1156" i="1"/>
  <c r="AW1156" i="1"/>
  <c r="AU1157" i="1"/>
  <c r="AV1157" i="1"/>
  <c r="AW1157" i="1"/>
  <c r="AU1158" i="1"/>
  <c r="AV1158" i="1"/>
  <c r="AW1158" i="1"/>
  <c r="AU1159" i="1"/>
  <c r="AV1159" i="1"/>
  <c r="AW1159" i="1"/>
  <c r="AU1160" i="1"/>
  <c r="AV1160" i="1"/>
  <c r="AW1160" i="1"/>
  <c r="AU1161" i="1"/>
  <c r="AV1161" i="1"/>
  <c r="AW1161" i="1"/>
  <c r="AU1162" i="1"/>
  <c r="AV1162" i="1"/>
  <c r="AW1162" i="1"/>
  <c r="AU1163" i="1"/>
  <c r="AV1163" i="1"/>
  <c r="AW1163" i="1"/>
  <c r="AU1164" i="1"/>
  <c r="AV1164" i="1"/>
  <c r="AW1164" i="1"/>
  <c r="AU1165" i="1"/>
  <c r="AV1165" i="1"/>
  <c r="AW1165" i="1"/>
  <c r="AU1166" i="1"/>
  <c r="AV1166" i="1"/>
  <c r="AW1166" i="1"/>
  <c r="AU1167" i="1"/>
  <c r="AV1167" i="1"/>
  <c r="AW1167" i="1"/>
  <c r="AU1168" i="1"/>
  <c r="AV1168" i="1"/>
  <c r="AW1168" i="1"/>
  <c r="AU1169" i="1"/>
  <c r="AV1169" i="1"/>
  <c r="AW1169" i="1"/>
  <c r="AU1170" i="1"/>
  <c r="AV1170" i="1"/>
  <c r="AW1170" i="1"/>
  <c r="AU1171" i="1"/>
  <c r="AV1171" i="1"/>
  <c r="AW1171" i="1"/>
  <c r="AU1172" i="1"/>
  <c r="AV1172" i="1"/>
  <c r="AW1172" i="1"/>
  <c r="AU1173" i="1"/>
  <c r="AV1173" i="1"/>
  <c r="AW1173" i="1"/>
  <c r="AU1174" i="1"/>
  <c r="AV1174" i="1"/>
  <c r="AW1174" i="1"/>
  <c r="AU1175" i="1"/>
  <c r="AV1175" i="1"/>
  <c r="AW1175" i="1"/>
  <c r="AU1176" i="1"/>
  <c r="AV1176" i="1"/>
  <c r="AW1176" i="1"/>
  <c r="AU1177" i="1"/>
  <c r="AV1177" i="1"/>
  <c r="AW1177" i="1"/>
  <c r="AU1178" i="1"/>
  <c r="AV1178" i="1"/>
  <c r="AW1178" i="1"/>
  <c r="AU1179" i="1"/>
  <c r="AV1179" i="1"/>
  <c r="AW1179" i="1"/>
  <c r="AU1180" i="1"/>
  <c r="AV1180" i="1"/>
  <c r="AW1180" i="1"/>
  <c r="AU1181" i="1"/>
  <c r="AV1181" i="1"/>
  <c r="AW1181" i="1"/>
  <c r="AU1182" i="1"/>
  <c r="AV1182" i="1"/>
  <c r="AW1182" i="1"/>
  <c r="AU1183" i="1"/>
  <c r="AV1183" i="1"/>
  <c r="AW1183" i="1"/>
  <c r="AU1184" i="1"/>
  <c r="AV1184" i="1"/>
  <c r="AW1184" i="1"/>
  <c r="AU1185" i="1"/>
  <c r="AV1185" i="1"/>
  <c r="AW1185" i="1"/>
  <c r="AU1186" i="1"/>
  <c r="AV1186" i="1"/>
  <c r="AW1186" i="1"/>
  <c r="AU1187" i="1"/>
  <c r="AV1187" i="1"/>
  <c r="AW1187" i="1"/>
  <c r="AU1188" i="1"/>
  <c r="AV1188" i="1"/>
  <c r="AW1188" i="1"/>
  <c r="AU1189" i="1"/>
  <c r="AV1189" i="1"/>
  <c r="AW1189" i="1"/>
  <c r="AU1190" i="1"/>
  <c r="AV1190" i="1"/>
  <c r="AW1190" i="1"/>
  <c r="AU1191" i="1"/>
  <c r="AV1191" i="1"/>
  <c r="AW1191" i="1"/>
  <c r="AU1192" i="1"/>
  <c r="AV1192" i="1"/>
  <c r="AW1192" i="1"/>
  <c r="AU1193" i="1"/>
  <c r="AV1193" i="1"/>
  <c r="AW1193" i="1"/>
  <c r="AU1194" i="1"/>
  <c r="AV1194" i="1"/>
  <c r="AW1194" i="1"/>
  <c r="AU1195" i="1"/>
  <c r="AV1195" i="1"/>
  <c r="AW1195" i="1"/>
  <c r="AU1196" i="1"/>
  <c r="AV1196" i="1"/>
  <c r="AW1196" i="1"/>
  <c r="AU1197" i="1"/>
  <c r="AV1197" i="1"/>
  <c r="AW1197" i="1"/>
  <c r="AU1198" i="1"/>
  <c r="AV1198" i="1"/>
  <c r="AW1198" i="1"/>
  <c r="AU1199" i="1"/>
  <c r="AV1199" i="1"/>
  <c r="AW1199" i="1"/>
  <c r="AU1200" i="1"/>
  <c r="AV1200" i="1"/>
  <c r="AW1200" i="1"/>
  <c r="AU1201" i="1"/>
  <c r="AV1201" i="1"/>
  <c r="AW1201" i="1"/>
  <c r="AU1202" i="1"/>
  <c r="AV1202" i="1"/>
  <c r="AW1202" i="1"/>
  <c r="AU1203" i="1"/>
  <c r="AV1203" i="1"/>
  <c r="AW1203" i="1"/>
  <c r="AU1204" i="1"/>
  <c r="AV1204" i="1"/>
  <c r="AW1204" i="1"/>
  <c r="AU1205" i="1"/>
  <c r="AV1205" i="1"/>
  <c r="AW1205" i="1"/>
  <c r="AU1206" i="1"/>
  <c r="AV1206" i="1"/>
  <c r="AW1206" i="1"/>
  <c r="AU1207" i="1"/>
  <c r="AV1207" i="1"/>
  <c r="AW1207" i="1"/>
  <c r="AU1208" i="1"/>
  <c r="AV1208" i="1"/>
  <c r="AW1208" i="1"/>
  <c r="AU1209" i="1"/>
  <c r="AV1209" i="1"/>
  <c r="AW1209" i="1"/>
  <c r="AU1210" i="1"/>
  <c r="AV1210" i="1"/>
  <c r="AW1210" i="1"/>
  <c r="AU1211" i="1"/>
  <c r="AV1211" i="1"/>
  <c r="AW1211" i="1"/>
  <c r="AU1212" i="1"/>
  <c r="AV1212" i="1"/>
  <c r="AW1212" i="1"/>
  <c r="AU1213" i="1"/>
  <c r="AV1213" i="1"/>
  <c r="AW1213" i="1"/>
  <c r="AU1214" i="1"/>
  <c r="AV1214" i="1"/>
  <c r="AW1214" i="1"/>
  <c r="AU1215" i="1"/>
  <c r="AV1215" i="1"/>
  <c r="AW1215" i="1"/>
  <c r="AU1216" i="1"/>
  <c r="AV1216" i="1"/>
  <c r="AW1216" i="1"/>
  <c r="AU1217" i="1"/>
  <c r="AV1217" i="1"/>
  <c r="AW1217" i="1"/>
  <c r="AU1218" i="1"/>
  <c r="AV1218" i="1"/>
  <c r="AW1218" i="1"/>
  <c r="AU1219" i="1"/>
  <c r="AV1219" i="1"/>
  <c r="AW1219" i="1"/>
  <c r="AU1220" i="1"/>
  <c r="AV1220" i="1"/>
  <c r="AW1220" i="1"/>
  <c r="AU1221" i="1"/>
  <c r="AV1221" i="1"/>
  <c r="AW1221" i="1"/>
  <c r="AU1222" i="1"/>
  <c r="AV1222" i="1"/>
  <c r="AW1222" i="1"/>
  <c r="AU1223" i="1"/>
  <c r="AV1223" i="1"/>
  <c r="AW1223" i="1"/>
  <c r="AU1224" i="1"/>
  <c r="AV1224" i="1"/>
  <c r="AW1224" i="1"/>
  <c r="AU1225" i="1"/>
  <c r="AV1225" i="1"/>
  <c r="AW1225" i="1"/>
  <c r="AU1226" i="1"/>
  <c r="AV1226" i="1"/>
  <c r="AW1226" i="1"/>
  <c r="AU1227" i="1"/>
  <c r="AV1227" i="1"/>
  <c r="AW1227" i="1"/>
  <c r="AU1228" i="1"/>
  <c r="AV1228" i="1"/>
  <c r="AW1228" i="1"/>
  <c r="AU1229" i="1"/>
  <c r="AV1229" i="1"/>
  <c r="AW1229" i="1"/>
  <c r="AU1230" i="1"/>
  <c r="AV1230" i="1"/>
  <c r="AW1230" i="1"/>
  <c r="AU1231" i="1"/>
  <c r="AV1231" i="1"/>
  <c r="AW1231" i="1"/>
  <c r="AU1232" i="1"/>
  <c r="AV1232" i="1"/>
  <c r="AW1232" i="1"/>
  <c r="AU1233" i="1"/>
  <c r="AV1233" i="1"/>
  <c r="AW1233" i="1"/>
  <c r="AU1234" i="1"/>
  <c r="AV1234" i="1"/>
  <c r="AW1234" i="1"/>
  <c r="AU1235" i="1"/>
  <c r="AV1235" i="1"/>
  <c r="AW1235" i="1"/>
  <c r="AU1236" i="1"/>
  <c r="AV1236" i="1"/>
  <c r="AW1236" i="1"/>
  <c r="AU1237" i="1"/>
  <c r="AV1237" i="1"/>
  <c r="AW1237" i="1"/>
  <c r="AU1238" i="1"/>
  <c r="AV1238" i="1"/>
  <c r="AW1238" i="1"/>
  <c r="AU1239" i="1"/>
  <c r="AV1239" i="1"/>
  <c r="AW1239" i="1"/>
  <c r="AU1240" i="1"/>
  <c r="AV1240" i="1"/>
  <c r="AW1240" i="1"/>
  <c r="AU1241" i="1"/>
  <c r="AV1241" i="1"/>
  <c r="AW1241" i="1"/>
  <c r="AU1242" i="1"/>
  <c r="AV1242" i="1"/>
  <c r="AW1242" i="1"/>
  <c r="AU1243" i="1"/>
  <c r="AV1243" i="1"/>
  <c r="AW1243" i="1"/>
  <c r="AU1244" i="1"/>
  <c r="AV1244" i="1"/>
  <c r="AW1244" i="1"/>
  <c r="AU1245" i="1"/>
  <c r="AV1245" i="1"/>
  <c r="AW1245" i="1"/>
  <c r="AU1246" i="1"/>
  <c r="AV1246" i="1"/>
  <c r="AW1246" i="1"/>
  <c r="AU1247" i="1"/>
  <c r="AV1247" i="1"/>
  <c r="AW1247" i="1"/>
  <c r="AU1248" i="1"/>
  <c r="AV1248" i="1"/>
  <c r="AW1248" i="1"/>
  <c r="AU1249" i="1"/>
  <c r="AV1249" i="1"/>
  <c r="AW1249" i="1"/>
  <c r="AU1250" i="1"/>
  <c r="AV1250" i="1"/>
  <c r="AW1250" i="1"/>
  <c r="AU1251" i="1"/>
  <c r="AV1251" i="1"/>
  <c r="AW1251" i="1"/>
  <c r="AU1252" i="1"/>
  <c r="AV1252" i="1"/>
  <c r="AW1252" i="1"/>
  <c r="AU1253" i="1"/>
  <c r="AV1253" i="1"/>
  <c r="AW1253" i="1"/>
  <c r="AU1254" i="1"/>
  <c r="AV1254" i="1"/>
  <c r="AW1254" i="1"/>
  <c r="AU1255" i="1"/>
  <c r="AV1255" i="1"/>
  <c r="AW1255" i="1"/>
  <c r="AU1256" i="1"/>
  <c r="AV1256" i="1"/>
  <c r="AW1256" i="1"/>
  <c r="AU1257" i="1"/>
  <c r="AV1257" i="1"/>
  <c r="AW1257" i="1"/>
  <c r="AU1258" i="1"/>
  <c r="AV1258" i="1"/>
  <c r="AW1258" i="1"/>
  <c r="AU1259" i="1"/>
  <c r="AV1259" i="1"/>
  <c r="AW1259" i="1"/>
  <c r="AU1260" i="1"/>
  <c r="AV1260" i="1"/>
  <c r="AW1260" i="1"/>
  <c r="AU1261" i="1"/>
  <c r="AV1261" i="1"/>
  <c r="AW1261" i="1"/>
  <c r="AU1262" i="1"/>
  <c r="AV1262" i="1"/>
  <c r="AW1262" i="1"/>
  <c r="AU1263" i="1"/>
  <c r="AV1263" i="1"/>
  <c r="AW1263" i="1"/>
  <c r="AU1264" i="1"/>
  <c r="AV1264" i="1"/>
  <c r="AW1264" i="1"/>
  <c r="AU1265" i="1"/>
  <c r="AV1265" i="1"/>
  <c r="AW1265" i="1"/>
  <c r="AU1266" i="1"/>
  <c r="AV1266" i="1"/>
  <c r="AW1266" i="1"/>
  <c r="AU1267" i="1"/>
  <c r="AV1267" i="1"/>
  <c r="AW1267" i="1"/>
  <c r="AU1268" i="1"/>
  <c r="AV1268" i="1"/>
  <c r="AW1268" i="1"/>
  <c r="AU1269" i="1"/>
  <c r="AV1269" i="1"/>
  <c r="AW1269" i="1"/>
  <c r="AU1270" i="1"/>
  <c r="AV1270" i="1"/>
  <c r="AW1270" i="1"/>
  <c r="AU1271" i="1"/>
  <c r="AV1271" i="1"/>
  <c r="AW1271" i="1"/>
  <c r="AU1272" i="1"/>
  <c r="AV1272" i="1"/>
  <c r="AW1272" i="1"/>
  <c r="AU1273" i="1"/>
  <c r="AV1273" i="1"/>
  <c r="AW1273" i="1"/>
  <c r="AU1274" i="1"/>
  <c r="AV1274" i="1"/>
  <c r="AW1274" i="1"/>
  <c r="AU1275" i="1"/>
  <c r="AV1275" i="1"/>
  <c r="AW1275" i="1"/>
  <c r="AU1276" i="1"/>
  <c r="AV1276" i="1"/>
  <c r="AW1276" i="1"/>
  <c r="AU1277" i="1"/>
  <c r="AV1277" i="1"/>
  <c r="AW1277" i="1"/>
  <c r="AU1278" i="1"/>
  <c r="AV1278" i="1"/>
  <c r="AW1278" i="1"/>
  <c r="AU1279" i="1"/>
  <c r="AV1279" i="1"/>
  <c r="AW1279" i="1"/>
  <c r="AU1280" i="1"/>
  <c r="AV1280" i="1"/>
  <c r="AW1280" i="1"/>
  <c r="AU1281" i="1"/>
  <c r="AV1281" i="1"/>
  <c r="AW1281" i="1"/>
  <c r="AU1282" i="1"/>
  <c r="AV1282" i="1"/>
  <c r="AW1282" i="1"/>
  <c r="AU1283" i="1"/>
  <c r="AV1283" i="1"/>
  <c r="AW1283" i="1"/>
  <c r="AU1284" i="1"/>
  <c r="AV1284" i="1"/>
  <c r="AW1284" i="1"/>
  <c r="AU1285" i="1"/>
  <c r="AV1285" i="1"/>
  <c r="AW1285" i="1"/>
  <c r="AU1286" i="1"/>
  <c r="AV1286" i="1"/>
  <c r="AW1286" i="1"/>
  <c r="AU1287" i="1"/>
  <c r="AV1287" i="1"/>
  <c r="AW1287" i="1"/>
  <c r="AU1288" i="1"/>
  <c r="AV1288" i="1"/>
  <c r="AW1288" i="1"/>
  <c r="AU1289" i="1"/>
  <c r="AV1289" i="1"/>
  <c r="AW1289" i="1"/>
  <c r="AU1290" i="1"/>
  <c r="AV1290" i="1"/>
  <c r="AW1290" i="1"/>
  <c r="AU1291" i="1"/>
  <c r="AV1291" i="1"/>
  <c r="AW1291" i="1"/>
  <c r="AU1292" i="1"/>
  <c r="AV1292" i="1"/>
  <c r="AW1292" i="1"/>
  <c r="AU1293" i="1"/>
  <c r="AV1293" i="1"/>
  <c r="AW1293" i="1"/>
  <c r="AU1294" i="1"/>
  <c r="AV1294" i="1"/>
  <c r="AW1294" i="1"/>
  <c r="AU1295" i="1"/>
  <c r="AV1295" i="1"/>
  <c r="AW1295" i="1"/>
  <c r="AU1296" i="1"/>
  <c r="AV1296" i="1"/>
  <c r="AW1296" i="1"/>
  <c r="AU1297" i="1"/>
  <c r="AV1297" i="1"/>
  <c r="AW1297" i="1"/>
  <c r="AU1298" i="1"/>
  <c r="AV1298" i="1"/>
  <c r="AW1298" i="1"/>
  <c r="AU1299" i="1"/>
  <c r="AV1299" i="1"/>
  <c r="AW1299" i="1"/>
  <c r="AU1300" i="1"/>
  <c r="AV1300" i="1"/>
  <c r="AW1300" i="1"/>
  <c r="AU1301" i="1"/>
  <c r="AV1301" i="1"/>
  <c r="AW1301" i="1"/>
  <c r="AU1302" i="1"/>
  <c r="AV1302" i="1"/>
  <c r="AW1302" i="1"/>
  <c r="AU1303" i="1"/>
  <c r="AV1303" i="1"/>
  <c r="AW1303" i="1"/>
  <c r="AU1304" i="1"/>
  <c r="AV1304" i="1"/>
  <c r="AW1304" i="1"/>
  <c r="AU1305" i="1"/>
  <c r="AV1305" i="1"/>
  <c r="AW1305" i="1"/>
  <c r="AU1306" i="1"/>
  <c r="AV1306" i="1"/>
  <c r="AW1306" i="1"/>
  <c r="AU1307" i="1"/>
  <c r="AV1307" i="1"/>
  <c r="AW1307" i="1"/>
  <c r="AU1308" i="1"/>
  <c r="AV1308" i="1"/>
  <c r="AW1308" i="1"/>
  <c r="AU1309" i="1"/>
  <c r="AV1309" i="1"/>
  <c r="AW1309" i="1"/>
  <c r="AU1310" i="1"/>
  <c r="AV1310" i="1"/>
  <c r="AW1310" i="1"/>
  <c r="AU1311" i="1"/>
  <c r="AV1311" i="1"/>
  <c r="AW1311" i="1"/>
  <c r="AU1312" i="1"/>
  <c r="AV1312" i="1"/>
  <c r="AW1312" i="1"/>
  <c r="AU1313" i="1"/>
  <c r="AV1313" i="1"/>
  <c r="AW1313" i="1"/>
  <c r="AU1314" i="1"/>
  <c r="AV1314" i="1"/>
  <c r="AW1314" i="1"/>
  <c r="AU1315" i="1"/>
  <c r="AV1315" i="1"/>
  <c r="AW1315" i="1"/>
  <c r="AU1316" i="1"/>
  <c r="AV1316" i="1"/>
  <c r="AW1316" i="1"/>
  <c r="AU1317" i="1"/>
  <c r="AV1317" i="1"/>
  <c r="AW1317" i="1"/>
  <c r="AU1318" i="1"/>
  <c r="AV1318" i="1"/>
  <c r="AW1318" i="1"/>
  <c r="AU1319" i="1"/>
  <c r="AV1319" i="1"/>
  <c r="AW1319" i="1"/>
  <c r="AU1320" i="1"/>
  <c r="AV1320" i="1"/>
  <c r="AW1320" i="1"/>
  <c r="AU1321" i="1"/>
  <c r="AV1321" i="1"/>
  <c r="AW1321" i="1"/>
  <c r="AU1322" i="1"/>
  <c r="AV1322" i="1"/>
  <c r="AW1322" i="1"/>
  <c r="AU1323" i="1"/>
  <c r="AV1323" i="1"/>
  <c r="AW1323" i="1"/>
  <c r="AU1324" i="1"/>
  <c r="AV1324" i="1"/>
  <c r="AW1324" i="1"/>
  <c r="AU1325" i="1"/>
  <c r="AV1325" i="1"/>
  <c r="AW1325" i="1"/>
  <c r="AU1326" i="1"/>
  <c r="AV1326" i="1"/>
  <c r="AW1326" i="1"/>
  <c r="AU1327" i="1"/>
  <c r="AV1327" i="1"/>
  <c r="AW1327" i="1"/>
  <c r="AU1328" i="1"/>
  <c r="AV1328" i="1"/>
  <c r="AW1328" i="1"/>
  <c r="AU1329" i="1"/>
  <c r="AV1329" i="1"/>
  <c r="AW1329" i="1"/>
  <c r="AU1330" i="1"/>
  <c r="AV1330" i="1"/>
  <c r="AW1330" i="1"/>
  <c r="AU1331" i="1"/>
  <c r="AV1331" i="1"/>
  <c r="AW1331" i="1"/>
  <c r="AU1332" i="1"/>
  <c r="AV1332" i="1"/>
  <c r="AW1332" i="1"/>
  <c r="AU1333" i="1"/>
  <c r="AV1333" i="1"/>
  <c r="AW1333" i="1"/>
  <c r="AU1334" i="1"/>
  <c r="AV1334" i="1"/>
  <c r="AW1334" i="1"/>
  <c r="AU1335" i="1"/>
  <c r="AV1335" i="1"/>
  <c r="AW1335" i="1"/>
  <c r="AU1336" i="1"/>
  <c r="AV1336" i="1"/>
  <c r="AW1336" i="1"/>
  <c r="AU1337" i="1"/>
  <c r="AV1337" i="1"/>
  <c r="AW1337" i="1"/>
  <c r="AU1338" i="1"/>
  <c r="AV1338" i="1"/>
  <c r="AW1338" i="1"/>
  <c r="AU1339" i="1"/>
  <c r="AV1339" i="1"/>
  <c r="AW1339" i="1"/>
  <c r="AU1340" i="1"/>
  <c r="AV1340" i="1"/>
  <c r="AW1340" i="1"/>
  <c r="AU1341" i="1"/>
  <c r="AV1341" i="1"/>
  <c r="AW1341" i="1"/>
  <c r="AU1342" i="1"/>
  <c r="AV1342" i="1"/>
  <c r="AW1342" i="1"/>
  <c r="AU1343" i="1"/>
  <c r="AV1343" i="1"/>
  <c r="AW1343" i="1"/>
  <c r="AU1344" i="1"/>
  <c r="AV1344" i="1"/>
  <c r="AW1344" i="1"/>
  <c r="AU1345" i="1"/>
  <c r="AV1345" i="1"/>
  <c r="AW1345" i="1"/>
  <c r="AU1346" i="1"/>
  <c r="AV1346" i="1"/>
  <c r="AW1346" i="1"/>
  <c r="AU1347" i="1"/>
  <c r="AV1347" i="1"/>
  <c r="AW1347" i="1"/>
  <c r="AU1348" i="1"/>
  <c r="AV1348" i="1"/>
  <c r="AW1348" i="1"/>
  <c r="AU1349" i="1"/>
  <c r="AV1349" i="1"/>
  <c r="AW1349" i="1"/>
  <c r="AU1350" i="1"/>
  <c r="AV1350" i="1"/>
  <c r="AW1350" i="1"/>
  <c r="AU1351" i="1"/>
  <c r="AV1351" i="1"/>
  <c r="AW1351" i="1"/>
  <c r="AU1352" i="1"/>
  <c r="AV1352" i="1"/>
  <c r="AW1352" i="1"/>
  <c r="AU1353" i="1"/>
  <c r="AV1353" i="1"/>
  <c r="AW1353" i="1"/>
  <c r="AU1354" i="1"/>
  <c r="AV1354" i="1"/>
  <c r="AW1354" i="1"/>
  <c r="AU1355" i="1"/>
  <c r="AV1355" i="1"/>
  <c r="AW1355" i="1"/>
  <c r="AU1356" i="1"/>
  <c r="AV1356" i="1"/>
  <c r="AW1356" i="1"/>
  <c r="AU1357" i="1"/>
  <c r="AV1357" i="1"/>
  <c r="AW1357" i="1"/>
  <c r="AU1358" i="1"/>
  <c r="AV1358" i="1"/>
  <c r="AW1358" i="1"/>
  <c r="AU1359" i="1"/>
  <c r="AV1359" i="1"/>
  <c r="AW1359" i="1"/>
  <c r="AU1360" i="1"/>
  <c r="AV1360" i="1"/>
  <c r="AW1360" i="1"/>
  <c r="AU1361" i="1"/>
  <c r="AV1361" i="1"/>
  <c r="AW1361" i="1"/>
  <c r="AU1362" i="1"/>
  <c r="AV1362" i="1"/>
  <c r="AW1362" i="1"/>
  <c r="AU1363" i="1"/>
  <c r="AV1363" i="1"/>
  <c r="AW1363" i="1"/>
  <c r="AU1364" i="1"/>
  <c r="AV1364" i="1"/>
  <c r="AW1364" i="1"/>
  <c r="AU1365" i="1"/>
  <c r="AV1365" i="1"/>
  <c r="AW1365" i="1"/>
  <c r="AU1366" i="1"/>
  <c r="AV1366" i="1"/>
  <c r="AW1366" i="1"/>
  <c r="AU1367" i="1"/>
  <c r="AV1367" i="1"/>
  <c r="AW1367" i="1"/>
  <c r="AU1368" i="1"/>
  <c r="AV1368" i="1"/>
  <c r="AW1368" i="1"/>
  <c r="AU1369" i="1"/>
  <c r="AV1369" i="1"/>
  <c r="AW1369" i="1"/>
  <c r="AU1370" i="1"/>
  <c r="AV1370" i="1"/>
  <c r="AW1370" i="1"/>
  <c r="AU1371" i="1"/>
  <c r="AV1371" i="1"/>
  <c r="AW1371" i="1"/>
  <c r="AU1372" i="1"/>
  <c r="AV1372" i="1"/>
  <c r="AW1372" i="1"/>
  <c r="AU1373" i="1"/>
  <c r="AV1373" i="1"/>
  <c r="AW1373" i="1"/>
  <c r="AU1374" i="1"/>
  <c r="AV1374" i="1"/>
  <c r="AW1374" i="1"/>
  <c r="AU1375" i="1"/>
  <c r="AV1375" i="1"/>
  <c r="AW1375" i="1"/>
  <c r="AU1376" i="1"/>
  <c r="AV1376" i="1"/>
  <c r="AW1376" i="1"/>
  <c r="AU1377" i="1"/>
  <c r="AV1377" i="1"/>
  <c r="AW1377" i="1"/>
  <c r="AU1378" i="1"/>
  <c r="AV1378" i="1"/>
  <c r="AW1378" i="1"/>
  <c r="AU1379" i="1"/>
  <c r="AV1379" i="1"/>
  <c r="AW1379" i="1"/>
  <c r="AU1380" i="1"/>
  <c r="AV1380" i="1"/>
  <c r="AW1380" i="1"/>
  <c r="AU1381" i="1"/>
  <c r="AV1381" i="1"/>
  <c r="AW1381" i="1"/>
  <c r="AU1382" i="1"/>
  <c r="AV1382" i="1"/>
  <c r="AW1382" i="1"/>
  <c r="AU1383" i="1"/>
  <c r="AV1383" i="1"/>
  <c r="AW1383" i="1"/>
  <c r="AU1384" i="1"/>
  <c r="AV1384" i="1"/>
  <c r="AW1384" i="1"/>
  <c r="AU1385" i="1"/>
  <c r="AV1385" i="1"/>
  <c r="AW1385" i="1"/>
  <c r="AU1386" i="1"/>
  <c r="AV1386" i="1"/>
  <c r="AW1386" i="1"/>
  <c r="AU1387" i="1"/>
  <c r="AV1387" i="1"/>
  <c r="AW1387" i="1"/>
  <c r="AU1388" i="1"/>
  <c r="AV1388" i="1"/>
  <c r="AW1388" i="1"/>
  <c r="AU1389" i="1"/>
  <c r="AV1389" i="1"/>
  <c r="AW1389" i="1"/>
  <c r="AU1390" i="1"/>
  <c r="AV1390" i="1"/>
  <c r="AW1390" i="1"/>
  <c r="AU1391" i="1"/>
  <c r="AV1391" i="1"/>
  <c r="AW1391" i="1"/>
  <c r="AU1392" i="1"/>
  <c r="AV1392" i="1"/>
  <c r="AW1392" i="1"/>
  <c r="AU1393" i="1"/>
  <c r="AV1393" i="1"/>
  <c r="AW1393" i="1"/>
  <c r="AU1394" i="1"/>
  <c r="AV1394" i="1"/>
  <c r="AW1394" i="1"/>
  <c r="AU1395" i="1"/>
  <c r="AV1395" i="1"/>
  <c r="AW1395" i="1"/>
  <c r="AU1396" i="1"/>
  <c r="AV1396" i="1"/>
  <c r="AW1396" i="1"/>
  <c r="AU1397" i="1"/>
  <c r="AV1397" i="1"/>
  <c r="AW1397" i="1"/>
  <c r="AU1398" i="1"/>
  <c r="AV1398" i="1"/>
  <c r="AW1398" i="1"/>
  <c r="AU1399" i="1"/>
  <c r="AV1399" i="1"/>
  <c r="AW1399" i="1"/>
  <c r="AU1400" i="1"/>
  <c r="AV1400" i="1"/>
  <c r="AW1400" i="1"/>
  <c r="AU1401" i="1"/>
  <c r="AV1401" i="1"/>
  <c r="AW1401" i="1"/>
  <c r="AU1402" i="1"/>
  <c r="AV1402" i="1"/>
  <c r="AW1402" i="1"/>
  <c r="AU1403" i="1"/>
  <c r="AV1403" i="1"/>
  <c r="AW1403" i="1"/>
  <c r="AU1404" i="1"/>
  <c r="AV1404" i="1"/>
  <c r="AW1404" i="1"/>
  <c r="AU1405" i="1"/>
  <c r="AV1405" i="1"/>
  <c r="AW1405" i="1"/>
  <c r="AU1406" i="1"/>
  <c r="AV1406" i="1"/>
  <c r="AW1406" i="1"/>
  <c r="AU1407" i="1"/>
  <c r="AV1407" i="1"/>
  <c r="AW1407" i="1"/>
  <c r="AU1408" i="1"/>
  <c r="AV1408" i="1"/>
  <c r="AW1408" i="1"/>
  <c r="AU1409" i="1"/>
  <c r="AV1409" i="1"/>
  <c r="AW1409" i="1"/>
  <c r="AU1410" i="1"/>
  <c r="AV1410" i="1"/>
  <c r="AW1410" i="1"/>
  <c r="AU1411" i="1"/>
  <c r="AV1411" i="1"/>
  <c r="AW1411" i="1"/>
  <c r="AU1412" i="1"/>
  <c r="AV1412" i="1"/>
  <c r="AW1412" i="1"/>
  <c r="AU1413" i="1"/>
  <c r="AV1413" i="1"/>
  <c r="AW1413" i="1"/>
  <c r="AU1414" i="1"/>
  <c r="AV1414" i="1"/>
  <c r="AW1414" i="1"/>
  <c r="AU1415" i="1"/>
  <c r="AV1415" i="1"/>
  <c r="AW1415" i="1"/>
  <c r="AU1416" i="1"/>
  <c r="AV1416" i="1"/>
  <c r="AW1416" i="1"/>
  <c r="AU1417" i="1"/>
  <c r="AV1417" i="1"/>
  <c r="AW1417" i="1"/>
  <c r="AU1418" i="1"/>
  <c r="AV1418" i="1"/>
  <c r="AW1418" i="1"/>
  <c r="AU1419" i="1"/>
  <c r="AV1419" i="1"/>
  <c r="AW1419" i="1"/>
  <c r="AU1420" i="1"/>
  <c r="AV1420" i="1"/>
  <c r="AW1420" i="1"/>
  <c r="AU1421" i="1"/>
  <c r="AV1421" i="1"/>
  <c r="AW1421" i="1"/>
  <c r="AU1422" i="1"/>
  <c r="AV1422" i="1"/>
  <c r="AW1422" i="1"/>
  <c r="AU1423" i="1"/>
  <c r="AV1423" i="1"/>
  <c r="AW1423" i="1"/>
  <c r="AU1424" i="1"/>
  <c r="AV1424" i="1"/>
  <c r="AW1424" i="1"/>
  <c r="AU1425" i="1"/>
  <c r="AV1425" i="1"/>
  <c r="AW1425" i="1"/>
  <c r="AU1426" i="1"/>
  <c r="AV1426" i="1"/>
  <c r="AW1426" i="1"/>
  <c r="AU1427" i="1"/>
  <c r="AV1427" i="1"/>
  <c r="AW1427" i="1"/>
  <c r="AU1428" i="1"/>
  <c r="AV1428" i="1"/>
  <c r="AW1428" i="1"/>
  <c r="AU1429" i="1"/>
  <c r="AV1429" i="1"/>
  <c r="AW1429" i="1"/>
  <c r="AU1430" i="1"/>
  <c r="AV1430" i="1"/>
  <c r="AW1430" i="1"/>
  <c r="AU1431" i="1"/>
  <c r="AV1431" i="1"/>
  <c r="AW1431" i="1"/>
  <c r="AU1432" i="1"/>
  <c r="AV1432" i="1"/>
  <c r="AW1432" i="1"/>
  <c r="AU1433" i="1"/>
  <c r="AV1433" i="1"/>
  <c r="AW1433" i="1"/>
  <c r="AU1434" i="1"/>
  <c r="AV1434" i="1"/>
  <c r="AW1434" i="1"/>
  <c r="AU1435" i="1"/>
  <c r="AV1435" i="1"/>
  <c r="AW1435" i="1"/>
  <c r="AU1436" i="1"/>
  <c r="AV1436" i="1"/>
  <c r="AW1436" i="1"/>
  <c r="AU1437" i="1"/>
  <c r="AV1437" i="1"/>
  <c r="AW1437" i="1"/>
  <c r="AU1438" i="1"/>
  <c r="AV1438" i="1"/>
  <c r="AW1438" i="1"/>
  <c r="AU1439" i="1"/>
  <c r="AV1439" i="1"/>
  <c r="AW1439" i="1"/>
  <c r="AU1440" i="1"/>
  <c r="AV1440" i="1"/>
  <c r="AW1440" i="1"/>
  <c r="AU1441" i="1"/>
  <c r="AV1441" i="1"/>
  <c r="AW1441" i="1"/>
  <c r="AU1442" i="1"/>
  <c r="AV1442" i="1"/>
  <c r="AW1442" i="1"/>
  <c r="AU1443" i="1"/>
  <c r="AV1443" i="1"/>
  <c r="AW1443" i="1"/>
  <c r="AU1444" i="1"/>
  <c r="AV1444" i="1"/>
  <c r="AW1444" i="1"/>
  <c r="AU1445" i="1"/>
  <c r="AV1445" i="1"/>
  <c r="AW1445" i="1"/>
  <c r="AU1446" i="1"/>
  <c r="AV1446" i="1"/>
  <c r="AW1446" i="1"/>
  <c r="AU1447" i="1"/>
  <c r="AV1447" i="1"/>
  <c r="AW1447" i="1"/>
  <c r="AU1448" i="1"/>
  <c r="AV1448" i="1"/>
  <c r="AW1448" i="1"/>
  <c r="AU1449" i="1"/>
  <c r="AV1449" i="1"/>
  <c r="AW1449" i="1"/>
  <c r="AU1450" i="1"/>
  <c r="AV1450" i="1"/>
  <c r="AW1450" i="1"/>
  <c r="AU1451" i="1"/>
  <c r="AV1451" i="1"/>
  <c r="AW1451" i="1"/>
  <c r="AU1452" i="1"/>
  <c r="AV1452" i="1"/>
  <c r="AW1452" i="1"/>
  <c r="AU1453" i="1"/>
  <c r="AV1453" i="1"/>
  <c r="AW1453" i="1"/>
  <c r="AU1454" i="1"/>
  <c r="AV1454" i="1"/>
  <c r="AW1454" i="1"/>
  <c r="AU1455" i="1"/>
  <c r="AV1455" i="1"/>
  <c r="AW1455" i="1"/>
  <c r="AU1456" i="1"/>
  <c r="AV1456" i="1"/>
  <c r="AW1456" i="1"/>
  <c r="AU1457" i="1"/>
  <c r="AV1457" i="1"/>
  <c r="AW1457" i="1"/>
  <c r="AU1458" i="1"/>
  <c r="AV1458" i="1"/>
  <c r="AW1458" i="1"/>
  <c r="AU1459" i="1"/>
  <c r="AV1459" i="1"/>
  <c r="AW1459" i="1"/>
  <c r="AU1460" i="1"/>
  <c r="AV1460" i="1"/>
  <c r="AW1460" i="1"/>
  <c r="AU1461" i="1"/>
  <c r="AV1461" i="1"/>
  <c r="AW1461" i="1"/>
  <c r="AU1462" i="1"/>
  <c r="AV1462" i="1"/>
  <c r="AW1462" i="1"/>
  <c r="AU1463" i="1"/>
  <c r="AV1463" i="1"/>
  <c r="AW1463" i="1"/>
  <c r="AU1464" i="1"/>
  <c r="AV1464" i="1"/>
  <c r="AW1464" i="1"/>
  <c r="AU1465" i="1"/>
  <c r="AV1465" i="1"/>
  <c r="AW1465" i="1"/>
  <c r="AU1466" i="1"/>
  <c r="AV1466" i="1"/>
  <c r="AW1466" i="1"/>
  <c r="AU1467" i="1"/>
  <c r="AV1467" i="1"/>
  <c r="AW1467" i="1"/>
  <c r="AU1468" i="1"/>
  <c r="AV1468" i="1"/>
  <c r="AW1468" i="1"/>
  <c r="AU1469" i="1"/>
  <c r="AV1469" i="1"/>
  <c r="AW1469" i="1"/>
  <c r="AU1470" i="1"/>
  <c r="AV1470" i="1"/>
  <c r="AW1470" i="1"/>
  <c r="AU1471" i="1"/>
  <c r="AV1471" i="1"/>
  <c r="AW1471" i="1"/>
  <c r="AU1472" i="1"/>
  <c r="AV1472" i="1"/>
  <c r="AW1472" i="1"/>
  <c r="AU1473" i="1"/>
  <c r="AV1473" i="1"/>
  <c r="AW1473" i="1"/>
  <c r="AU1474" i="1"/>
  <c r="AV1474" i="1"/>
  <c r="AW1474" i="1"/>
  <c r="AU1475" i="1"/>
  <c r="AV1475" i="1"/>
  <c r="AW1475" i="1"/>
  <c r="AU1476" i="1"/>
  <c r="AV1476" i="1"/>
  <c r="AW1476" i="1"/>
  <c r="AU1477" i="1"/>
  <c r="AV1477" i="1"/>
  <c r="AW1477" i="1"/>
  <c r="AU1478" i="1"/>
  <c r="AV1478" i="1"/>
  <c r="AW1478" i="1"/>
  <c r="AU1479" i="1"/>
  <c r="AV1479" i="1"/>
  <c r="AW1479" i="1"/>
  <c r="AU1480" i="1"/>
  <c r="AV1480" i="1"/>
  <c r="AW1480" i="1"/>
  <c r="AU1481" i="1"/>
  <c r="AV1481" i="1"/>
  <c r="AW1481" i="1"/>
  <c r="AU1482" i="1"/>
  <c r="AV1482" i="1"/>
  <c r="AW1482" i="1"/>
  <c r="AU1483" i="1"/>
  <c r="AV1483" i="1"/>
  <c r="AW1483" i="1"/>
  <c r="AU1484" i="1"/>
  <c r="AV1484" i="1"/>
  <c r="AW1484" i="1"/>
  <c r="AU1485" i="1"/>
  <c r="AV1485" i="1"/>
  <c r="AW1485" i="1"/>
  <c r="AU1486" i="1"/>
  <c r="AV1486" i="1"/>
  <c r="AW1486" i="1"/>
  <c r="AU1487" i="1"/>
  <c r="AV1487" i="1"/>
  <c r="AW1487" i="1"/>
  <c r="AU1488" i="1"/>
  <c r="AV1488" i="1"/>
  <c r="AW1488" i="1"/>
  <c r="AU1489" i="1"/>
  <c r="AV1489" i="1"/>
  <c r="AW1489" i="1"/>
  <c r="AU1490" i="1"/>
  <c r="AV1490" i="1"/>
  <c r="AW1490" i="1"/>
  <c r="AU1491" i="1"/>
  <c r="AV1491" i="1"/>
  <c r="AW1491" i="1"/>
  <c r="AU1492" i="1"/>
  <c r="AV1492" i="1"/>
  <c r="AW1492" i="1"/>
  <c r="AU1493" i="1"/>
  <c r="AV1493" i="1"/>
  <c r="AW1493" i="1"/>
  <c r="AU1494" i="1"/>
  <c r="AV1494" i="1"/>
  <c r="AW1494" i="1"/>
  <c r="AU1495" i="1"/>
  <c r="AV1495" i="1"/>
  <c r="AW1495" i="1"/>
  <c r="AU1496" i="1"/>
  <c r="AV1496" i="1"/>
  <c r="AW1496" i="1"/>
  <c r="AU1497" i="1"/>
  <c r="AV1497" i="1"/>
  <c r="AW1497" i="1"/>
  <c r="AU1498" i="1"/>
  <c r="AV1498" i="1"/>
  <c r="AW1498" i="1"/>
  <c r="AU1499" i="1"/>
  <c r="AV1499" i="1"/>
  <c r="AW1499" i="1"/>
  <c r="AU1500" i="1"/>
  <c r="AV1500" i="1"/>
  <c r="AW1500" i="1"/>
  <c r="AU1501" i="1"/>
  <c r="AV1501" i="1"/>
  <c r="AW1501" i="1"/>
  <c r="AU1502" i="1"/>
  <c r="AV1502" i="1"/>
  <c r="AW1502" i="1"/>
  <c r="AU1503" i="1"/>
  <c r="AV1503" i="1"/>
  <c r="AW1503" i="1"/>
  <c r="AU1504" i="1"/>
  <c r="AV1504" i="1"/>
  <c r="AW1504" i="1"/>
  <c r="AU1505" i="1"/>
  <c r="AV1505" i="1"/>
  <c r="AW1505" i="1"/>
  <c r="AU1506" i="1"/>
  <c r="AV1506" i="1"/>
  <c r="AW1506" i="1"/>
  <c r="AU1507" i="1"/>
  <c r="AV1507" i="1"/>
  <c r="AW1507" i="1"/>
  <c r="AU1508" i="1"/>
  <c r="AV1508" i="1"/>
  <c r="AW1508" i="1"/>
  <c r="AU1509" i="1"/>
  <c r="AV1509" i="1"/>
  <c r="AW1509" i="1"/>
  <c r="AU1510" i="1"/>
  <c r="AV1510" i="1"/>
  <c r="AW1510" i="1"/>
  <c r="AU1511" i="1"/>
  <c r="AV1511" i="1"/>
  <c r="AW1511" i="1"/>
  <c r="AU1512" i="1"/>
  <c r="AV1512" i="1"/>
  <c r="AW1512" i="1"/>
  <c r="AU1513" i="1"/>
  <c r="AV1513" i="1"/>
  <c r="AW1513" i="1"/>
  <c r="AU1514" i="1"/>
  <c r="AV1514" i="1"/>
  <c r="AW1514" i="1"/>
  <c r="AU1515" i="1"/>
  <c r="AV1515" i="1"/>
  <c r="AW1515" i="1"/>
  <c r="AU1516" i="1"/>
  <c r="AV1516" i="1"/>
  <c r="AW1516" i="1"/>
  <c r="AU1517" i="1"/>
  <c r="AV1517" i="1"/>
  <c r="AW1517" i="1"/>
  <c r="AU1518" i="1"/>
  <c r="AV1518" i="1"/>
  <c r="AW1518" i="1"/>
  <c r="AU1519" i="1"/>
  <c r="AV1519" i="1"/>
  <c r="AW1519" i="1"/>
  <c r="AU1520" i="1"/>
  <c r="AV1520" i="1"/>
  <c r="AW1520" i="1"/>
  <c r="AU1521" i="1"/>
  <c r="AV1521" i="1"/>
  <c r="AW1521" i="1"/>
  <c r="AU1522" i="1"/>
  <c r="AV1522" i="1"/>
  <c r="AW1522" i="1"/>
  <c r="AU1523" i="1"/>
  <c r="AV1523" i="1"/>
  <c r="AW1523" i="1"/>
  <c r="AU1524" i="1"/>
  <c r="AV1524" i="1"/>
  <c r="AW1524" i="1"/>
  <c r="AU1525" i="1"/>
  <c r="AV1525" i="1"/>
  <c r="AW1525" i="1"/>
  <c r="AU1526" i="1"/>
  <c r="AV1526" i="1"/>
  <c r="AW1526" i="1"/>
  <c r="AU1527" i="1"/>
  <c r="AV1527" i="1"/>
  <c r="AW1527" i="1"/>
  <c r="AU1528" i="1"/>
  <c r="AV1528" i="1"/>
  <c r="AW1528" i="1"/>
  <c r="AU1529" i="1"/>
  <c r="AV1529" i="1"/>
  <c r="AW1529" i="1"/>
  <c r="AU1530" i="1"/>
  <c r="AV1530" i="1"/>
  <c r="AW1530" i="1"/>
  <c r="AU1531" i="1"/>
  <c r="AV1531" i="1"/>
  <c r="AW1531" i="1"/>
  <c r="AU1532" i="1"/>
  <c r="AV1532" i="1"/>
  <c r="AW1532" i="1"/>
  <c r="AU1533" i="1"/>
  <c r="AV1533" i="1"/>
  <c r="AW1533" i="1"/>
  <c r="AU1534" i="1"/>
  <c r="AV1534" i="1"/>
  <c r="AW1534" i="1"/>
  <c r="AU1535" i="1"/>
  <c r="AV1535" i="1"/>
  <c r="AW1535" i="1"/>
  <c r="AU1536" i="1"/>
  <c r="AV1536" i="1"/>
  <c r="AW1536" i="1"/>
  <c r="AU1537" i="1"/>
  <c r="AV1537" i="1"/>
  <c r="AW1537" i="1"/>
  <c r="AU1538" i="1"/>
  <c r="AV1538" i="1"/>
  <c r="AW1538" i="1"/>
  <c r="AU1539" i="1"/>
  <c r="AV1539" i="1"/>
  <c r="AW1539" i="1"/>
  <c r="AU1540" i="1"/>
  <c r="AV1540" i="1"/>
  <c r="AW1540" i="1"/>
  <c r="AU1541" i="1"/>
  <c r="AV1541" i="1"/>
  <c r="AW1541" i="1"/>
  <c r="AU1542" i="1"/>
  <c r="AV1542" i="1"/>
  <c r="AW1542" i="1"/>
  <c r="AU1543" i="1"/>
  <c r="AV1543" i="1"/>
  <c r="AW1543" i="1"/>
  <c r="AU1544" i="1"/>
  <c r="AV1544" i="1"/>
  <c r="AW1544" i="1"/>
  <c r="AU1545" i="1"/>
  <c r="AV1545" i="1"/>
  <c r="AW1545" i="1"/>
  <c r="AU1546" i="1"/>
  <c r="AV1546" i="1"/>
  <c r="AW1546" i="1"/>
  <c r="AU1547" i="1"/>
  <c r="AV1547" i="1"/>
  <c r="AW1547" i="1"/>
  <c r="AU1548" i="1"/>
  <c r="AV1548" i="1"/>
  <c r="AW1548" i="1"/>
  <c r="AU1549" i="1"/>
  <c r="AV1549" i="1"/>
  <c r="AW1549" i="1"/>
  <c r="AU1550" i="1"/>
  <c r="AV1550" i="1"/>
  <c r="AW1550" i="1"/>
  <c r="AU1551" i="1"/>
  <c r="AV1551" i="1"/>
  <c r="AW1551" i="1"/>
  <c r="AU1552" i="1"/>
  <c r="AV1552" i="1"/>
  <c r="AW1552" i="1"/>
  <c r="AU1553" i="1"/>
  <c r="AV1553" i="1"/>
  <c r="AW1553" i="1"/>
  <c r="AU1554" i="1"/>
  <c r="AV1554" i="1"/>
  <c r="AW1554" i="1"/>
  <c r="AU1555" i="1"/>
  <c r="AV1555" i="1"/>
  <c r="AW1555" i="1"/>
  <c r="AU1556" i="1"/>
  <c r="AV1556" i="1"/>
  <c r="AW1556" i="1"/>
  <c r="AU1557" i="1"/>
  <c r="AV1557" i="1"/>
  <c r="AW1557" i="1"/>
  <c r="AU1558" i="1"/>
  <c r="AV1558" i="1"/>
  <c r="AW1558" i="1"/>
  <c r="AU1559" i="1"/>
  <c r="AV1559" i="1"/>
  <c r="AW1559" i="1"/>
  <c r="AU1560" i="1"/>
  <c r="AV1560" i="1"/>
  <c r="AW1560" i="1"/>
  <c r="AU1561" i="1"/>
  <c r="AV1561" i="1"/>
  <c r="AW1561" i="1"/>
  <c r="AU1562" i="1"/>
  <c r="AV1562" i="1"/>
  <c r="AW1562" i="1"/>
  <c r="AU1563" i="1"/>
  <c r="AV1563" i="1"/>
  <c r="AW1563" i="1"/>
  <c r="AU1564" i="1"/>
  <c r="AV1564" i="1"/>
  <c r="AW1564" i="1"/>
  <c r="AU1565" i="1"/>
  <c r="AV1565" i="1"/>
  <c r="AW1565" i="1"/>
  <c r="AU1566" i="1"/>
  <c r="AV1566" i="1"/>
  <c r="AW1566" i="1"/>
  <c r="AU1567" i="1"/>
  <c r="AV1567" i="1"/>
  <c r="AW1567" i="1"/>
  <c r="AU1568" i="1"/>
  <c r="AV1568" i="1"/>
  <c r="AW1568" i="1"/>
  <c r="AU1569" i="1"/>
  <c r="AV1569" i="1"/>
  <c r="AW1569" i="1"/>
  <c r="AU1570" i="1"/>
  <c r="AV1570" i="1"/>
  <c r="AW1570" i="1"/>
  <c r="AU1571" i="1"/>
  <c r="AV1571" i="1"/>
  <c r="AW1571" i="1"/>
  <c r="AU1572" i="1"/>
  <c r="AV1572" i="1"/>
  <c r="AW1572" i="1"/>
  <c r="AU1573" i="1"/>
  <c r="AV1573" i="1"/>
  <c r="AW1573" i="1"/>
  <c r="AU1574" i="1"/>
  <c r="AV1574" i="1"/>
  <c r="AW1574" i="1"/>
  <c r="AU1575" i="1"/>
  <c r="AV1575" i="1"/>
  <c r="AW1575" i="1"/>
  <c r="AU1576" i="1"/>
  <c r="AV1576" i="1"/>
  <c r="AW1576" i="1"/>
  <c r="AU1577" i="1"/>
  <c r="AV1577" i="1"/>
  <c r="AW1577" i="1"/>
  <c r="AU1578" i="1"/>
  <c r="AV1578" i="1"/>
  <c r="AW1578" i="1"/>
  <c r="AU1579" i="1"/>
  <c r="AV1579" i="1"/>
  <c r="AW1579" i="1"/>
  <c r="AU1580" i="1"/>
  <c r="AV1580" i="1"/>
  <c r="AW1580" i="1"/>
  <c r="AU1581" i="1"/>
  <c r="AV1581" i="1"/>
  <c r="AW1581" i="1"/>
  <c r="AU1582" i="1"/>
  <c r="AV1582" i="1"/>
  <c r="AW1582" i="1"/>
  <c r="AU1583" i="1"/>
  <c r="AV1583" i="1"/>
  <c r="AW1583" i="1"/>
  <c r="AU1584" i="1"/>
  <c r="AV1584" i="1"/>
  <c r="AW1584" i="1"/>
  <c r="AU1585" i="1"/>
  <c r="AV1585" i="1"/>
  <c r="AW1585" i="1"/>
  <c r="AU1586" i="1"/>
  <c r="AV1586" i="1"/>
  <c r="AW1586" i="1"/>
  <c r="AU1587" i="1"/>
  <c r="AV1587" i="1"/>
  <c r="AW1587" i="1"/>
  <c r="AU1588" i="1"/>
  <c r="AV1588" i="1"/>
  <c r="AW1588" i="1"/>
  <c r="AU1589" i="1"/>
  <c r="AV1589" i="1"/>
  <c r="AW1589" i="1"/>
  <c r="AU1590" i="1"/>
  <c r="AV1590" i="1"/>
  <c r="AW1590" i="1"/>
  <c r="AU1591" i="1"/>
  <c r="AV1591" i="1"/>
  <c r="AW1591" i="1"/>
  <c r="AU1592" i="1"/>
  <c r="AV1592" i="1"/>
  <c r="AW1592" i="1"/>
  <c r="AU1593" i="1"/>
  <c r="AV1593" i="1"/>
  <c r="AW1593" i="1"/>
  <c r="AU1594" i="1"/>
  <c r="AV1594" i="1"/>
  <c r="AW1594" i="1"/>
  <c r="AU1595" i="1"/>
  <c r="AV1595" i="1"/>
  <c r="AW1595" i="1"/>
  <c r="AU1596" i="1"/>
  <c r="AV1596" i="1"/>
  <c r="AW1596" i="1"/>
  <c r="AU1597" i="1"/>
  <c r="AV1597" i="1"/>
  <c r="AW1597" i="1"/>
  <c r="AU1598" i="1"/>
  <c r="AV1598" i="1"/>
  <c r="AW1598" i="1"/>
  <c r="AU1599" i="1"/>
  <c r="AV1599" i="1"/>
  <c r="AW1599" i="1"/>
  <c r="AU1600" i="1"/>
  <c r="AV1600" i="1"/>
  <c r="AW1600" i="1"/>
  <c r="AU1601" i="1"/>
  <c r="AV1601" i="1"/>
  <c r="AW1601" i="1"/>
  <c r="AU1602" i="1"/>
  <c r="AV1602" i="1"/>
  <c r="AW1602" i="1"/>
  <c r="AU1603" i="1"/>
  <c r="AV1603" i="1"/>
  <c r="AW1603" i="1"/>
  <c r="AU1604" i="1"/>
  <c r="AV1604" i="1"/>
  <c r="AW1604" i="1"/>
  <c r="AU1605" i="1"/>
  <c r="AV1605" i="1"/>
  <c r="AW1605" i="1"/>
  <c r="AU1606" i="1"/>
  <c r="AV1606" i="1"/>
  <c r="AW1606" i="1"/>
  <c r="AU1607" i="1"/>
  <c r="AV1607" i="1"/>
  <c r="AW1607" i="1"/>
  <c r="AU1608" i="1"/>
  <c r="AV1608" i="1"/>
  <c r="AW1608" i="1"/>
  <c r="AU1609" i="1"/>
  <c r="AV1609" i="1"/>
  <c r="AW1609" i="1"/>
  <c r="AU1610" i="1"/>
  <c r="AV1610" i="1"/>
  <c r="AW1610" i="1"/>
  <c r="AU1611" i="1"/>
  <c r="AV1611" i="1"/>
  <c r="AW1611" i="1"/>
  <c r="AU1612" i="1"/>
  <c r="AV1612" i="1"/>
  <c r="AW1612" i="1"/>
  <c r="AU1613" i="1"/>
  <c r="AV1613" i="1"/>
  <c r="AW1613" i="1"/>
  <c r="AU1614" i="1"/>
  <c r="AV1614" i="1"/>
  <c r="AW1614" i="1"/>
  <c r="AU1615" i="1"/>
  <c r="AV1615" i="1"/>
  <c r="AW1615" i="1"/>
  <c r="AU1616" i="1"/>
  <c r="AV1616" i="1"/>
  <c r="AW1616" i="1"/>
  <c r="AU1617" i="1"/>
  <c r="AV1617" i="1"/>
  <c r="AW1617" i="1"/>
  <c r="AU1618" i="1"/>
  <c r="AV1618" i="1"/>
  <c r="AW1618" i="1"/>
  <c r="AU1619" i="1"/>
  <c r="AV1619" i="1"/>
  <c r="AW1619" i="1"/>
  <c r="AU1620" i="1"/>
  <c r="AV1620" i="1"/>
  <c r="AW1620" i="1"/>
  <c r="AU1621" i="1"/>
  <c r="AV1621" i="1"/>
  <c r="AW1621" i="1"/>
  <c r="AU1622" i="1"/>
  <c r="AV1622" i="1"/>
  <c r="AW1622" i="1"/>
  <c r="AU1623" i="1"/>
  <c r="AV1623" i="1"/>
  <c r="AW1623" i="1"/>
  <c r="AU1624" i="1"/>
  <c r="AV1624" i="1"/>
  <c r="AW1624" i="1"/>
  <c r="AU1625" i="1"/>
  <c r="AV1625" i="1"/>
  <c r="AW1625" i="1"/>
  <c r="AU1626" i="1"/>
  <c r="AV1626" i="1"/>
  <c r="AW1626" i="1"/>
  <c r="AU1627" i="1"/>
  <c r="AV1627" i="1"/>
  <c r="AW1627" i="1"/>
  <c r="AU1628" i="1"/>
  <c r="AV1628" i="1"/>
  <c r="AW1628" i="1"/>
  <c r="AU1629" i="1"/>
  <c r="AV1629" i="1"/>
  <c r="AW1629" i="1"/>
  <c r="AU1630" i="1"/>
  <c r="AV1630" i="1"/>
  <c r="AW1630" i="1"/>
  <c r="AU1631" i="1"/>
  <c r="AV1631" i="1"/>
  <c r="AW1631" i="1"/>
  <c r="AU1632" i="1"/>
  <c r="AV1632" i="1"/>
  <c r="AW1632" i="1"/>
  <c r="AU1633" i="1"/>
  <c r="AV1633" i="1"/>
  <c r="AW1633" i="1"/>
  <c r="AU1634" i="1"/>
  <c r="AV1634" i="1"/>
  <c r="AW1634" i="1"/>
  <c r="AU1635" i="1"/>
  <c r="AV1635" i="1"/>
  <c r="AW1635" i="1"/>
  <c r="AU1636" i="1"/>
  <c r="AV1636" i="1"/>
  <c r="AW1636" i="1"/>
  <c r="AU1637" i="1"/>
  <c r="AV1637" i="1"/>
  <c r="AW1637" i="1"/>
  <c r="AU1638" i="1"/>
  <c r="AV1638" i="1"/>
  <c r="AW1638" i="1"/>
  <c r="AU1639" i="1"/>
  <c r="AV1639" i="1"/>
  <c r="AW1639" i="1"/>
  <c r="AU1640" i="1"/>
  <c r="AV1640" i="1"/>
  <c r="AW1640" i="1"/>
  <c r="AU1641" i="1"/>
  <c r="AV1641" i="1"/>
  <c r="AW1641" i="1"/>
  <c r="AU1642" i="1"/>
  <c r="AV1642" i="1"/>
  <c r="AW1642" i="1"/>
  <c r="AU1643" i="1"/>
  <c r="AV1643" i="1"/>
  <c r="AW1643" i="1"/>
  <c r="AU1644" i="1"/>
  <c r="AV1644" i="1"/>
  <c r="AW1644" i="1"/>
  <c r="AU1645" i="1"/>
  <c r="AV1645" i="1"/>
  <c r="AW1645" i="1"/>
  <c r="AU1646" i="1"/>
  <c r="AV1646" i="1"/>
  <c r="AW1646" i="1"/>
  <c r="AU1647" i="1"/>
  <c r="AV1647" i="1"/>
  <c r="AW1647" i="1"/>
  <c r="AU1648" i="1"/>
  <c r="AV1648" i="1"/>
  <c r="AW1648" i="1"/>
  <c r="AU1649" i="1"/>
  <c r="AV1649" i="1"/>
  <c r="AW1649" i="1"/>
  <c r="AU1650" i="1"/>
  <c r="AV1650" i="1"/>
  <c r="AW1650" i="1"/>
  <c r="AU1651" i="1"/>
  <c r="AV1651" i="1"/>
  <c r="AW1651" i="1"/>
  <c r="AU1652" i="1"/>
  <c r="AV1652" i="1"/>
  <c r="AW1652" i="1"/>
  <c r="AU1653" i="1"/>
  <c r="AV1653" i="1"/>
  <c r="AW1653" i="1"/>
  <c r="AU1654" i="1"/>
  <c r="AV1654" i="1"/>
  <c r="AW1654" i="1"/>
  <c r="AU1655" i="1"/>
  <c r="AV1655" i="1"/>
  <c r="AW1655" i="1"/>
  <c r="AU1656" i="1"/>
  <c r="AV1656" i="1"/>
  <c r="AW1656" i="1"/>
  <c r="AU1657" i="1"/>
  <c r="AV1657" i="1"/>
  <c r="AW1657" i="1"/>
  <c r="AU1658" i="1"/>
  <c r="AV1658" i="1"/>
  <c r="AW1658" i="1"/>
  <c r="AU1659" i="1"/>
  <c r="AV1659" i="1"/>
  <c r="AW1659" i="1"/>
  <c r="AU1660" i="1"/>
  <c r="AV1660" i="1"/>
  <c r="AW1660" i="1"/>
  <c r="AU1661" i="1"/>
  <c r="AV1661" i="1"/>
  <c r="AW1661" i="1"/>
  <c r="AU1662" i="1"/>
  <c r="AV1662" i="1"/>
  <c r="AW1662" i="1"/>
  <c r="AU1663" i="1"/>
  <c r="AV1663" i="1"/>
  <c r="AW1663" i="1"/>
  <c r="AU1664" i="1"/>
  <c r="AV1664" i="1"/>
  <c r="AW1664" i="1"/>
  <c r="AU1665" i="1"/>
  <c r="AV1665" i="1"/>
  <c r="AW1665" i="1"/>
  <c r="AU1666" i="1"/>
  <c r="AV1666" i="1"/>
  <c r="AW1666" i="1"/>
  <c r="AU1667" i="1"/>
  <c r="AV1667" i="1"/>
  <c r="AW1667" i="1"/>
  <c r="AU1668" i="1"/>
  <c r="AV1668" i="1"/>
  <c r="AW1668" i="1"/>
  <c r="AU1669" i="1"/>
  <c r="AV1669" i="1"/>
  <c r="AW1669" i="1"/>
  <c r="AU1670" i="1"/>
  <c r="AV1670" i="1"/>
  <c r="AW1670" i="1"/>
  <c r="AU1671" i="1"/>
  <c r="AV1671" i="1"/>
  <c r="AW1671" i="1"/>
  <c r="AU1672" i="1"/>
  <c r="AV1672" i="1"/>
  <c r="AW1672" i="1"/>
  <c r="AU1673" i="1"/>
  <c r="AV1673" i="1"/>
  <c r="AW1673" i="1"/>
  <c r="AU1674" i="1"/>
  <c r="AV1674" i="1"/>
  <c r="AW1674" i="1"/>
  <c r="AU1675" i="1"/>
  <c r="AV1675" i="1"/>
  <c r="AW1675" i="1"/>
  <c r="AU1676" i="1"/>
  <c r="AV1676" i="1"/>
  <c r="AW1676" i="1"/>
  <c r="AU1677" i="1"/>
  <c r="AV1677" i="1"/>
  <c r="AW1677" i="1"/>
  <c r="AU1678" i="1"/>
  <c r="AV1678" i="1"/>
  <c r="AW1678" i="1"/>
  <c r="AU1679" i="1"/>
  <c r="AV1679" i="1"/>
  <c r="AW1679" i="1"/>
  <c r="AU1680" i="1"/>
  <c r="AV1680" i="1"/>
  <c r="AW1680" i="1"/>
  <c r="AU1681" i="1"/>
  <c r="AV1681" i="1"/>
  <c r="AW1681" i="1"/>
  <c r="AU1682" i="1"/>
  <c r="AV1682" i="1"/>
  <c r="AW1682" i="1"/>
  <c r="AU1683" i="1"/>
  <c r="AV1683" i="1"/>
  <c r="AW1683" i="1"/>
  <c r="AU1684" i="1"/>
  <c r="AV1684" i="1"/>
  <c r="AW1684" i="1"/>
  <c r="AU1685" i="1"/>
  <c r="AV1685" i="1"/>
  <c r="AW1685" i="1"/>
  <c r="AU1686" i="1"/>
  <c r="AV1686" i="1"/>
  <c r="AW1686" i="1"/>
  <c r="AU1687" i="1"/>
  <c r="AV1687" i="1"/>
  <c r="AW1687" i="1"/>
  <c r="AU1688" i="1"/>
  <c r="AV1688" i="1"/>
  <c r="AW1688" i="1"/>
  <c r="AU1689" i="1"/>
  <c r="AV1689" i="1"/>
  <c r="AW1689" i="1"/>
  <c r="AU1690" i="1"/>
  <c r="AV1690" i="1"/>
  <c r="AW1690" i="1"/>
  <c r="AU1691" i="1"/>
  <c r="AV1691" i="1"/>
  <c r="AW1691" i="1"/>
  <c r="AU1692" i="1"/>
  <c r="AV1692" i="1"/>
  <c r="AW1692" i="1"/>
  <c r="AU1693" i="1"/>
  <c r="AV1693" i="1"/>
  <c r="AW1693" i="1"/>
  <c r="AU1694" i="1"/>
  <c r="AV1694" i="1"/>
  <c r="AW1694" i="1"/>
  <c r="AU1695" i="1"/>
  <c r="AV1695" i="1"/>
  <c r="AW1695" i="1"/>
  <c r="AU1696" i="1"/>
  <c r="AV1696" i="1"/>
  <c r="AW1696" i="1"/>
  <c r="AU1697" i="1"/>
  <c r="AV1697" i="1"/>
  <c r="AW1697" i="1"/>
  <c r="AU1698" i="1"/>
  <c r="AV1698" i="1"/>
  <c r="AW1698" i="1"/>
  <c r="AU1699" i="1"/>
  <c r="AV1699" i="1"/>
  <c r="AW1699" i="1"/>
  <c r="AU1700" i="1"/>
  <c r="AV1700" i="1"/>
  <c r="AW1700" i="1"/>
  <c r="AU1701" i="1"/>
  <c r="AV1701" i="1"/>
  <c r="AW1701" i="1"/>
  <c r="AU1702" i="1"/>
  <c r="AV1702" i="1"/>
  <c r="AW1702" i="1"/>
  <c r="AU1703" i="1"/>
  <c r="AV1703" i="1"/>
  <c r="AW1703" i="1"/>
  <c r="AU1704" i="1"/>
  <c r="AV1704" i="1"/>
  <c r="AW1704" i="1"/>
  <c r="AU1705" i="1"/>
  <c r="AV1705" i="1"/>
  <c r="AW1705" i="1"/>
  <c r="AU1706" i="1"/>
  <c r="AV1706" i="1"/>
  <c r="AW1706" i="1"/>
  <c r="AU1707" i="1"/>
  <c r="AV1707" i="1"/>
  <c r="AW1707" i="1"/>
  <c r="AU1708" i="1"/>
  <c r="AV1708" i="1"/>
  <c r="AW1708" i="1"/>
  <c r="AU1709" i="1"/>
  <c r="AV1709" i="1"/>
  <c r="AW1709" i="1"/>
  <c r="AU1710" i="1"/>
  <c r="AV1710" i="1"/>
  <c r="AW1710" i="1"/>
  <c r="AU1711" i="1"/>
  <c r="AV1711" i="1"/>
  <c r="AW1711" i="1"/>
  <c r="AU1712" i="1"/>
  <c r="AV1712" i="1"/>
  <c r="AW1712" i="1"/>
  <c r="AU1713" i="1"/>
  <c r="AV1713" i="1"/>
  <c r="AW1713" i="1"/>
  <c r="AU1714" i="1"/>
  <c r="AV1714" i="1"/>
  <c r="AW1714" i="1"/>
  <c r="AU1715" i="1"/>
  <c r="AV1715" i="1"/>
  <c r="AW1715" i="1"/>
  <c r="AU1716" i="1"/>
  <c r="AV1716" i="1"/>
  <c r="AW1716" i="1"/>
  <c r="AU1717" i="1"/>
  <c r="AV1717" i="1"/>
  <c r="AW1717" i="1"/>
  <c r="AU1718" i="1"/>
  <c r="AV1718" i="1"/>
  <c r="AW1718" i="1"/>
  <c r="AU1719" i="1"/>
  <c r="AV1719" i="1"/>
  <c r="AW1719" i="1"/>
  <c r="AU1720" i="1"/>
  <c r="AV1720" i="1"/>
  <c r="AW1720" i="1"/>
  <c r="AU1721" i="1"/>
  <c r="AV1721" i="1"/>
  <c r="AW1721" i="1"/>
  <c r="AU1722" i="1"/>
  <c r="AV1722" i="1"/>
  <c r="AW1722" i="1"/>
  <c r="AU1723" i="1"/>
  <c r="AV1723" i="1"/>
  <c r="AW1723" i="1"/>
  <c r="AU1724" i="1"/>
  <c r="AV1724" i="1"/>
  <c r="AW1724" i="1"/>
  <c r="AU1725" i="1"/>
  <c r="AV1725" i="1"/>
  <c r="AW1725" i="1"/>
  <c r="AU1726" i="1"/>
  <c r="AV1726" i="1"/>
  <c r="AW1726" i="1"/>
  <c r="AU1727" i="1"/>
  <c r="AV1727" i="1"/>
  <c r="AW1727" i="1"/>
  <c r="AU1728" i="1"/>
  <c r="AV1728" i="1"/>
  <c r="AW1728" i="1"/>
  <c r="AU1729" i="1"/>
  <c r="AV1729" i="1"/>
  <c r="AW1729" i="1"/>
  <c r="AU1730" i="1"/>
  <c r="AV1730" i="1"/>
  <c r="AW1730" i="1"/>
  <c r="AU1731" i="1"/>
  <c r="AV1731" i="1"/>
  <c r="AW1731" i="1"/>
  <c r="AU1732" i="1"/>
  <c r="AV1732" i="1"/>
  <c r="AW1732" i="1"/>
  <c r="AU1733" i="1"/>
  <c r="AV1733" i="1"/>
  <c r="AW1733" i="1"/>
  <c r="AU1734" i="1"/>
  <c r="AV1734" i="1"/>
  <c r="AW1734" i="1"/>
  <c r="AU1735" i="1"/>
  <c r="AV1735" i="1"/>
  <c r="AW1735" i="1"/>
  <c r="AU1736" i="1"/>
  <c r="AV1736" i="1"/>
  <c r="AW1736" i="1"/>
  <c r="AU1737" i="1"/>
  <c r="AV1737" i="1"/>
  <c r="AW1737" i="1"/>
  <c r="AU1738" i="1"/>
  <c r="AV1738" i="1"/>
  <c r="AW1738" i="1"/>
  <c r="AU1739" i="1"/>
  <c r="AV1739" i="1"/>
  <c r="AW1739" i="1"/>
  <c r="AU1740" i="1"/>
  <c r="AV1740" i="1"/>
  <c r="AW1740" i="1"/>
  <c r="AU1741" i="1"/>
  <c r="AV1741" i="1"/>
  <c r="AW1741" i="1"/>
  <c r="AU1742" i="1"/>
  <c r="AV1742" i="1"/>
  <c r="AW1742" i="1"/>
  <c r="AU1743" i="1"/>
  <c r="AV1743" i="1"/>
  <c r="AW1743" i="1"/>
  <c r="AU1744" i="1"/>
  <c r="AV1744" i="1"/>
  <c r="AW1744" i="1"/>
  <c r="AU1745" i="1"/>
  <c r="AV1745" i="1"/>
  <c r="AW1745" i="1"/>
  <c r="AU1746" i="1"/>
  <c r="AV1746" i="1"/>
  <c r="AW1746" i="1"/>
  <c r="AU1747" i="1"/>
  <c r="AV1747" i="1"/>
  <c r="AW1747" i="1"/>
  <c r="AU1748" i="1"/>
  <c r="AV1748" i="1"/>
  <c r="AW1748" i="1"/>
  <c r="AU1749" i="1"/>
  <c r="AV1749" i="1"/>
  <c r="AW1749" i="1"/>
  <c r="AU1750" i="1"/>
  <c r="AV1750" i="1"/>
  <c r="AW1750" i="1"/>
  <c r="AU1751" i="1"/>
  <c r="AV1751" i="1"/>
  <c r="AW1751" i="1"/>
  <c r="AU1752" i="1"/>
  <c r="AV1752" i="1"/>
  <c r="AW1752" i="1"/>
  <c r="AU1753" i="1"/>
  <c r="AV1753" i="1"/>
  <c r="AW1753" i="1"/>
  <c r="AU1754" i="1"/>
  <c r="AV1754" i="1"/>
  <c r="AW1754" i="1"/>
  <c r="AU1755" i="1"/>
  <c r="AV1755" i="1"/>
  <c r="AW1755" i="1"/>
  <c r="AU1756" i="1"/>
  <c r="AV1756" i="1"/>
  <c r="AW1756" i="1"/>
  <c r="AU1757" i="1"/>
  <c r="AV1757" i="1"/>
  <c r="AW1757" i="1"/>
  <c r="AU1758" i="1"/>
  <c r="AV1758" i="1"/>
  <c r="AW1758" i="1"/>
  <c r="AU1759" i="1"/>
  <c r="AV1759" i="1"/>
  <c r="AW1759" i="1"/>
  <c r="AU1760" i="1"/>
  <c r="AV1760" i="1"/>
  <c r="AW1760" i="1"/>
  <c r="AU1761" i="1"/>
  <c r="AV1761" i="1"/>
  <c r="AW1761" i="1"/>
  <c r="AU1762" i="1"/>
  <c r="AV1762" i="1"/>
  <c r="AW1762" i="1"/>
  <c r="AU1763" i="1"/>
  <c r="AV1763" i="1"/>
  <c r="AW1763" i="1"/>
  <c r="AU1764" i="1"/>
  <c r="AV1764" i="1"/>
  <c r="AW1764" i="1"/>
  <c r="AU1765" i="1"/>
  <c r="AV1765" i="1"/>
  <c r="AW1765" i="1"/>
  <c r="AU1766" i="1"/>
  <c r="AV1766" i="1"/>
  <c r="AW1766" i="1"/>
  <c r="AU1767" i="1"/>
  <c r="AV1767" i="1"/>
  <c r="AW1767" i="1"/>
  <c r="AU1768" i="1"/>
  <c r="AV1768" i="1"/>
  <c r="AW1768" i="1"/>
  <c r="AU1769" i="1"/>
  <c r="AV1769" i="1"/>
  <c r="AW1769" i="1"/>
  <c r="AU1770" i="1"/>
  <c r="AV1770" i="1"/>
  <c r="AW1770" i="1"/>
  <c r="AU1771" i="1"/>
  <c r="AV1771" i="1"/>
  <c r="AW1771" i="1"/>
  <c r="AU1772" i="1"/>
  <c r="AV1772" i="1"/>
  <c r="AW1772" i="1"/>
  <c r="AU1773" i="1"/>
  <c r="AV1773" i="1"/>
  <c r="AW1773" i="1"/>
  <c r="AU1774" i="1"/>
  <c r="AV1774" i="1"/>
  <c r="AW1774" i="1"/>
  <c r="AU1775" i="1"/>
  <c r="AV1775" i="1"/>
  <c r="AW1775" i="1"/>
  <c r="AU1776" i="1"/>
  <c r="AV1776" i="1"/>
  <c r="AW1776" i="1"/>
  <c r="AU1777" i="1"/>
  <c r="AV1777" i="1"/>
  <c r="AW1777" i="1"/>
  <c r="AU1778" i="1"/>
  <c r="AV1778" i="1"/>
  <c r="AW1778" i="1"/>
  <c r="AU1779" i="1"/>
  <c r="AV1779" i="1"/>
  <c r="AW1779" i="1"/>
  <c r="AU1780" i="1"/>
  <c r="AV1780" i="1"/>
  <c r="AW1780" i="1"/>
  <c r="AU1781" i="1"/>
  <c r="AV1781" i="1"/>
  <c r="AW1781" i="1"/>
  <c r="AU1782" i="1"/>
  <c r="AV1782" i="1"/>
  <c r="AW1782" i="1"/>
  <c r="AU1783" i="1"/>
  <c r="AV1783" i="1"/>
  <c r="AW1783" i="1"/>
  <c r="AU1784" i="1"/>
  <c r="AV1784" i="1"/>
  <c r="AW1784" i="1"/>
  <c r="AU1785" i="1"/>
  <c r="AV1785" i="1"/>
  <c r="AW1785" i="1"/>
  <c r="AU1786" i="1"/>
  <c r="AV1786" i="1"/>
  <c r="AW1786" i="1"/>
  <c r="AU1787" i="1"/>
  <c r="AV1787" i="1"/>
  <c r="AW1787" i="1"/>
  <c r="AU1788" i="1"/>
  <c r="AV1788" i="1"/>
  <c r="AW1788" i="1"/>
  <c r="AU1789" i="1"/>
  <c r="AV1789" i="1"/>
  <c r="AW1789" i="1"/>
  <c r="AU1790" i="1"/>
  <c r="AV1790" i="1"/>
  <c r="AW1790" i="1"/>
  <c r="AU1791" i="1"/>
  <c r="AV1791" i="1"/>
  <c r="AW1791" i="1"/>
  <c r="AU1792" i="1"/>
  <c r="AV1792" i="1"/>
  <c r="AW1792" i="1"/>
  <c r="AU1793" i="1"/>
  <c r="AV1793" i="1"/>
  <c r="AW1793" i="1"/>
  <c r="AU1794" i="1"/>
  <c r="AV1794" i="1"/>
  <c r="AW1794" i="1"/>
  <c r="AU1795" i="1"/>
  <c r="AV1795" i="1"/>
  <c r="AW1795" i="1"/>
  <c r="AU1796" i="1"/>
  <c r="AV1796" i="1"/>
  <c r="AW1796" i="1"/>
  <c r="AU1797" i="1"/>
  <c r="AV1797" i="1"/>
  <c r="AW1797" i="1"/>
  <c r="AU1798" i="1"/>
  <c r="AV1798" i="1"/>
  <c r="AW1798" i="1"/>
  <c r="AU1799" i="1"/>
  <c r="AV1799" i="1"/>
  <c r="AW1799" i="1"/>
  <c r="AU1800" i="1"/>
  <c r="AV1800" i="1"/>
  <c r="AW1800" i="1"/>
  <c r="AU1801" i="1"/>
  <c r="AV1801" i="1"/>
  <c r="AW1801" i="1"/>
  <c r="AU1802" i="1"/>
  <c r="AV1802" i="1"/>
  <c r="AW1802" i="1"/>
  <c r="AU1803" i="1"/>
  <c r="AV1803" i="1"/>
  <c r="AW1803" i="1"/>
  <c r="AU1804" i="1"/>
  <c r="AV1804" i="1"/>
  <c r="AW1804" i="1"/>
  <c r="AU1805" i="1"/>
  <c r="AV1805" i="1"/>
  <c r="AW1805" i="1"/>
  <c r="AU1806" i="1"/>
  <c r="AV1806" i="1"/>
  <c r="AW1806" i="1"/>
  <c r="AU1807" i="1"/>
  <c r="AV1807" i="1"/>
  <c r="AW1807" i="1"/>
  <c r="AU1808" i="1"/>
  <c r="AV1808" i="1"/>
  <c r="AW1808" i="1"/>
  <c r="AU1809" i="1"/>
  <c r="AV1809" i="1"/>
  <c r="AW1809" i="1"/>
  <c r="AU1810" i="1"/>
  <c r="AV1810" i="1"/>
  <c r="AW1810" i="1"/>
  <c r="AU1811" i="1"/>
  <c r="AV1811" i="1"/>
  <c r="AW1811" i="1"/>
  <c r="AU1812" i="1"/>
  <c r="AV1812" i="1"/>
  <c r="AW1812" i="1"/>
  <c r="AU1813" i="1"/>
  <c r="AV1813" i="1"/>
  <c r="AW1813" i="1"/>
  <c r="AU1814" i="1"/>
  <c r="AV1814" i="1"/>
  <c r="AW1814" i="1"/>
  <c r="AU1815" i="1"/>
  <c r="AV1815" i="1"/>
  <c r="AW1815" i="1"/>
  <c r="AU1816" i="1"/>
  <c r="AV1816" i="1"/>
  <c r="AW1816" i="1"/>
  <c r="AU1817" i="1"/>
  <c r="AV1817" i="1"/>
  <c r="AW1817" i="1"/>
  <c r="AU1818" i="1"/>
  <c r="AV1818" i="1"/>
  <c r="AW1818" i="1"/>
  <c r="AU1819" i="1"/>
  <c r="AV1819" i="1"/>
  <c r="AW1819" i="1"/>
  <c r="AU1820" i="1"/>
  <c r="AV1820" i="1"/>
  <c r="AW1820" i="1"/>
  <c r="AU1821" i="1"/>
  <c r="AV1821" i="1"/>
  <c r="AW1821" i="1"/>
  <c r="AU1822" i="1"/>
  <c r="AV1822" i="1"/>
  <c r="AW1822" i="1"/>
  <c r="AU1823" i="1"/>
  <c r="AV1823" i="1"/>
  <c r="AW1823" i="1"/>
  <c r="AU1824" i="1"/>
  <c r="AV1824" i="1"/>
  <c r="AW1824" i="1"/>
  <c r="AU1825" i="1"/>
  <c r="AV1825" i="1"/>
  <c r="AW1825" i="1"/>
  <c r="AU1826" i="1"/>
  <c r="AV1826" i="1"/>
  <c r="AW1826" i="1"/>
  <c r="AU1827" i="1"/>
  <c r="AV1827" i="1"/>
  <c r="AW1827" i="1"/>
  <c r="AU1828" i="1"/>
  <c r="AV1828" i="1"/>
  <c r="AW1828" i="1"/>
  <c r="AU1829" i="1"/>
  <c r="AV1829" i="1"/>
  <c r="AW1829" i="1"/>
  <c r="AU1830" i="1"/>
  <c r="AV1830" i="1"/>
  <c r="AW1830" i="1"/>
  <c r="AU1831" i="1"/>
  <c r="AV1831" i="1"/>
  <c r="AW1831" i="1"/>
  <c r="AU1832" i="1"/>
  <c r="AV1832" i="1"/>
  <c r="AW1832" i="1"/>
  <c r="AU1833" i="1"/>
  <c r="AV1833" i="1"/>
  <c r="AW1833" i="1"/>
  <c r="AU1834" i="1"/>
  <c r="AV1834" i="1"/>
  <c r="AW1834" i="1"/>
  <c r="AU1835" i="1"/>
  <c r="AV1835" i="1"/>
  <c r="AW1835" i="1"/>
  <c r="AU1836" i="1"/>
  <c r="AV1836" i="1"/>
  <c r="AW1836" i="1"/>
  <c r="AU1837" i="1"/>
  <c r="AV1837" i="1"/>
  <c r="AW1837" i="1"/>
  <c r="AU1838" i="1"/>
  <c r="AV1838" i="1"/>
  <c r="AW1838" i="1"/>
  <c r="AU1839" i="1"/>
  <c r="AV1839" i="1"/>
  <c r="AW1839" i="1"/>
  <c r="AU1840" i="1"/>
  <c r="AV1840" i="1"/>
  <c r="AW1840" i="1"/>
  <c r="AU1841" i="1"/>
  <c r="AV1841" i="1"/>
  <c r="AW1841" i="1"/>
  <c r="AU1842" i="1"/>
  <c r="AV1842" i="1"/>
  <c r="AW1842" i="1"/>
  <c r="AU1843" i="1"/>
  <c r="AV1843" i="1"/>
  <c r="AW1843" i="1"/>
  <c r="AU1844" i="1"/>
  <c r="AV1844" i="1"/>
  <c r="AW1844" i="1"/>
  <c r="AU1845" i="1"/>
  <c r="AV1845" i="1"/>
  <c r="AW1845" i="1"/>
  <c r="AU1846" i="1"/>
  <c r="AV1846" i="1"/>
  <c r="AW1846" i="1"/>
  <c r="AU1847" i="1"/>
  <c r="AV1847" i="1"/>
  <c r="AW1847" i="1"/>
  <c r="AU1848" i="1"/>
  <c r="AV1848" i="1"/>
  <c r="AW1848" i="1"/>
  <c r="AU1849" i="1"/>
  <c r="AV1849" i="1"/>
  <c r="AW1849" i="1"/>
  <c r="AU1850" i="1"/>
  <c r="AV1850" i="1"/>
  <c r="AW1850" i="1"/>
  <c r="AU1851" i="1"/>
  <c r="AV1851" i="1"/>
  <c r="AW1851" i="1"/>
  <c r="AU1852" i="1"/>
  <c r="AV1852" i="1"/>
  <c r="AW1852" i="1"/>
  <c r="AU1853" i="1"/>
  <c r="AV1853" i="1"/>
  <c r="AW1853" i="1"/>
  <c r="AU1854" i="1"/>
  <c r="AV1854" i="1"/>
  <c r="AW1854" i="1"/>
  <c r="AU1855" i="1"/>
  <c r="AV1855" i="1"/>
  <c r="AW1855" i="1"/>
  <c r="AU1856" i="1"/>
  <c r="AV1856" i="1"/>
  <c r="AW1856" i="1"/>
  <c r="AU1857" i="1"/>
  <c r="AV1857" i="1"/>
  <c r="AW1857" i="1"/>
  <c r="AU1858" i="1"/>
  <c r="AV1858" i="1"/>
  <c r="AW1858" i="1"/>
  <c r="AU1859" i="1"/>
  <c r="AV1859" i="1"/>
  <c r="AW1859" i="1"/>
  <c r="AU1860" i="1"/>
  <c r="AV1860" i="1"/>
  <c r="AW1860" i="1"/>
  <c r="AU1861" i="1"/>
  <c r="AV1861" i="1"/>
  <c r="AW1861" i="1"/>
  <c r="AU1862" i="1"/>
  <c r="AV1862" i="1"/>
  <c r="AW1862" i="1"/>
  <c r="AU1863" i="1"/>
  <c r="AV1863" i="1"/>
  <c r="AW1863" i="1"/>
  <c r="AU1864" i="1"/>
  <c r="AV1864" i="1"/>
  <c r="AW1864" i="1"/>
  <c r="AU1865" i="1"/>
  <c r="AV1865" i="1"/>
  <c r="AW1865" i="1"/>
  <c r="AU1866" i="1"/>
  <c r="AV1866" i="1"/>
  <c r="AW1866" i="1"/>
  <c r="AU1867" i="1"/>
  <c r="AV1867" i="1"/>
  <c r="AW1867" i="1"/>
  <c r="AU1868" i="1"/>
  <c r="AV1868" i="1"/>
  <c r="AW1868" i="1"/>
  <c r="AU1869" i="1"/>
  <c r="AV1869" i="1"/>
  <c r="AW1869" i="1"/>
  <c r="AU1870" i="1"/>
  <c r="AV1870" i="1"/>
  <c r="AW1870" i="1"/>
  <c r="AU1871" i="1"/>
  <c r="AV1871" i="1"/>
  <c r="AW1871" i="1"/>
  <c r="AU1872" i="1"/>
  <c r="AV1872" i="1"/>
  <c r="AW1872" i="1"/>
  <c r="AU1873" i="1"/>
  <c r="AV1873" i="1"/>
  <c r="AW1873" i="1"/>
  <c r="AU1874" i="1"/>
  <c r="AV1874" i="1"/>
  <c r="AW1874" i="1"/>
  <c r="AU1875" i="1"/>
  <c r="AV1875" i="1"/>
  <c r="AW1875" i="1"/>
  <c r="AU1876" i="1"/>
  <c r="AV1876" i="1"/>
  <c r="AW1876" i="1"/>
  <c r="AU1877" i="1"/>
  <c r="AV1877" i="1"/>
  <c r="AW1877" i="1"/>
  <c r="AU1878" i="1"/>
  <c r="AV1878" i="1"/>
  <c r="AW1878" i="1"/>
  <c r="AU1879" i="1"/>
  <c r="AV1879" i="1"/>
  <c r="AW1879" i="1"/>
  <c r="AU1880" i="1"/>
  <c r="AV1880" i="1"/>
  <c r="AW1880" i="1"/>
  <c r="AU1881" i="1"/>
  <c r="AV1881" i="1"/>
  <c r="AW1881" i="1"/>
  <c r="AU1882" i="1"/>
  <c r="AV1882" i="1"/>
  <c r="AW1882" i="1"/>
  <c r="AU1883" i="1"/>
  <c r="AV1883" i="1"/>
  <c r="AW1883" i="1"/>
  <c r="AU1884" i="1"/>
  <c r="AV1884" i="1"/>
  <c r="AW1884" i="1"/>
  <c r="AU1885" i="1"/>
  <c r="AV1885" i="1"/>
  <c r="AW1885" i="1"/>
  <c r="AU1886" i="1"/>
  <c r="AV1886" i="1"/>
  <c r="AW1886" i="1"/>
  <c r="AU1887" i="1"/>
  <c r="AV1887" i="1"/>
  <c r="AW1887" i="1"/>
  <c r="AU1888" i="1"/>
  <c r="AV1888" i="1"/>
  <c r="AW1888" i="1"/>
  <c r="AU1889" i="1"/>
  <c r="AV1889" i="1"/>
  <c r="AW1889" i="1"/>
  <c r="AU1890" i="1"/>
  <c r="AV1890" i="1"/>
  <c r="AW1890" i="1"/>
  <c r="AU1891" i="1"/>
  <c r="AV1891" i="1"/>
  <c r="AW1891" i="1"/>
  <c r="AU1892" i="1"/>
  <c r="AV1892" i="1"/>
  <c r="AW1892" i="1"/>
  <c r="AU1893" i="1"/>
  <c r="AV1893" i="1"/>
  <c r="AW1893" i="1"/>
  <c r="AU1894" i="1"/>
  <c r="AV1894" i="1"/>
  <c r="AW1894" i="1"/>
  <c r="AU1895" i="1"/>
  <c r="AV1895" i="1"/>
  <c r="AW1895" i="1"/>
  <c r="AU1896" i="1"/>
  <c r="AV1896" i="1"/>
  <c r="AW1896" i="1"/>
  <c r="AU1897" i="1"/>
  <c r="AV1897" i="1"/>
  <c r="AW1897" i="1"/>
  <c r="AU1898" i="1"/>
  <c r="AV1898" i="1"/>
  <c r="AW1898" i="1"/>
  <c r="AU1899" i="1"/>
  <c r="AV1899" i="1"/>
  <c r="AW1899" i="1"/>
  <c r="AU1900" i="1"/>
  <c r="AV1900" i="1"/>
  <c r="AW1900" i="1"/>
  <c r="AU1901" i="1"/>
  <c r="AV1901" i="1"/>
  <c r="AW1901" i="1"/>
  <c r="AU1902" i="1"/>
  <c r="AV1902" i="1"/>
  <c r="AW1902" i="1"/>
  <c r="AU1903" i="1"/>
  <c r="AV1903" i="1"/>
  <c r="AW1903" i="1"/>
  <c r="AU1904" i="1"/>
  <c r="AV1904" i="1"/>
  <c r="AW1904" i="1"/>
  <c r="AU1905" i="1"/>
  <c r="AV1905" i="1"/>
  <c r="AW1905" i="1"/>
  <c r="AU1906" i="1"/>
  <c r="AV1906" i="1"/>
  <c r="AW1906" i="1"/>
  <c r="AU1907" i="1"/>
  <c r="AV1907" i="1"/>
  <c r="AW1907" i="1"/>
  <c r="AU1908" i="1"/>
  <c r="AV1908" i="1"/>
  <c r="AW1908" i="1"/>
  <c r="AU1909" i="1"/>
  <c r="AV1909" i="1"/>
  <c r="AW1909" i="1"/>
  <c r="AU1910" i="1"/>
  <c r="AV1910" i="1"/>
  <c r="AW1910" i="1"/>
  <c r="AU1911" i="1"/>
  <c r="AV1911" i="1"/>
  <c r="AW1911" i="1"/>
  <c r="AU1912" i="1"/>
  <c r="AV1912" i="1"/>
  <c r="AW1912" i="1"/>
  <c r="AU1913" i="1"/>
  <c r="AV1913" i="1"/>
  <c r="AW1913" i="1"/>
  <c r="AU1914" i="1"/>
  <c r="AV1914" i="1"/>
  <c r="AW1914" i="1"/>
  <c r="AU1915" i="1"/>
  <c r="AV1915" i="1"/>
  <c r="AW1915" i="1"/>
  <c r="AU1916" i="1"/>
  <c r="AV1916" i="1"/>
  <c r="AW1916" i="1"/>
  <c r="AU1917" i="1"/>
  <c r="AV1917" i="1"/>
  <c r="AW1917" i="1"/>
  <c r="AU1918" i="1"/>
  <c r="AV1918" i="1"/>
  <c r="AW1918" i="1"/>
  <c r="AU1919" i="1"/>
  <c r="AV1919" i="1"/>
  <c r="AW1919" i="1"/>
  <c r="AU1920" i="1"/>
  <c r="AV1920" i="1"/>
  <c r="AW1920" i="1"/>
  <c r="AU1921" i="1"/>
  <c r="AV1921" i="1"/>
  <c r="AW1921" i="1"/>
  <c r="AU1922" i="1"/>
  <c r="AV1922" i="1"/>
  <c r="AW1922" i="1"/>
  <c r="AU1923" i="1"/>
  <c r="AV1923" i="1"/>
  <c r="AW1923" i="1"/>
  <c r="AU1924" i="1"/>
  <c r="AV1924" i="1"/>
  <c r="AW1924" i="1"/>
  <c r="AU1925" i="1"/>
  <c r="AV1925" i="1"/>
  <c r="AW1925" i="1"/>
  <c r="AU1926" i="1"/>
  <c r="AV1926" i="1"/>
  <c r="AW1926" i="1"/>
  <c r="AU1927" i="1"/>
  <c r="AV1927" i="1"/>
  <c r="AW1927" i="1"/>
  <c r="AU1928" i="1"/>
  <c r="AV1928" i="1"/>
  <c r="AW1928" i="1"/>
  <c r="AU1929" i="1"/>
  <c r="AV1929" i="1"/>
  <c r="AW1929" i="1"/>
  <c r="AU1930" i="1"/>
  <c r="AV1930" i="1"/>
  <c r="AW1930" i="1"/>
  <c r="AU1931" i="1"/>
  <c r="AV1931" i="1"/>
  <c r="AW1931" i="1"/>
  <c r="AU1932" i="1"/>
  <c r="AV1932" i="1"/>
  <c r="AW1932" i="1"/>
  <c r="AU1933" i="1"/>
  <c r="AV1933" i="1"/>
  <c r="AW1933" i="1"/>
  <c r="AU1934" i="1"/>
  <c r="AV1934" i="1"/>
  <c r="AW1934" i="1"/>
  <c r="AU1935" i="1"/>
  <c r="AV1935" i="1"/>
  <c r="AW1935" i="1"/>
  <c r="AU1936" i="1"/>
  <c r="AV1936" i="1"/>
  <c r="AW1936" i="1"/>
  <c r="AU1937" i="1"/>
  <c r="AV1937" i="1"/>
  <c r="AW1937" i="1"/>
  <c r="AU1938" i="1"/>
  <c r="AV1938" i="1"/>
  <c r="AW1938" i="1"/>
  <c r="AU1939" i="1"/>
  <c r="AV1939" i="1"/>
  <c r="AW1939" i="1"/>
  <c r="AU1940" i="1"/>
  <c r="AV1940" i="1"/>
  <c r="AW1940" i="1"/>
  <c r="AU1941" i="1"/>
  <c r="AV1941" i="1"/>
  <c r="AW1941" i="1"/>
  <c r="AU1942" i="1"/>
  <c r="AV1942" i="1"/>
  <c r="AW1942" i="1"/>
  <c r="AU1943" i="1"/>
  <c r="AV1943" i="1"/>
  <c r="AW1943" i="1"/>
  <c r="AU1944" i="1"/>
  <c r="AV1944" i="1"/>
  <c r="AW1944" i="1"/>
  <c r="AU1945" i="1"/>
  <c r="AV1945" i="1"/>
  <c r="AW1945" i="1"/>
  <c r="AU1946" i="1"/>
  <c r="AV1946" i="1"/>
  <c r="AW1946" i="1"/>
  <c r="AU1947" i="1"/>
  <c r="AV1947" i="1"/>
  <c r="AW1947" i="1"/>
  <c r="AU1948" i="1"/>
  <c r="AV1948" i="1"/>
  <c r="AW1948" i="1"/>
  <c r="AU1949" i="1"/>
  <c r="AV1949" i="1"/>
  <c r="AW1949" i="1"/>
  <c r="AU1950" i="1"/>
  <c r="AV1950" i="1"/>
  <c r="AW1950" i="1"/>
  <c r="AU1951" i="1"/>
  <c r="AV1951" i="1"/>
  <c r="AW1951" i="1"/>
  <c r="AU1952" i="1"/>
  <c r="AV1952" i="1"/>
  <c r="AW1952" i="1"/>
  <c r="AU1953" i="1"/>
  <c r="AV1953" i="1"/>
  <c r="AW1953" i="1"/>
  <c r="AU1954" i="1"/>
  <c r="AV1954" i="1"/>
  <c r="AW1954" i="1"/>
  <c r="AU1955" i="1"/>
  <c r="AV1955" i="1"/>
  <c r="AW1955" i="1"/>
  <c r="AU1956" i="1"/>
  <c r="AV1956" i="1"/>
  <c r="AW1956" i="1"/>
  <c r="AU1957" i="1"/>
  <c r="AV1957" i="1"/>
  <c r="AW1957" i="1"/>
  <c r="AU1958" i="1"/>
  <c r="AV1958" i="1"/>
  <c r="AW1958" i="1"/>
  <c r="AU1959" i="1"/>
  <c r="AV1959" i="1"/>
  <c r="AW1959" i="1"/>
  <c r="AU1960" i="1"/>
  <c r="AV1960" i="1"/>
  <c r="AW1960" i="1"/>
  <c r="AU1961" i="1"/>
  <c r="AV1961" i="1"/>
  <c r="AW1961" i="1"/>
  <c r="AU1962" i="1"/>
  <c r="AV1962" i="1"/>
  <c r="AW1962" i="1"/>
  <c r="AU1963" i="1"/>
  <c r="AV1963" i="1"/>
  <c r="AW1963" i="1"/>
  <c r="AU1964" i="1"/>
  <c r="AV1964" i="1"/>
  <c r="AW1964" i="1"/>
  <c r="AU1965" i="1"/>
  <c r="AV1965" i="1"/>
  <c r="AW1965" i="1"/>
  <c r="AU1966" i="1"/>
  <c r="AV1966" i="1"/>
  <c r="AW1966" i="1"/>
  <c r="AU1967" i="1"/>
  <c r="AV1967" i="1"/>
  <c r="AW1967" i="1"/>
  <c r="AU1968" i="1"/>
  <c r="AV1968" i="1"/>
  <c r="AW1968" i="1"/>
  <c r="AU1969" i="1"/>
  <c r="AV1969" i="1"/>
  <c r="AW1969" i="1"/>
  <c r="AU1970" i="1"/>
  <c r="AV1970" i="1"/>
  <c r="AW1970" i="1"/>
  <c r="AU1971" i="1"/>
  <c r="AV1971" i="1"/>
  <c r="AW1971" i="1"/>
  <c r="AU1972" i="1"/>
  <c r="AV1972" i="1"/>
  <c r="AW1972" i="1"/>
  <c r="AU1973" i="1"/>
  <c r="AV1973" i="1"/>
  <c r="AW1973" i="1"/>
  <c r="AU1974" i="1"/>
  <c r="AV1974" i="1"/>
  <c r="AW1974" i="1"/>
  <c r="AU1975" i="1"/>
  <c r="AV1975" i="1"/>
  <c r="AW1975" i="1"/>
  <c r="AU1976" i="1"/>
  <c r="AV1976" i="1"/>
  <c r="AW1976" i="1"/>
  <c r="AU1977" i="1"/>
  <c r="AV1977" i="1"/>
  <c r="AW1977" i="1"/>
  <c r="AU1978" i="1"/>
  <c r="AV1978" i="1"/>
  <c r="AW1978" i="1"/>
  <c r="AU1979" i="1"/>
  <c r="AV1979" i="1"/>
  <c r="AW1979" i="1"/>
  <c r="AU1980" i="1"/>
  <c r="AV1980" i="1"/>
  <c r="AW1980" i="1"/>
  <c r="AU1981" i="1"/>
  <c r="AV1981" i="1"/>
  <c r="AW1981" i="1"/>
  <c r="AU1982" i="1"/>
  <c r="AV1982" i="1"/>
  <c r="AW1982" i="1"/>
  <c r="AU1983" i="1"/>
  <c r="AV1983" i="1"/>
  <c r="AW1983" i="1"/>
  <c r="AU1984" i="1"/>
  <c r="AV1984" i="1"/>
  <c r="AW1984" i="1"/>
  <c r="AU1985" i="1"/>
  <c r="AV1985" i="1"/>
  <c r="AW1985" i="1"/>
  <c r="AU1986" i="1"/>
  <c r="AV1986" i="1"/>
  <c r="AW1986" i="1"/>
  <c r="AU1987" i="1"/>
  <c r="AV1987" i="1"/>
  <c r="AW1987" i="1"/>
  <c r="AU1988" i="1"/>
  <c r="AV1988" i="1"/>
  <c r="AW1988" i="1"/>
  <c r="AU1989" i="1"/>
  <c r="AV1989" i="1"/>
  <c r="AW1989" i="1"/>
  <c r="AU1990" i="1"/>
  <c r="AV1990" i="1"/>
  <c r="AW1990" i="1"/>
  <c r="AU1991" i="1"/>
  <c r="AV1991" i="1"/>
  <c r="AW1991" i="1"/>
  <c r="AU1992" i="1"/>
  <c r="AV1992" i="1"/>
  <c r="AW1992" i="1"/>
  <c r="AU1993" i="1"/>
  <c r="AV1993" i="1"/>
  <c r="AW1993" i="1"/>
  <c r="AU1994" i="1"/>
  <c r="AV1994" i="1"/>
  <c r="AW1994" i="1"/>
  <c r="AU1995" i="1"/>
  <c r="AV1995" i="1"/>
  <c r="AW1995" i="1"/>
  <c r="AU1996" i="1"/>
  <c r="AV1996" i="1"/>
  <c r="AW1996" i="1"/>
  <c r="AU1997" i="1"/>
  <c r="AV1997" i="1"/>
  <c r="AW1997" i="1"/>
  <c r="AU1998" i="1"/>
  <c r="AV1998" i="1"/>
  <c r="AW1998" i="1"/>
  <c r="AU1999" i="1"/>
  <c r="AV1999" i="1"/>
  <c r="AW1999" i="1"/>
  <c r="AU2000" i="1"/>
  <c r="AV2000" i="1"/>
  <c r="AW2000" i="1"/>
  <c r="AU2001" i="1"/>
  <c r="AV2001" i="1"/>
  <c r="AW2001" i="1"/>
  <c r="AU2002" i="1"/>
  <c r="AV2002" i="1"/>
  <c r="AW2002" i="1"/>
  <c r="AU2003" i="1"/>
  <c r="AV2003" i="1"/>
  <c r="AW2003" i="1"/>
  <c r="AU2004" i="1"/>
  <c r="AV2004" i="1"/>
  <c r="AW2004" i="1"/>
  <c r="AU2005" i="1"/>
  <c r="AV2005" i="1"/>
  <c r="AW2005" i="1"/>
  <c r="AU2006" i="1"/>
  <c r="AV2006" i="1"/>
  <c r="AW2006" i="1"/>
  <c r="AU2007" i="1"/>
  <c r="AV2007" i="1"/>
  <c r="AW2007" i="1"/>
  <c r="AU2008" i="1"/>
  <c r="AV2008" i="1"/>
  <c r="AW2008" i="1"/>
  <c r="AU2009" i="1"/>
  <c r="AV2009" i="1"/>
  <c r="AW2009" i="1"/>
  <c r="AU2010" i="1"/>
  <c r="AV2010" i="1"/>
  <c r="AW2010" i="1"/>
  <c r="AU2011" i="1"/>
  <c r="AV2011" i="1"/>
  <c r="AW2011" i="1"/>
  <c r="AU2012" i="1"/>
  <c r="AV2012" i="1"/>
  <c r="AW2012" i="1"/>
  <c r="AU2013" i="1"/>
  <c r="AV2013" i="1"/>
  <c r="AW2013" i="1"/>
  <c r="AU2014" i="1"/>
  <c r="AV2014" i="1"/>
  <c r="AW2014" i="1"/>
  <c r="AU2015" i="1"/>
  <c r="AV2015" i="1"/>
  <c r="AW2015" i="1"/>
  <c r="AU2016" i="1"/>
  <c r="AV2016" i="1"/>
  <c r="AW2016" i="1"/>
  <c r="AU2017" i="1"/>
  <c r="AV2017" i="1"/>
  <c r="AW2017" i="1"/>
  <c r="AU2018" i="1"/>
  <c r="AV2018" i="1"/>
  <c r="AW2018" i="1"/>
  <c r="AU2019" i="1"/>
  <c r="AV2019" i="1"/>
  <c r="AW2019" i="1"/>
  <c r="AU2020" i="1"/>
  <c r="AV2020" i="1"/>
  <c r="AW2020" i="1"/>
  <c r="AU2021" i="1"/>
  <c r="AV2021" i="1"/>
  <c r="AW2021" i="1"/>
  <c r="AU2022" i="1"/>
  <c r="AV2022" i="1"/>
  <c r="AW2022" i="1"/>
  <c r="AU2023" i="1"/>
  <c r="AV2023" i="1"/>
  <c r="AW2023" i="1"/>
  <c r="AU2024" i="1"/>
  <c r="AV2024" i="1"/>
  <c r="AW2024" i="1"/>
  <c r="AU2025" i="1"/>
  <c r="AV2025" i="1"/>
  <c r="AW2025" i="1"/>
  <c r="AU2026" i="1"/>
  <c r="AV2026" i="1"/>
  <c r="AW2026" i="1"/>
  <c r="AU2027" i="1"/>
  <c r="AV2027" i="1"/>
  <c r="AW2027" i="1"/>
  <c r="AU2028" i="1"/>
  <c r="AV2028" i="1"/>
  <c r="AW2028" i="1"/>
  <c r="AU2029" i="1"/>
  <c r="AV2029" i="1"/>
  <c r="AW2029" i="1"/>
  <c r="AU2030" i="1"/>
  <c r="AV2030" i="1"/>
  <c r="AW2030" i="1"/>
  <c r="AU2031" i="1"/>
  <c r="AV2031" i="1"/>
  <c r="AW2031" i="1"/>
  <c r="AU2032" i="1"/>
  <c r="AV2032" i="1"/>
  <c r="AW2032" i="1"/>
  <c r="AU2033" i="1"/>
  <c r="AV2033" i="1"/>
  <c r="AW2033" i="1"/>
  <c r="AU2034" i="1"/>
  <c r="AV2034" i="1"/>
  <c r="AW2034" i="1"/>
  <c r="AU2035" i="1"/>
  <c r="AV2035" i="1"/>
  <c r="AW2035" i="1"/>
  <c r="AU2036" i="1"/>
  <c r="AV2036" i="1"/>
  <c r="AW2036" i="1"/>
  <c r="AU2037" i="1"/>
  <c r="AV2037" i="1"/>
  <c r="AW2037" i="1"/>
  <c r="AU2038" i="1"/>
  <c r="AV2038" i="1"/>
  <c r="AW2038" i="1"/>
  <c r="AU2039" i="1"/>
  <c r="AV2039" i="1"/>
  <c r="AW2039" i="1"/>
  <c r="AU2040" i="1"/>
  <c r="AV2040" i="1"/>
  <c r="AW2040" i="1"/>
  <c r="AU2041" i="1"/>
  <c r="AV2041" i="1"/>
  <c r="AW2041" i="1"/>
  <c r="AU2042" i="1"/>
  <c r="AV2042" i="1"/>
  <c r="AW2042" i="1"/>
  <c r="AU2043" i="1"/>
  <c r="AV2043" i="1"/>
  <c r="AW2043" i="1"/>
  <c r="AU2044" i="1"/>
  <c r="AV2044" i="1"/>
  <c r="AW2044" i="1"/>
  <c r="AU2045" i="1"/>
  <c r="AV2045" i="1"/>
  <c r="AW2045" i="1"/>
  <c r="AU2046" i="1"/>
  <c r="AV2046" i="1"/>
  <c r="AW2046" i="1"/>
  <c r="AU2047" i="1"/>
  <c r="AV2047" i="1"/>
  <c r="AW2047" i="1"/>
  <c r="AU2048" i="1"/>
  <c r="AV2048" i="1"/>
  <c r="AW2048" i="1"/>
  <c r="AU2049" i="1"/>
  <c r="AV2049" i="1"/>
  <c r="AW2049" i="1"/>
  <c r="AU2050" i="1"/>
  <c r="AV2050" i="1"/>
  <c r="AW2050" i="1"/>
  <c r="AU2051" i="1"/>
  <c r="AV2051" i="1"/>
  <c r="AW2051" i="1"/>
  <c r="AU2052" i="1"/>
  <c r="AV2052" i="1"/>
  <c r="AW2052" i="1"/>
  <c r="AU2053" i="1"/>
  <c r="AV2053" i="1"/>
  <c r="AW2053" i="1"/>
  <c r="AU2054" i="1"/>
  <c r="AV2054" i="1"/>
  <c r="AW2054" i="1"/>
  <c r="AU2055" i="1"/>
  <c r="AV2055" i="1"/>
  <c r="AW2055" i="1"/>
  <c r="AU2056" i="1"/>
  <c r="AV2056" i="1"/>
  <c r="AW2056" i="1"/>
  <c r="AU2057" i="1"/>
  <c r="AV2057" i="1"/>
  <c r="AW2057" i="1"/>
  <c r="AU2058" i="1"/>
  <c r="AV2058" i="1"/>
  <c r="AW2058" i="1"/>
  <c r="AU2059" i="1"/>
  <c r="AV2059" i="1"/>
  <c r="AW2059" i="1"/>
  <c r="AU2060" i="1"/>
  <c r="AV2060" i="1"/>
  <c r="AW2060" i="1"/>
  <c r="AU2061" i="1"/>
  <c r="AV2061" i="1"/>
  <c r="AW2061" i="1"/>
  <c r="AU2062" i="1"/>
  <c r="AV2062" i="1"/>
  <c r="AW2062" i="1"/>
  <c r="AU2063" i="1"/>
  <c r="AV2063" i="1"/>
  <c r="AW2063" i="1"/>
  <c r="AU2064" i="1"/>
  <c r="AV2064" i="1"/>
  <c r="AW2064" i="1"/>
  <c r="AU2065" i="1"/>
  <c r="AV2065" i="1"/>
  <c r="AW2065" i="1"/>
  <c r="AU2066" i="1"/>
  <c r="AV2066" i="1"/>
  <c r="AW2066" i="1"/>
  <c r="AU2067" i="1"/>
  <c r="AV2067" i="1"/>
  <c r="AW2067" i="1"/>
  <c r="AU2068" i="1"/>
  <c r="AV2068" i="1"/>
  <c r="AW2068" i="1"/>
  <c r="AU2069" i="1"/>
  <c r="AV2069" i="1"/>
  <c r="AW2069" i="1"/>
  <c r="AU2070" i="1"/>
  <c r="AV2070" i="1"/>
  <c r="AW2070" i="1"/>
  <c r="AU2071" i="1"/>
  <c r="AV2071" i="1"/>
  <c r="AW2071" i="1"/>
  <c r="AU2072" i="1"/>
  <c r="AV2072" i="1"/>
  <c r="AW2072" i="1"/>
  <c r="AU2073" i="1"/>
  <c r="AV2073" i="1"/>
  <c r="AW2073" i="1"/>
  <c r="AU2074" i="1"/>
  <c r="AV2074" i="1"/>
  <c r="AW2074" i="1"/>
  <c r="AU2075" i="1"/>
  <c r="AV2075" i="1"/>
  <c r="AW2075" i="1"/>
  <c r="AU2076" i="1"/>
  <c r="AV2076" i="1"/>
  <c r="AW2076" i="1"/>
  <c r="AU2077" i="1"/>
  <c r="AV2077" i="1"/>
  <c r="AW2077" i="1"/>
  <c r="AU2078" i="1"/>
  <c r="AV2078" i="1"/>
  <c r="AW2078" i="1"/>
  <c r="AU2079" i="1"/>
  <c r="AV2079" i="1"/>
  <c r="AW2079" i="1"/>
  <c r="AU2080" i="1"/>
  <c r="AV2080" i="1"/>
  <c r="AW2080" i="1"/>
  <c r="AU2081" i="1"/>
  <c r="AV2081" i="1"/>
  <c r="AW2081" i="1"/>
  <c r="AU2082" i="1"/>
  <c r="AV2082" i="1"/>
  <c r="AW2082" i="1"/>
  <c r="AU2083" i="1"/>
  <c r="AV2083" i="1"/>
  <c r="AW2083" i="1"/>
  <c r="AU2084" i="1"/>
  <c r="AV2084" i="1"/>
  <c r="AW2084" i="1"/>
  <c r="AU2085" i="1"/>
  <c r="AV2085" i="1"/>
  <c r="AW2085" i="1"/>
  <c r="AU2086" i="1"/>
  <c r="AV2086" i="1"/>
  <c r="AW2086" i="1"/>
  <c r="AU2087" i="1"/>
  <c r="AV2087" i="1"/>
  <c r="AW2087" i="1"/>
  <c r="AU2088" i="1"/>
  <c r="AV2088" i="1"/>
  <c r="AW2088" i="1"/>
  <c r="AU2089" i="1"/>
  <c r="AV2089" i="1"/>
  <c r="AW2089" i="1"/>
  <c r="AU2090" i="1"/>
  <c r="AV2090" i="1"/>
  <c r="AW2090" i="1"/>
  <c r="AU2091" i="1"/>
  <c r="AV2091" i="1"/>
  <c r="AW2091" i="1"/>
  <c r="AU2092" i="1"/>
  <c r="AV2092" i="1"/>
  <c r="AW2092" i="1"/>
  <c r="AU2093" i="1"/>
  <c r="AV2093" i="1"/>
  <c r="AW2093" i="1"/>
  <c r="AU2094" i="1"/>
  <c r="AV2094" i="1"/>
  <c r="AW2094" i="1"/>
  <c r="AU2095" i="1"/>
  <c r="AV2095" i="1"/>
  <c r="AW2095" i="1"/>
  <c r="AU2096" i="1"/>
  <c r="AV2096" i="1"/>
  <c r="AW2096" i="1"/>
  <c r="AU2097" i="1"/>
  <c r="AV2097" i="1"/>
  <c r="AW2097" i="1"/>
  <c r="AU2098" i="1"/>
  <c r="AV2098" i="1"/>
  <c r="AW2098" i="1"/>
  <c r="AU2099" i="1"/>
  <c r="AV2099" i="1"/>
  <c r="AW2099" i="1"/>
  <c r="AU2100" i="1"/>
  <c r="AV2100" i="1"/>
  <c r="AW2100" i="1"/>
  <c r="AU2101" i="1"/>
  <c r="AV2101" i="1"/>
  <c r="AW2101" i="1"/>
  <c r="AU2102" i="1"/>
  <c r="AV2102" i="1"/>
  <c r="AW2102" i="1"/>
  <c r="AU2103" i="1"/>
  <c r="AV2103" i="1"/>
  <c r="AW2103" i="1"/>
  <c r="AU2104" i="1"/>
  <c r="AV2104" i="1"/>
  <c r="AW2104" i="1"/>
  <c r="AU2105" i="1"/>
  <c r="AV2105" i="1"/>
  <c r="AW2105" i="1"/>
  <c r="AU2106" i="1"/>
  <c r="AV2106" i="1"/>
  <c r="AW2106" i="1"/>
  <c r="AU2107" i="1"/>
  <c r="AV2107" i="1"/>
  <c r="AW2107" i="1"/>
  <c r="AU2108" i="1"/>
  <c r="AV2108" i="1"/>
  <c r="AW2108" i="1"/>
  <c r="AU2109" i="1"/>
  <c r="AV2109" i="1"/>
  <c r="AW2109" i="1"/>
  <c r="AU2110" i="1"/>
  <c r="AV2110" i="1"/>
  <c r="AW2110" i="1"/>
  <c r="AU2111" i="1"/>
  <c r="AV2111" i="1"/>
  <c r="AW2111" i="1"/>
  <c r="AU2112" i="1"/>
  <c r="AV2112" i="1"/>
  <c r="AW2112" i="1"/>
  <c r="AU2113" i="1"/>
  <c r="AV2113" i="1"/>
  <c r="AW2113" i="1"/>
  <c r="AU2114" i="1"/>
  <c r="AV2114" i="1"/>
  <c r="AW2114" i="1"/>
  <c r="AU2115" i="1"/>
  <c r="AV2115" i="1"/>
  <c r="AW2115" i="1"/>
  <c r="AU2116" i="1"/>
  <c r="AV2116" i="1"/>
  <c r="AW2116" i="1"/>
  <c r="AU2117" i="1"/>
  <c r="AV2117" i="1"/>
  <c r="AW2117" i="1"/>
  <c r="AU2118" i="1"/>
  <c r="AV2118" i="1"/>
  <c r="AW2118" i="1"/>
  <c r="AU2119" i="1"/>
  <c r="AV2119" i="1"/>
  <c r="AW2119" i="1"/>
  <c r="AU2120" i="1"/>
  <c r="AV2120" i="1"/>
  <c r="AW2120" i="1"/>
  <c r="AU2121" i="1"/>
  <c r="AV2121" i="1"/>
  <c r="AW2121" i="1"/>
  <c r="AU2122" i="1"/>
  <c r="AV2122" i="1"/>
  <c r="AW2122" i="1"/>
  <c r="AU2123" i="1"/>
  <c r="AV2123" i="1"/>
  <c r="AW2123" i="1"/>
  <c r="AU2124" i="1"/>
  <c r="AV2124" i="1"/>
  <c r="AW2124" i="1"/>
  <c r="AU2125" i="1"/>
  <c r="AV2125" i="1"/>
  <c r="AW2125" i="1"/>
  <c r="AU2126" i="1"/>
  <c r="AV2126" i="1"/>
  <c r="AW2126" i="1"/>
  <c r="AU2127" i="1"/>
  <c r="AV2127" i="1"/>
  <c r="AW2127" i="1"/>
  <c r="AU2128" i="1"/>
  <c r="AV2128" i="1"/>
  <c r="AW2128" i="1"/>
  <c r="AU2129" i="1"/>
  <c r="AV2129" i="1"/>
  <c r="AW2129" i="1"/>
  <c r="AU2130" i="1"/>
  <c r="AV2130" i="1"/>
  <c r="AW2130" i="1"/>
  <c r="AU2131" i="1"/>
  <c r="AV2131" i="1"/>
  <c r="AW2131" i="1"/>
  <c r="AU2132" i="1"/>
  <c r="AV2132" i="1"/>
  <c r="AW2132" i="1"/>
  <c r="AU2133" i="1"/>
  <c r="AV2133" i="1"/>
  <c r="AW2133" i="1"/>
  <c r="AU2134" i="1"/>
  <c r="AV2134" i="1"/>
  <c r="AW2134" i="1"/>
  <c r="AU2135" i="1"/>
  <c r="AV2135" i="1"/>
  <c r="AW2135" i="1"/>
  <c r="AU2136" i="1"/>
  <c r="AV2136" i="1"/>
  <c r="AW2136" i="1"/>
  <c r="AU2137" i="1"/>
  <c r="AV2137" i="1"/>
  <c r="AW2137" i="1"/>
  <c r="AU2138" i="1"/>
  <c r="AV2138" i="1"/>
  <c r="AW2138" i="1"/>
  <c r="AU2139" i="1"/>
  <c r="AV2139" i="1"/>
  <c r="AW2139" i="1"/>
  <c r="AU2140" i="1"/>
  <c r="AV2140" i="1"/>
  <c r="AW2140" i="1"/>
  <c r="AU2141" i="1"/>
  <c r="AV2141" i="1"/>
  <c r="AW2141" i="1"/>
  <c r="AU2142" i="1"/>
  <c r="AV2142" i="1"/>
  <c r="AW2142" i="1"/>
  <c r="AU2143" i="1"/>
  <c r="AV2143" i="1"/>
  <c r="AW2143" i="1"/>
  <c r="AU2144" i="1"/>
  <c r="AV2144" i="1"/>
  <c r="AW2144" i="1"/>
  <c r="AU2145" i="1"/>
  <c r="AV2145" i="1"/>
  <c r="AW2145" i="1"/>
  <c r="AU2146" i="1"/>
  <c r="AV2146" i="1"/>
  <c r="AW2146" i="1"/>
  <c r="AU2147" i="1"/>
  <c r="AV2147" i="1"/>
  <c r="AW2147" i="1"/>
  <c r="AU2148" i="1"/>
  <c r="AV2148" i="1"/>
  <c r="AW2148" i="1"/>
  <c r="AU2149" i="1"/>
  <c r="AV2149" i="1"/>
  <c r="AW2149" i="1"/>
  <c r="AU2150" i="1"/>
  <c r="AV2150" i="1"/>
  <c r="AW2150" i="1"/>
  <c r="AU2151" i="1"/>
  <c r="AV2151" i="1"/>
  <c r="AW2151" i="1"/>
  <c r="AU2152" i="1"/>
  <c r="AV2152" i="1"/>
  <c r="AW2152" i="1"/>
  <c r="AU2153" i="1"/>
  <c r="AV2153" i="1"/>
  <c r="AW2153" i="1"/>
  <c r="AU2154" i="1"/>
  <c r="AV2154" i="1"/>
  <c r="AW2154" i="1"/>
  <c r="AU2155" i="1"/>
  <c r="AV2155" i="1"/>
  <c r="AW2155" i="1"/>
  <c r="AU2156" i="1"/>
  <c r="AV2156" i="1"/>
  <c r="AW2156" i="1"/>
  <c r="AU2157" i="1"/>
  <c r="AV2157" i="1"/>
  <c r="AW2157" i="1"/>
  <c r="AU2158" i="1"/>
  <c r="AV2158" i="1"/>
  <c r="AW2158" i="1"/>
  <c r="AU2159" i="1"/>
  <c r="AV2159" i="1"/>
  <c r="AW2159" i="1"/>
  <c r="AU2160" i="1"/>
  <c r="AV2160" i="1"/>
  <c r="AW2160" i="1"/>
  <c r="AU2161" i="1"/>
  <c r="AV2161" i="1"/>
  <c r="AW2161" i="1"/>
  <c r="AU2162" i="1"/>
  <c r="AV2162" i="1"/>
  <c r="AW2162" i="1"/>
  <c r="AU2163" i="1"/>
  <c r="AV2163" i="1"/>
  <c r="AW2163" i="1"/>
  <c r="AU2164" i="1"/>
  <c r="AV2164" i="1"/>
  <c r="AW2164" i="1"/>
  <c r="AU2165" i="1"/>
  <c r="AV2165" i="1"/>
  <c r="AW2165" i="1"/>
  <c r="AU2166" i="1"/>
  <c r="AV2166" i="1"/>
  <c r="AW2166" i="1"/>
  <c r="AU2167" i="1"/>
  <c r="AV2167" i="1"/>
  <c r="AW2167" i="1"/>
  <c r="AU2168" i="1"/>
  <c r="AV2168" i="1"/>
  <c r="AW2168" i="1"/>
  <c r="AU2169" i="1"/>
  <c r="AV2169" i="1"/>
  <c r="AW2169" i="1"/>
  <c r="AU2170" i="1"/>
  <c r="AV2170" i="1"/>
  <c r="AW2170" i="1"/>
  <c r="AU2171" i="1"/>
  <c r="AV2171" i="1"/>
  <c r="AW2171" i="1"/>
  <c r="AU2172" i="1"/>
  <c r="AV2172" i="1"/>
  <c r="AW2172" i="1"/>
  <c r="AU2173" i="1"/>
  <c r="AV2173" i="1"/>
  <c r="AW2173" i="1"/>
  <c r="AU2174" i="1"/>
  <c r="AV2174" i="1"/>
  <c r="AW2174" i="1"/>
  <c r="AU2175" i="1"/>
  <c r="AV2175" i="1"/>
  <c r="AW2175" i="1"/>
  <c r="AU2176" i="1"/>
  <c r="AV2176" i="1"/>
  <c r="AW2176" i="1"/>
  <c r="AU2177" i="1"/>
  <c r="AV2177" i="1"/>
  <c r="AW2177" i="1"/>
  <c r="AU2178" i="1"/>
  <c r="AV2178" i="1"/>
  <c r="AW2178" i="1"/>
  <c r="AU2179" i="1"/>
  <c r="AV2179" i="1"/>
  <c r="AW2179" i="1"/>
  <c r="AU2180" i="1"/>
  <c r="AV2180" i="1"/>
  <c r="AW2180" i="1"/>
  <c r="AU2181" i="1"/>
  <c r="AV2181" i="1"/>
  <c r="AW2181" i="1"/>
  <c r="AU2182" i="1"/>
  <c r="AV2182" i="1"/>
  <c r="AW2182" i="1"/>
  <c r="AU2183" i="1"/>
  <c r="AV2183" i="1"/>
  <c r="AW2183" i="1"/>
  <c r="AU2184" i="1"/>
  <c r="AV2184" i="1"/>
  <c r="AW2184" i="1"/>
  <c r="AU2185" i="1"/>
  <c r="AV2185" i="1"/>
  <c r="AW2185" i="1"/>
  <c r="AU2186" i="1"/>
  <c r="AV2186" i="1"/>
  <c r="AW2186" i="1"/>
  <c r="AU2187" i="1"/>
  <c r="AV2187" i="1"/>
  <c r="AW2187" i="1"/>
  <c r="AU2188" i="1"/>
  <c r="AV2188" i="1"/>
  <c r="AW2188" i="1"/>
  <c r="AU2189" i="1"/>
  <c r="AV2189" i="1"/>
  <c r="AW2189" i="1"/>
  <c r="AU2190" i="1"/>
  <c r="AV2190" i="1"/>
  <c r="AW2190" i="1"/>
  <c r="AU2191" i="1"/>
  <c r="AV2191" i="1"/>
  <c r="AW2191" i="1"/>
  <c r="AU2192" i="1"/>
  <c r="AV2192" i="1"/>
  <c r="AW2192" i="1"/>
  <c r="AU2193" i="1"/>
  <c r="AV2193" i="1"/>
  <c r="AW2193" i="1"/>
  <c r="AU2194" i="1"/>
  <c r="AV2194" i="1"/>
  <c r="AW2194" i="1"/>
  <c r="AU2195" i="1"/>
  <c r="AV2195" i="1"/>
  <c r="AW2195" i="1"/>
  <c r="AU2196" i="1"/>
  <c r="AV2196" i="1"/>
  <c r="AW2196" i="1"/>
  <c r="AU2197" i="1"/>
  <c r="AV2197" i="1"/>
  <c r="AW2197" i="1"/>
  <c r="AU2198" i="1"/>
  <c r="AV2198" i="1"/>
  <c r="AW2198" i="1"/>
  <c r="AU2199" i="1"/>
  <c r="AV2199" i="1"/>
  <c r="AW2199" i="1"/>
  <c r="AU2200" i="1"/>
  <c r="AV2200" i="1"/>
  <c r="AW2200" i="1"/>
  <c r="AU2201" i="1"/>
  <c r="AV2201" i="1"/>
  <c r="AW2201" i="1"/>
  <c r="AU2202" i="1"/>
  <c r="AV2202" i="1"/>
  <c r="AW2202" i="1"/>
  <c r="AU2203" i="1"/>
  <c r="AV2203" i="1"/>
  <c r="AW2203" i="1"/>
  <c r="AU2204" i="1"/>
  <c r="AV2204" i="1"/>
  <c r="AW2204" i="1"/>
  <c r="AU2205" i="1"/>
  <c r="AV2205" i="1"/>
  <c r="AW2205" i="1"/>
  <c r="AU2206" i="1"/>
  <c r="AV2206" i="1"/>
  <c r="AW2206" i="1"/>
  <c r="AU2207" i="1"/>
  <c r="AV2207" i="1"/>
  <c r="AW2207" i="1"/>
  <c r="AU2208" i="1"/>
  <c r="AV2208" i="1"/>
  <c r="AW2208" i="1"/>
  <c r="AU2209" i="1"/>
  <c r="AV2209" i="1"/>
  <c r="AW2209" i="1"/>
  <c r="AU2210" i="1"/>
  <c r="AV2210" i="1"/>
  <c r="AW2210" i="1"/>
  <c r="AU2211" i="1"/>
  <c r="AV2211" i="1"/>
  <c r="AW2211" i="1"/>
  <c r="AU2212" i="1"/>
  <c r="AV2212" i="1"/>
  <c r="AW2212" i="1"/>
  <c r="AU2213" i="1"/>
  <c r="AV2213" i="1"/>
  <c r="AW2213" i="1"/>
  <c r="AU2214" i="1"/>
  <c r="AV2214" i="1"/>
  <c r="AW2214" i="1"/>
  <c r="AU2215" i="1"/>
  <c r="AV2215" i="1"/>
  <c r="AW2215" i="1"/>
  <c r="AU2216" i="1"/>
  <c r="AV2216" i="1"/>
  <c r="AW2216" i="1"/>
  <c r="AU2217" i="1"/>
  <c r="AV2217" i="1"/>
  <c r="AW2217" i="1"/>
  <c r="AU2218" i="1"/>
  <c r="AV2218" i="1"/>
  <c r="AW2218" i="1"/>
  <c r="AU2219" i="1"/>
  <c r="AV2219" i="1"/>
  <c r="AW2219" i="1"/>
  <c r="AU2220" i="1"/>
  <c r="AV2220" i="1"/>
  <c r="AW2220" i="1"/>
  <c r="AU2221" i="1"/>
  <c r="AV2221" i="1"/>
  <c r="AW2221" i="1"/>
  <c r="AU2222" i="1"/>
  <c r="AV2222" i="1"/>
  <c r="AW2222" i="1"/>
  <c r="AU2223" i="1"/>
  <c r="AV2223" i="1"/>
  <c r="AW2223" i="1"/>
  <c r="AU2224" i="1"/>
  <c r="AV2224" i="1"/>
  <c r="AW2224" i="1"/>
  <c r="AU2225" i="1"/>
  <c r="AV2225" i="1"/>
  <c r="AW2225" i="1"/>
  <c r="AU2226" i="1"/>
  <c r="AV2226" i="1"/>
  <c r="AW2226" i="1"/>
  <c r="AU2227" i="1"/>
  <c r="AV2227" i="1"/>
  <c r="AW2227" i="1"/>
  <c r="AU2228" i="1"/>
  <c r="AV2228" i="1"/>
  <c r="AW2228" i="1"/>
  <c r="AU2229" i="1"/>
  <c r="AV2229" i="1"/>
  <c r="AW2229" i="1"/>
  <c r="AU2230" i="1"/>
  <c r="AV2230" i="1"/>
  <c r="AW2230" i="1"/>
  <c r="AU2231" i="1"/>
  <c r="AV2231" i="1"/>
  <c r="AW2231" i="1"/>
  <c r="AU2232" i="1"/>
  <c r="AV2232" i="1"/>
  <c r="AW2232" i="1"/>
  <c r="AU2233" i="1"/>
  <c r="AV2233" i="1"/>
  <c r="AW2233" i="1"/>
  <c r="AU2234" i="1"/>
  <c r="AV2234" i="1"/>
  <c r="AW2234" i="1"/>
  <c r="AU2235" i="1"/>
  <c r="AV2235" i="1"/>
  <c r="AW2235" i="1"/>
  <c r="AU2236" i="1"/>
  <c r="AV2236" i="1"/>
  <c r="AW2236" i="1"/>
  <c r="AU2237" i="1"/>
  <c r="AV2237" i="1"/>
  <c r="AW2237" i="1"/>
  <c r="AU2238" i="1"/>
  <c r="AV2238" i="1"/>
  <c r="AW2238" i="1"/>
  <c r="AU2239" i="1"/>
  <c r="AV2239" i="1"/>
  <c r="AW2239" i="1"/>
  <c r="AU2240" i="1"/>
  <c r="AV2240" i="1"/>
  <c r="AW2240" i="1"/>
  <c r="AU2241" i="1"/>
  <c r="AV2241" i="1"/>
  <c r="AW2241" i="1"/>
  <c r="AU2242" i="1"/>
  <c r="AV2242" i="1"/>
  <c r="AW2242" i="1"/>
  <c r="AU2243" i="1"/>
  <c r="AV2243" i="1"/>
  <c r="AW2243" i="1"/>
  <c r="AU2244" i="1"/>
  <c r="AV2244" i="1"/>
  <c r="AW2244" i="1"/>
  <c r="AU2245" i="1"/>
  <c r="AV2245" i="1"/>
  <c r="AW2245" i="1"/>
  <c r="AU2246" i="1"/>
  <c r="AV2246" i="1"/>
  <c r="AW2246" i="1"/>
  <c r="AU2247" i="1"/>
  <c r="AV2247" i="1"/>
  <c r="AW2247" i="1"/>
  <c r="AU2248" i="1"/>
  <c r="AV2248" i="1"/>
  <c r="AW2248" i="1"/>
  <c r="AU2249" i="1"/>
  <c r="AV2249" i="1"/>
  <c r="AW2249" i="1"/>
  <c r="AU2250" i="1"/>
  <c r="AV2250" i="1"/>
  <c r="AW2250" i="1"/>
  <c r="AU2251" i="1"/>
  <c r="AV2251" i="1"/>
  <c r="AW2251" i="1"/>
  <c r="AU2252" i="1"/>
  <c r="AV2252" i="1"/>
  <c r="AW2252" i="1"/>
  <c r="AU2253" i="1"/>
  <c r="AV2253" i="1"/>
  <c r="AW2253" i="1"/>
  <c r="AU2254" i="1"/>
  <c r="AV2254" i="1"/>
  <c r="AW2254" i="1"/>
  <c r="AU2255" i="1"/>
  <c r="AV2255" i="1"/>
  <c r="AW2255" i="1"/>
  <c r="AU2256" i="1"/>
  <c r="AV2256" i="1"/>
  <c r="AW2256" i="1"/>
  <c r="AU2257" i="1"/>
  <c r="AV2257" i="1"/>
  <c r="AW2257" i="1"/>
  <c r="AU2258" i="1"/>
  <c r="AV2258" i="1"/>
  <c r="AW2258" i="1"/>
  <c r="AU2259" i="1"/>
  <c r="AV2259" i="1"/>
  <c r="AW2259" i="1"/>
  <c r="AU2260" i="1"/>
  <c r="AV2260" i="1"/>
  <c r="AW2260" i="1"/>
  <c r="AU2261" i="1"/>
  <c r="AV2261" i="1"/>
  <c r="AW2261" i="1"/>
  <c r="AU2262" i="1"/>
  <c r="AV2262" i="1"/>
  <c r="AW2262" i="1"/>
  <c r="AU2263" i="1"/>
  <c r="AV2263" i="1"/>
  <c r="AW2263" i="1"/>
  <c r="AU2264" i="1"/>
  <c r="AV2264" i="1"/>
  <c r="AW2264" i="1"/>
  <c r="AU2265" i="1"/>
  <c r="AV2265" i="1"/>
  <c r="AW2265" i="1"/>
  <c r="AU2266" i="1"/>
  <c r="AV2266" i="1"/>
  <c r="AW2266" i="1"/>
  <c r="AU2267" i="1"/>
  <c r="AV2267" i="1"/>
  <c r="AW2267" i="1"/>
  <c r="AU2268" i="1"/>
  <c r="AV2268" i="1"/>
  <c r="AW2268" i="1"/>
  <c r="AU2269" i="1"/>
  <c r="AV2269" i="1"/>
  <c r="AW2269" i="1"/>
  <c r="AU2270" i="1"/>
  <c r="AV2270" i="1"/>
  <c r="AW2270" i="1"/>
  <c r="AU2271" i="1"/>
  <c r="AV2271" i="1"/>
  <c r="AW2271" i="1"/>
  <c r="AU2272" i="1"/>
  <c r="AV2272" i="1"/>
  <c r="AW2272" i="1"/>
  <c r="AU2273" i="1"/>
  <c r="AV2273" i="1"/>
  <c r="AW2273" i="1"/>
  <c r="AU2274" i="1"/>
  <c r="AV2274" i="1"/>
  <c r="AW2274" i="1"/>
  <c r="AU2275" i="1"/>
  <c r="AV2275" i="1"/>
  <c r="AW2275" i="1"/>
  <c r="AU2276" i="1"/>
  <c r="AV2276" i="1"/>
  <c r="AW2276" i="1"/>
  <c r="AU2277" i="1"/>
  <c r="AV2277" i="1"/>
  <c r="AW2277" i="1"/>
  <c r="AU2278" i="1"/>
  <c r="AV2278" i="1"/>
  <c r="AW2278" i="1"/>
  <c r="AU2279" i="1"/>
  <c r="AV2279" i="1"/>
  <c r="AW2279" i="1"/>
  <c r="AU2280" i="1"/>
  <c r="AV2280" i="1"/>
  <c r="AW2280" i="1"/>
  <c r="AU2281" i="1"/>
  <c r="AV2281" i="1"/>
  <c r="AW2281" i="1"/>
  <c r="AU2282" i="1"/>
  <c r="AV2282" i="1"/>
  <c r="AW2282" i="1"/>
  <c r="AU2283" i="1"/>
  <c r="AV2283" i="1"/>
  <c r="AW2283" i="1"/>
  <c r="AU2284" i="1"/>
  <c r="AV2284" i="1"/>
  <c r="AW2284" i="1"/>
  <c r="AU2285" i="1"/>
  <c r="AV2285" i="1"/>
  <c r="AW2285" i="1"/>
  <c r="AU2286" i="1"/>
  <c r="AV2286" i="1"/>
  <c r="AW2286" i="1"/>
  <c r="AU2287" i="1"/>
  <c r="AV2287" i="1"/>
  <c r="AW2287" i="1"/>
  <c r="AU2288" i="1"/>
  <c r="AV2288" i="1"/>
  <c r="AW2288" i="1"/>
  <c r="AU2289" i="1"/>
  <c r="AV2289" i="1"/>
  <c r="AW2289" i="1"/>
  <c r="AU2290" i="1"/>
  <c r="AV2290" i="1"/>
  <c r="AW2290" i="1"/>
  <c r="AU2291" i="1"/>
  <c r="AV2291" i="1"/>
  <c r="AW2291" i="1"/>
  <c r="AU2292" i="1"/>
  <c r="AV2292" i="1"/>
  <c r="AW2292" i="1"/>
  <c r="AU2293" i="1"/>
  <c r="AV2293" i="1"/>
  <c r="AW2293" i="1"/>
  <c r="AU2294" i="1"/>
  <c r="AV2294" i="1"/>
  <c r="AW2294" i="1"/>
  <c r="AU2295" i="1"/>
  <c r="AV2295" i="1"/>
  <c r="AW2295" i="1"/>
  <c r="AU2296" i="1"/>
  <c r="AV2296" i="1"/>
  <c r="AW2296" i="1"/>
  <c r="AU2297" i="1"/>
  <c r="AV2297" i="1"/>
  <c r="AW2297" i="1"/>
  <c r="AU2298" i="1"/>
  <c r="AV2298" i="1"/>
  <c r="AW2298" i="1"/>
  <c r="AU2299" i="1"/>
  <c r="AV2299" i="1"/>
  <c r="AW2299" i="1"/>
  <c r="AU2300" i="1"/>
  <c r="AV2300" i="1"/>
  <c r="AW2300" i="1"/>
  <c r="AU2301" i="1"/>
  <c r="AV2301" i="1"/>
  <c r="AW2301" i="1"/>
  <c r="AU2302" i="1"/>
  <c r="AV2302" i="1"/>
  <c r="AW2302" i="1"/>
  <c r="AU2303" i="1"/>
  <c r="AV2303" i="1"/>
  <c r="AW2303" i="1"/>
  <c r="AU2304" i="1"/>
  <c r="AV2304" i="1"/>
  <c r="AW2304" i="1"/>
  <c r="AU2305" i="1"/>
  <c r="AV2305" i="1"/>
  <c r="AW2305" i="1"/>
  <c r="AU2306" i="1"/>
  <c r="AV2306" i="1"/>
  <c r="AW2306" i="1"/>
  <c r="AU2307" i="1"/>
  <c r="AV2307" i="1"/>
  <c r="AW2307" i="1"/>
  <c r="AU2308" i="1"/>
  <c r="AV2308" i="1"/>
  <c r="AW2308" i="1"/>
  <c r="AU2309" i="1"/>
  <c r="AV2309" i="1"/>
  <c r="AW2309" i="1"/>
  <c r="AU2310" i="1"/>
  <c r="AV2310" i="1"/>
  <c r="AW2310" i="1"/>
  <c r="AU2311" i="1"/>
  <c r="AV2311" i="1"/>
  <c r="AW2311" i="1"/>
  <c r="AU2312" i="1"/>
  <c r="AV2312" i="1"/>
  <c r="AW2312" i="1"/>
  <c r="AU2313" i="1"/>
  <c r="AV2313" i="1"/>
  <c r="AW2313" i="1"/>
  <c r="AU2314" i="1"/>
  <c r="AV2314" i="1"/>
  <c r="AW2314" i="1"/>
  <c r="AU2315" i="1"/>
  <c r="AV2315" i="1"/>
  <c r="AW2315" i="1"/>
  <c r="AU2316" i="1"/>
  <c r="AV2316" i="1"/>
  <c r="AW2316" i="1"/>
  <c r="AU2317" i="1"/>
  <c r="AV2317" i="1"/>
  <c r="AW2317" i="1"/>
  <c r="AU2318" i="1"/>
  <c r="AV2318" i="1"/>
  <c r="AW2318" i="1"/>
  <c r="AU2319" i="1"/>
  <c r="AV2319" i="1"/>
  <c r="AW2319" i="1"/>
  <c r="AU2320" i="1"/>
  <c r="AV2320" i="1"/>
  <c r="AW2320" i="1"/>
  <c r="AU2321" i="1"/>
  <c r="AV2321" i="1"/>
  <c r="AW2321" i="1"/>
  <c r="AU2322" i="1"/>
  <c r="AV2322" i="1"/>
  <c r="AW2322" i="1"/>
  <c r="AU2323" i="1"/>
  <c r="AV2323" i="1"/>
  <c r="AW2323" i="1"/>
  <c r="AU2324" i="1"/>
  <c r="AV2324" i="1"/>
  <c r="AW2324" i="1"/>
  <c r="AU2325" i="1"/>
  <c r="AV2325" i="1"/>
  <c r="AW2325" i="1"/>
  <c r="AU2326" i="1"/>
  <c r="AV2326" i="1"/>
  <c r="AW2326" i="1"/>
  <c r="AU2327" i="1"/>
  <c r="AV2327" i="1"/>
  <c r="AW2327" i="1"/>
  <c r="AU2328" i="1"/>
  <c r="AV2328" i="1"/>
  <c r="AW2328" i="1"/>
  <c r="AU2329" i="1"/>
  <c r="AV2329" i="1"/>
  <c r="AW2329" i="1"/>
  <c r="AU2330" i="1"/>
  <c r="AV2330" i="1"/>
  <c r="AW2330" i="1"/>
  <c r="AU2331" i="1"/>
  <c r="AV2331" i="1"/>
  <c r="AW2331" i="1"/>
  <c r="AU2332" i="1"/>
  <c r="AV2332" i="1"/>
  <c r="AW2332" i="1"/>
  <c r="AU2333" i="1"/>
  <c r="AV2333" i="1"/>
  <c r="AW2333" i="1"/>
  <c r="AU2334" i="1"/>
  <c r="AV2334" i="1"/>
  <c r="AW2334" i="1"/>
  <c r="AU2335" i="1"/>
  <c r="AV2335" i="1"/>
  <c r="AW2335" i="1"/>
  <c r="AU2336" i="1"/>
  <c r="AV2336" i="1"/>
  <c r="AW2336" i="1"/>
  <c r="AU2337" i="1"/>
  <c r="AV2337" i="1"/>
  <c r="AW2337" i="1"/>
  <c r="AU2338" i="1"/>
  <c r="AV2338" i="1"/>
  <c r="AW2338" i="1"/>
  <c r="AU2339" i="1"/>
  <c r="AV2339" i="1"/>
  <c r="AW2339" i="1"/>
  <c r="AU2340" i="1"/>
  <c r="AV2340" i="1"/>
  <c r="AW2340" i="1"/>
  <c r="AU2341" i="1"/>
  <c r="AV2341" i="1"/>
  <c r="AW2341" i="1"/>
  <c r="AU2342" i="1"/>
  <c r="AV2342" i="1"/>
  <c r="AW2342" i="1"/>
  <c r="AU2343" i="1"/>
  <c r="AV2343" i="1"/>
  <c r="AW2343" i="1"/>
  <c r="AU2344" i="1"/>
  <c r="AV2344" i="1"/>
  <c r="AW2344" i="1"/>
  <c r="AU2345" i="1"/>
  <c r="AV2345" i="1"/>
  <c r="AW2345" i="1"/>
  <c r="AU2346" i="1"/>
  <c r="AV2346" i="1"/>
  <c r="AW2346" i="1"/>
  <c r="AU2347" i="1"/>
  <c r="AV2347" i="1"/>
  <c r="AW2347" i="1"/>
  <c r="AU2348" i="1"/>
  <c r="AV2348" i="1"/>
  <c r="AW2348" i="1"/>
  <c r="AU2349" i="1"/>
  <c r="AV2349" i="1"/>
  <c r="AW2349" i="1"/>
  <c r="AU2350" i="1"/>
  <c r="AV2350" i="1"/>
  <c r="AW2350" i="1"/>
  <c r="AU2351" i="1"/>
  <c r="AV2351" i="1"/>
  <c r="AW2351" i="1"/>
  <c r="AU2352" i="1"/>
  <c r="AV2352" i="1"/>
  <c r="AW2352" i="1"/>
  <c r="AU2353" i="1"/>
  <c r="AV2353" i="1"/>
  <c r="AW2353" i="1"/>
  <c r="AU2354" i="1"/>
  <c r="AV2354" i="1"/>
  <c r="AW2354" i="1"/>
  <c r="AU2355" i="1"/>
  <c r="AV2355" i="1"/>
  <c r="AW2355" i="1"/>
  <c r="AU2356" i="1"/>
  <c r="AV2356" i="1"/>
  <c r="AW2356" i="1"/>
  <c r="AU2357" i="1"/>
  <c r="AV2357" i="1"/>
  <c r="AW2357" i="1"/>
  <c r="AU2358" i="1"/>
  <c r="AV2358" i="1"/>
  <c r="AW2358" i="1"/>
  <c r="AU2359" i="1"/>
  <c r="AV2359" i="1"/>
  <c r="AW2359" i="1"/>
  <c r="AU2360" i="1"/>
  <c r="AV2360" i="1"/>
  <c r="AW2360" i="1"/>
  <c r="AU2361" i="1"/>
  <c r="AV2361" i="1"/>
  <c r="AW2361" i="1"/>
  <c r="AU2362" i="1"/>
  <c r="AV2362" i="1"/>
  <c r="AW2362" i="1"/>
  <c r="AU2363" i="1"/>
  <c r="AV2363" i="1"/>
  <c r="AW2363" i="1"/>
  <c r="AU2364" i="1"/>
  <c r="AV2364" i="1"/>
  <c r="AW2364" i="1"/>
  <c r="AU2365" i="1"/>
  <c r="AV2365" i="1"/>
  <c r="AW2365" i="1"/>
  <c r="AU2366" i="1"/>
  <c r="AV2366" i="1"/>
  <c r="AW2366" i="1"/>
  <c r="AU2367" i="1"/>
  <c r="AV2367" i="1"/>
  <c r="AW2367" i="1"/>
  <c r="AU2368" i="1"/>
  <c r="AV2368" i="1"/>
  <c r="AW2368" i="1"/>
  <c r="AU2369" i="1"/>
  <c r="AV2369" i="1"/>
  <c r="AW2369" i="1"/>
  <c r="AU2370" i="1"/>
  <c r="AV2370" i="1"/>
  <c r="AW2370" i="1"/>
  <c r="AU2371" i="1"/>
  <c r="AV2371" i="1"/>
  <c r="AW2371" i="1"/>
  <c r="AU2372" i="1"/>
  <c r="AV2372" i="1"/>
  <c r="AW2372" i="1"/>
  <c r="AU2373" i="1"/>
  <c r="AV2373" i="1"/>
  <c r="AW2373" i="1"/>
  <c r="AU2374" i="1"/>
  <c r="AV2374" i="1"/>
  <c r="AW2374" i="1"/>
  <c r="AU2375" i="1"/>
  <c r="AV2375" i="1"/>
  <c r="AW2375" i="1"/>
  <c r="AU2376" i="1"/>
  <c r="AV2376" i="1"/>
  <c r="AW2376" i="1"/>
  <c r="AU2377" i="1"/>
  <c r="AV2377" i="1"/>
  <c r="AW2377" i="1"/>
  <c r="AU2378" i="1"/>
  <c r="AV2378" i="1"/>
  <c r="AW2378" i="1"/>
  <c r="AU2379" i="1"/>
  <c r="AV2379" i="1"/>
  <c r="AW2379" i="1"/>
  <c r="AU2380" i="1"/>
  <c r="AV2380" i="1"/>
  <c r="AW2380" i="1"/>
  <c r="AU2381" i="1"/>
  <c r="AV2381" i="1"/>
  <c r="AW2381" i="1"/>
  <c r="AU2382" i="1"/>
  <c r="AV2382" i="1"/>
  <c r="AW2382" i="1"/>
  <c r="AU2383" i="1"/>
  <c r="AV2383" i="1"/>
  <c r="AW2383" i="1"/>
  <c r="AU2384" i="1"/>
  <c r="AV2384" i="1"/>
  <c r="AW2384" i="1"/>
  <c r="AU2385" i="1"/>
  <c r="AV2385" i="1"/>
  <c r="AW2385" i="1"/>
  <c r="AU2386" i="1"/>
  <c r="AV2386" i="1"/>
  <c r="AW2386" i="1"/>
  <c r="AU2387" i="1"/>
  <c r="AV2387" i="1"/>
  <c r="AW2387" i="1"/>
  <c r="AU2388" i="1"/>
  <c r="AV2388" i="1"/>
  <c r="AW2388" i="1"/>
  <c r="AU2389" i="1"/>
  <c r="AV2389" i="1"/>
  <c r="AW2389" i="1"/>
  <c r="AU2390" i="1"/>
  <c r="AV2390" i="1"/>
  <c r="AW2390" i="1"/>
  <c r="AU2391" i="1"/>
  <c r="AV2391" i="1"/>
  <c r="AW2391" i="1"/>
  <c r="AU2392" i="1"/>
  <c r="AV2392" i="1"/>
  <c r="AW2392" i="1"/>
  <c r="AU2393" i="1"/>
  <c r="AV2393" i="1"/>
  <c r="AW2393" i="1"/>
  <c r="AU2394" i="1"/>
  <c r="AV2394" i="1"/>
  <c r="AW2394" i="1"/>
  <c r="AU2395" i="1"/>
  <c r="AV2395" i="1"/>
  <c r="AW2395" i="1"/>
  <c r="AU2396" i="1"/>
  <c r="AV2396" i="1"/>
  <c r="AW2396" i="1"/>
  <c r="AU2397" i="1"/>
  <c r="AV2397" i="1"/>
  <c r="AW2397" i="1"/>
  <c r="AU2398" i="1"/>
  <c r="AV2398" i="1"/>
  <c r="AW2398" i="1"/>
  <c r="AU2399" i="1"/>
  <c r="AV2399" i="1"/>
  <c r="AW2399" i="1"/>
  <c r="AU2400" i="1"/>
  <c r="AV2400" i="1"/>
  <c r="AW2400" i="1"/>
  <c r="AU2401" i="1"/>
  <c r="AV2401" i="1"/>
  <c r="AW2401" i="1"/>
  <c r="AU2402" i="1"/>
  <c r="AV2402" i="1"/>
  <c r="AW2402" i="1"/>
  <c r="AU2403" i="1"/>
  <c r="AV2403" i="1"/>
  <c r="AW2403" i="1"/>
  <c r="AU2404" i="1"/>
  <c r="AV2404" i="1"/>
  <c r="AW2404" i="1"/>
  <c r="AU2405" i="1"/>
  <c r="AV2405" i="1"/>
  <c r="AW2405" i="1"/>
  <c r="AU2406" i="1"/>
  <c r="AV2406" i="1"/>
  <c r="AW2406" i="1"/>
  <c r="AU2407" i="1"/>
  <c r="AV2407" i="1"/>
  <c r="AW2407" i="1"/>
  <c r="AU2408" i="1"/>
  <c r="AV2408" i="1"/>
  <c r="AW2408" i="1"/>
  <c r="AU2409" i="1"/>
  <c r="AV2409" i="1"/>
  <c r="AW2409" i="1"/>
  <c r="AU2410" i="1"/>
  <c r="AV2410" i="1"/>
  <c r="AW2410" i="1"/>
  <c r="AU2411" i="1"/>
  <c r="AV2411" i="1"/>
  <c r="AW2411" i="1"/>
  <c r="AU2412" i="1"/>
  <c r="AV2412" i="1"/>
  <c r="AW2412" i="1"/>
  <c r="AU2413" i="1"/>
  <c r="AV2413" i="1"/>
  <c r="AW2413" i="1"/>
  <c r="AU2414" i="1"/>
  <c r="AV2414" i="1"/>
  <c r="AW2414" i="1"/>
  <c r="AU2415" i="1"/>
  <c r="AV2415" i="1"/>
  <c r="AW2415" i="1"/>
  <c r="AU2416" i="1"/>
  <c r="AV2416" i="1"/>
  <c r="AW2416" i="1"/>
  <c r="AU2417" i="1"/>
  <c r="AV2417" i="1"/>
  <c r="AW2417" i="1"/>
  <c r="AU2418" i="1"/>
  <c r="AV2418" i="1"/>
  <c r="AW2418" i="1"/>
  <c r="AU2419" i="1"/>
  <c r="AV2419" i="1"/>
  <c r="AW2419" i="1"/>
  <c r="AU2420" i="1"/>
  <c r="AV2420" i="1"/>
  <c r="AW2420" i="1"/>
  <c r="AU2421" i="1"/>
  <c r="AV2421" i="1"/>
  <c r="AW2421" i="1"/>
  <c r="AU2422" i="1"/>
  <c r="AV2422" i="1"/>
  <c r="AW2422" i="1"/>
  <c r="AU2423" i="1"/>
  <c r="AV2423" i="1"/>
  <c r="AW2423" i="1"/>
  <c r="AU2424" i="1"/>
  <c r="AV2424" i="1"/>
  <c r="AW2424" i="1"/>
  <c r="AU2425" i="1"/>
  <c r="AV2425" i="1"/>
  <c r="AW2425" i="1"/>
  <c r="AU2426" i="1"/>
  <c r="AV2426" i="1"/>
  <c r="AW2426" i="1"/>
  <c r="AU2427" i="1"/>
  <c r="AV2427" i="1"/>
  <c r="AW2427" i="1"/>
  <c r="AU2428" i="1"/>
  <c r="AV2428" i="1"/>
  <c r="AW2428" i="1"/>
  <c r="AU2429" i="1"/>
  <c r="AV2429" i="1"/>
  <c r="AW2429" i="1"/>
  <c r="AU2430" i="1"/>
  <c r="AV2430" i="1"/>
  <c r="AW2430" i="1"/>
  <c r="AU2431" i="1"/>
  <c r="AV2431" i="1"/>
  <c r="AW2431" i="1"/>
  <c r="AU2432" i="1"/>
  <c r="AV2432" i="1"/>
  <c r="AW2432" i="1"/>
  <c r="AU2433" i="1"/>
  <c r="AV2433" i="1"/>
  <c r="AW2433" i="1"/>
  <c r="AU2434" i="1"/>
  <c r="AV2434" i="1"/>
  <c r="AW2434" i="1"/>
  <c r="AU2435" i="1"/>
  <c r="AV2435" i="1"/>
  <c r="AW2435" i="1"/>
  <c r="AU2436" i="1"/>
  <c r="AV2436" i="1"/>
  <c r="AW2436" i="1"/>
  <c r="AU2437" i="1"/>
  <c r="AV2437" i="1"/>
  <c r="AW2437" i="1"/>
  <c r="AU2438" i="1"/>
  <c r="AV2438" i="1"/>
  <c r="AW2438" i="1"/>
  <c r="AU2439" i="1"/>
  <c r="AV2439" i="1"/>
  <c r="AW2439" i="1"/>
  <c r="AU2440" i="1"/>
  <c r="AV2440" i="1"/>
  <c r="AW2440" i="1"/>
  <c r="AU2441" i="1"/>
  <c r="AV2441" i="1"/>
  <c r="AW2441" i="1"/>
  <c r="AU2442" i="1"/>
  <c r="AV2442" i="1"/>
  <c r="AW2442" i="1"/>
  <c r="AU2443" i="1"/>
  <c r="AV2443" i="1"/>
  <c r="AW2443" i="1"/>
  <c r="AU2444" i="1"/>
  <c r="AV2444" i="1"/>
  <c r="AW2444" i="1"/>
  <c r="AU2445" i="1"/>
  <c r="AV2445" i="1"/>
  <c r="AW2445" i="1"/>
  <c r="AU2446" i="1"/>
  <c r="AV2446" i="1"/>
  <c r="AW2446" i="1"/>
  <c r="AU2447" i="1"/>
  <c r="AV2447" i="1"/>
  <c r="AW2447" i="1"/>
  <c r="AU2448" i="1"/>
  <c r="AV2448" i="1"/>
  <c r="AW2448" i="1"/>
  <c r="AU2449" i="1"/>
  <c r="AV2449" i="1"/>
  <c r="AW2449" i="1"/>
  <c r="AU2450" i="1"/>
  <c r="AV2450" i="1"/>
  <c r="AW2450" i="1"/>
  <c r="AU2451" i="1"/>
  <c r="AV2451" i="1"/>
  <c r="AW2451" i="1"/>
  <c r="AU2452" i="1"/>
  <c r="AV2452" i="1"/>
  <c r="AW2452" i="1"/>
  <c r="AU2453" i="1"/>
  <c r="AV2453" i="1"/>
  <c r="AW2453" i="1"/>
  <c r="AU2454" i="1"/>
  <c r="AV2454" i="1"/>
  <c r="AW2454" i="1"/>
  <c r="AU2455" i="1"/>
  <c r="AV2455" i="1"/>
  <c r="AW2455" i="1"/>
  <c r="AU2456" i="1"/>
  <c r="AV2456" i="1"/>
  <c r="AW2456" i="1"/>
  <c r="AU2457" i="1"/>
  <c r="AV2457" i="1"/>
  <c r="AW2457" i="1"/>
  <c r="AU2458" i="1"/>
  <c r="AV2458" i="1"/>
  <c r="AW2458" i="1"/>
  <c r="AU2459" i="1"/>
  <c r="AV2459" i="1"/>
  <c r="AW2459" i="1"/>
  <c r="AU2460" i="1"/>
  <c r="AV2460" i="1"/>
  <c r="AW2460" i="1"/>
  <c r="AU2461" i="1"/>
  <c r="AV2461" i="1"/>
  <c r="AW2461" i="1"/>
  <c r="AU2462" i="1"/>
  <c r="AV2462" i="1"/>
  <c r="AW2462" i="1"/>
  <c r="AU2463" i="1"/>
  <c r="AV2463" i="1"/>
  <c r="AW2463" i="1"/>
  <c r="AU2464" i="1"/>
  <c r="AV2464" i="1"/>
  <c r="AW2464" i="1"/>
  <c r="AU2465" i="1"/>
  <c r="AV2465" i="1"/>
  <c r="AW2465" i="1"/>
  <c r="AU2466" i="1"/>
  <c r="AV2466" i="1"/>
  <c r="AW2466" i="1"/>
  <c r="AU2467" i="1"/>
  <c r="AV2467" i="1"/>
  <c r="AW2467" i="1"/>
  <c r="AU2468" i="1"/>
  <c r="AV2468" i="1"/>
  <c r="AW2468" i="1"/>
  <c r="AU2469" i="1"/>
  <c r="AV2469" i="1"/>
  <c r="AW2469" i="1"/>
  <c r="AU2470" i="1"/>
  <c r="AV2470" i="1"/>
  <c r="AW2470" i="1"/>
  <c r="AU2471" i="1"/>
  <c r="AV2471" i="1"/>
  <c r="AW2471" i="1"/>
  <c r="AU2472" i="1"/>
  <c r="AV2472" i="1"/>
  <c r="AW2472" i="1"/>
  <c r="AU2473" i="1"/>
  <c r="AV2473" i="1"/>
  <c r="AW2473" i="1"/>
  <c r="AU2474" i="1"/>
  <c r="AV2474" i="1"/>
  <c r="AW2474" i="1"/>
  <c r="AU2475" i="1"/>
  <c r="AV2475" i="1"/>
  <c r="AW2475" i="1"/>
  <c r="AU2476" i="1"/>
  <c r="AV2476" i="1"/>
  <c r="AW2476" i="1"/>
  <c r="AU2477" i="1"/>
  <c r="AV2477" i="1"/>
  <c r="AW2477" i="1"/>
  <c r="AU2478" i="1"/>
  <c r="AV2478" i="1"/>
  <c r="AW2478" i="1"/>
  <c r="AU2479" i="1"/>
  <c r="AV2479" i="1"/>
  <c r="AW2479" i="1"/>
  <c r="AU2480" i="1"/>
  <c r="AV2480" i="1"/>
  <c r="AW2480" i="1"/>
  <c r="AU2481" i="1"/>
  <c r="AV2481" i="1"/>
  <c r="AW2481" i="1"/>
  <c r="AU2482" i="1"/>
  <c r="AV2482" i="1"/>
  <c r="AW2482" i="1"/>
  <c r="AU2483" i="1"/>
  <c r="AV2483" i="1"/>
  <c r="AW2483" i="1"/>
  <c r="AU2484" i="1"/>
  <c r="AV2484" i="1"/>
  <c r="AW2484" i="1"/>
  <c r="AU2485" i="1"/>
  <c r="AV2485" i="1"/>
  <c r="AW2485" i="1"/>
  <c r="AU2486" i="1"/>
  <c r="AV2486" i="1"/>
  <c r="AW2486" i="1"/>
  <c r="AU2487" i="1"/>
  <c r="AV2487" i="1"/>
  <c r="AW2487" i="1"/>
  <c r="AU2488" i="1"/>
  <c r="AV2488" i="1"/>
  <c r="AW2488" i="1"/>
  <c r="AU2489" i="1"/>
  <c r="AV2489" i="1"/>
  <c r="AW2489" i="1"/>
  <c r="AU2490" i="1"/>
  <c r="AV2490" i="1"/>
  <c r="AW2490" i="1"/>
  <c r="AU2491" i="1"/>
  <c r="AV2491" i="1"/>
  <c r="AW2491" i="1"/>
  <c r="AU2492" i="1"/>
  <c r="AV2492" i="1"/>
  <c r="AW2492" i="1"/>
  <c r="AU2493" i="1"/>
  <c r="AV2493" i="1"/>
  <c r="AW2493" i="1"/>
  <c r="AU2494" i="1"/>
  <c r="AV2494" i="1"/>
  <c r="AW2494" i="1"/>
  <c r="AU2495" i="1"/>
  <c r="AV2495" i="1"/>
  <c r="AW2495" i="1"/>
  <c r="AU2496" i="1"/>
  <c r="AV2496" i="1"/>
  <c r="AW2496" i="1"/>
  <c r="AU2497" i="1"/>
  <c r="AV2497" i="1"/>
  <c r="AW2497" i="1"/>
  <c r="AU2498" i="1"/>
  <c r="AV2498" i="1"/>
  <c r="AW2498" i="1"/>
  <c r="AU2499" i="1"/>
  <c r="AV2499" i="1"/>
  <c r="AW2499" i="1"/>
  <c r="AU2500" i="1"/>
  <c r="AV2500" i="1"/>
  <c r="AW2500" i="1"/>
  <c r="AU2501" i="1"/>
  <c r="AV2501" i="1"/>
  <c r="AW2501" i="1"/>
  <c r="AU2502" i="1"/>
  <c r="AV2502" i="1"/>
  <c r="AW2502" i="1"/>
  <c r="AU2503" i="1"/>
  <c r="AV2503" i="1"/>
  <c r="AW2503" i="1"/>
  <c r="AU2504" i="1"/>
  <c r="AV2504" i="1"/>
  <c r="AW2504" i="1"/>
  <c r="AU2505" i="1"/>
  <c r="AV2505" i="1"/>
  <c r="AW2505" i="1"/>
  <c r="AU2506" i="1"/>
  <c r="AV2506" i="1"/>
  <c r="AW2506" i="1"/>
  <c r="AU2507" i="1"/>
  <c r="AV2507" i="1"/>
  <c r="AW2507" i="1"/>
  <c r="AU2508" i="1"/>
  <c r="AV2508" i="1"/>
  <c r="AW2508" i="1"/>
  <c r="AU2509" i="1"/>
  <c r="AV2509" i="1"/>
  <c r="AW2509" i="1"/>
  <c r="AU2510" i="1"/>
  <c r="AV2510" i="1"/>
  <c r="AW2510" i="1"/>
  <c r="AU2511" i="1"/>
  <c r="AV2511" i="1"/>
  <c r="AW2511" i="1"/>
  <c r="AU2512" i="1"/>
  <c r="AV2512" i="1"/>
  <c r="AW2512" i="1"/>
  <c r="AU2513" i="1"/>
  <c r="AV2513" i="1"/>
  <c r="AW2513" i="1"/>
  <c r="AU2514" i="1"/>
  <c r="AV2514" i="1"/>
  <c r="AW2514" i="1"/>
  <c r="AU2515" i="1"/>
  <c r="AV2515" i="1"/>
  <c r="AW2515" i="1"/>
  <c r="AU2516" i="1"/>
  <c r="AV2516" i="1"/>
  <c r="AW2516" i="1"/>
  <c r="AU2517" i="1"/>
  <c r="AV2517" i="1"/>
  <c r="AW2517" i="1"/>
  <c r="AU2518" i="1"/>
  <c r="AV2518" i="1"/>
  <c r="AW2518" i="1"/>
  <c r="AU2519" i="1"/>
  <c r="AV2519" i="1"/>
  <c r="AW2519" i="1"/>
  <c r="AU2520" i="1"/>
  <c r="AV2520" i="1"/>
  <c r="AW2520" i="1"/>
  <c r="AU2521" i="1"/>
  <c r="AV2521" i="1"/>
  <c r="AW2521" i="1"/>
  <c r="AU2522" i="1"/>
  <c r="AV2522" i="1"/>
  <c r="AW2522" i="1"/>
  <c r="AU2523" i="1"/>
  <c r="AV2523" i="1"/>
  <c r="AW2523" i="1"/>
  <c r="AU2524" i="1"/>
  <c r="AV2524" i="1"/>
  <c r="AW2524" i="1"/>
  <c r="AU2525" i="1"/>
  <c r="AV2525" i="1"/>
  <c r="AW2525" i="1"/>
  <c r="AU2526" i="1"/>
  <c r="AV2526" i="1"/>
  <c r="AW2526" i="1"/>
  <c r="AU2527" i="1"/>
  <c r="AV2527" i="1"/>
  <c r="AW2527" i="1"/>
  <c r="AU2528" i="1"/>
  <c r="AV2528" i="1"/>
  <c r="AW2528" i="1"/>
  <c r="AU2529" i="1"/>
  <c r="AV2529" i="1"/>
  <c r="AW2529" i="1"/>
  <c r="AU2530" i="1"/>
  <c r="AV2530" i="1"/>
  <c r="AW2530" i="1"/>
  <c r="AU2531" i="1"/>
  <c r="AV2531" i="1"/>
  <c r="AW2531" i="1"/>
  <c r="AU2532" i="1"/>
  <c r="AV2532" i="1"/>
  <c r="AW2532" i="1"/>
  <c r="AU2533" i="1"/>
  <c r="AV2533" i="1"/>
  <c r="AW2533" i="1"/>
  <c r="AU2534" i="1"/>
  <c r="AV2534" i="1"/>
  <c r="AW2534" i="1"/>
  <c r="AU2535" i="1"/>
  <c r="AV2535" i="1"/>
  <c r="AW2535" i="1"/>
  <c r="AU2536" i="1"/>
  <c r="AV2536" i="1"/>
  <c r="AW2536" i="1"/>
  <c r="AU2537" i="1"/>
  <c r="AV2537" i="1"/>
  <c r="AW2537" i="1"/>
  <c r="AU2538" i="1"/>
  <c r="AV2538" i="1"/>
  <c r="AW2538" i="1"/>
  <c r="AU2539" i="1"/>
  <c r="AV2539" i="1"/>
  <c r="AW2539" i="1"/>
  <c r="AU2540" i="1"/>
  <c r="AV2540" i="1"/>
  <c r="AW2540" i="1"/>
  <c r="AU2541" i="1"/>
  <c r="AV2541" i="1"/>
  <c r="AW2541" i="1"/>
  <c r="AU2542" i="1"/>
  <c r="AV2542" i="1"/>
  <c r="AW2542" i="1"/>
  <c r="AU2543" i="1"/>
  <c r="AV2543" i="1"/>
  <c r="AW2543" i="1"/>
  <c r="AU2544" i="1"/>
  <c r="AV2544" i="1"/>
  <c r="AW2544" i="1"/>
  <c r="AU2545" i="1"/>
  <c r="AV2545" i="1"/>
  <c r="AW2545" i="1"/>
  <c r="AU2546" i="1"/>
  <c r="AV2546" i="1"/>
  <c r="AW2546" i="1"/>
  <c r="AU2547" i="1"/>
  <c r="AV2547" i="1"/>
  <c r="AW2547" i="1"/>
  <c r="AU2548" i="1"/>
  <c r="AV2548" i="1"/>
  <c r="AW2548" i="1"/>
  <c r="AU2549" i="1"/>
  <c r="AV2549" i="1"/>
  <c r="AW2549" i="1"/>
  <c r="AU2550" i="1"/>
  <c r="AV2550" i="1"/>
  <c r="AW2550" i="1"/>
  <c r="AU2551" i="1"/>
  <c r="AV2551" i="1"/>
  <c r="AW2551" i="1"/>
  <c r="AU2552" i="1"/>
  <c r="AV2552" i="1"/>
  <c r="AW2552" i="1"/>
  <c r="AU2553" i="1"/>
  <c r="AV2553" i="1"/>
  <c r="AW2553" i="1"/>
  <c r="AU2554" i="1"/>
  <c r="AV2554" i="1"/>
  <c r="AW2554" i="1"/>
  <c r="AU2555" i="1"/>
  <c r="AV2555" i="1"/>
  <c r="AW2555" i="1"/>
  <c r="AU2556" i="1"/>
  <c r="AV2556" i="1"/>
  <c r="AW2556" i="1"/>
  <c r="AU2557" i="1"/>
  <c r="AV2557" i="1"/>
  <c r="AW2557" i="1"/>
  <c r="AU2558" i="1"/>
  <c r="AV2558" i="1"/>
  <c r="AW2558" i="1"/>
  <c r="AU2559" i="1"/>
  <c r="AV2559" i="1"/>
  <c r="AW2559" i="1"/>
  <c r="AU2560" i="1"/>
  <c r="AV2560" i="1"/>
  <c r="AW2560" i="1"/>
  <c r="AU2561" i="1"/>
  <c r="AV2561" i="1"/>
  <c r="AW2561" i="1"/>
  <c r="AU2562" i="1"/>
  <c r="AV2562" i="1"/>
  <c r="AW2562" i="1"/>
  <c r="AU2563" i="1"/>
  <c r="AV2563" i="1"/>
  <c r="AW2563" i="1"/>
  <c r="AU2564" i="1"/>
  <c r="AV2564" i="1"/>
  <c r="AW2564" i="1"/>
  <c r="AU2565" i="1"/>
  <c r="AV2565" i="1"/>
  <c r="AW2565" i="1"/>
  <c r="AU2566" i="1"/>
  <c r="AV2566" i="1"/>
  <c r="AW2566" i="1"/>
  <c r="AU2567" i="1"/>
  <c r="AV2567" i="1"/>
  <c r="AW2567" i="1"/>
  <c r="AU2568" i="1"/>
  <c r="AV2568" i="1"/>
  <c r="AW2568" i="1"/>
  <c r="AU2569" i="1"/>
  <c r="AV2569" i="1"/>
  <c r="AW2569" i="1"/>
  <c r="AU2570" i="1"/>
  <c r="AV2570" i="1"/>
  <c r="AW2570" i="1"/>
  <c r="AU2571" i="1"/>
  <c r="AV2571" i="1"/>
  <c r="AW2571" i="1"/>
  <c r="AU2572" i="1"/>
  <c r="AV2572" i="1"/>
  <c r="AW2572" i="1"/>
  <c r="AU2573" i="1"/>
  <c r="AV2573" i="1"/>
  <c r="AW2573" i="1"/>
  <c r="AU2574" i="1"/>
  <c r="AV2574" i="1"/>
  <c r="AW2574" i="1"/>
  <c r="AU2575" i="1"/>
  <c r="AV2575" i="1"/>
  <c r="AW2575" i="1"/>
  <c r="AU2576" i="1"/>
  <c r="AV2576" i="1"/>
  <c r="AW2576" i="1"/>
  <c r="AU2577" i="1"/>
  <c r="AV2577" i="1"/>
  <c r="AW2577" i="1"/>
  <c r="AU2578" i="1"/>
  <c r="AV2578" i="1"/>
  <c r="AW2578" i="1"/>
  <c r="AU2579" i="1"/>
  <c r="AV2579" i="1"/>
  <c r="AW2579" i="1"/>
  <c r="AU2580" i="1"/>
  <c r="AV2580" i="1"/>
  <c r="AW2580" i="1"/>
  <c r="AU2581" i="1"/>
  <c r="AV2581" i="1"/>
  <c r="AW2581" i="1"/>
  <c r="AU2582" i="1"/>
  <c r="AV2582" i="1"/>
  <c r="AW2582" i="1"/>
  <c r="AU2583" i="1"/>
  <c r="AV2583" i="1"/>
  <c r="AW2583" i="1"/>
  <c r="AU2584" i="1"/>
  <c r="AV2584" i="1"/>
  <c r="AW2584" i="1"/>
  <c r="AU2585" i="1"/>
  <c r="AV2585" i="1"/>
  <c r="AW2585" i="1"/>
  <c r="AU2586" i="1"/>
  <c r="AV2586" i="1"/>
  <c r="AW2586" i="1"/>
  <c r="AU2587" i="1"/>
  <c r="AV2587" i="1"/>
  <c r="AW2587" i="1"/>
  <c r="AU2588" i="1"/>
  <c r="AV2588" i="1"/>
  <c r="AW2588" i="1"/>
  <c r="AU2589" i="1"/>
  <c r="AV2589" i="1"/>
  <c r="AW2589" i="1"/>
  <c r="AU2590" i="1"/>
  <c r="AV2590" i="1"/>
  <c r="AW2590" i="1"/>
  <c r="AU2591" i="1"/>
  <c r="AV2591" i="1"/>
  <c r="AW2591" i="1"/>
  <c r="AU2592" i="1"/>
  <c r="AV2592" i="1"/>
  <c r="AW2592" i="1"/>
  <c r="AU2593" i="1"/>
  <c r="AV2593" i="1"/>
  <c r="AW2593" i="1"/>
  <c r="AU2594" i="1"/>
  <c r="AV2594" i="1"/>
  <c r="AW2594" i="1"/>
  <c r="AU2595" i="1"/>
  <c r="AV2595" i="1"/>
  <c r="AW2595" i="1"/>
  <c r="AU2596" i="1"/>
  <c r="AV2596" i="1"/>
  <c r="AW2596" i="1"/>
  <c r="AU2597" i="1"/>
  <c r="AV2597" i="1"/>
  <c r="AW2597" i="1"/>
  <c r="AU2598" i="1"/>
  <c r="AV2598" i="1"/>
  <c r="AW2598" i="1"/>
  <c r="AU2599" i="1"/>
  <c r="AV2599" i="1"/>
  <c r="AW2599" i="1"/>
  <c r="AU2600" i="1"/>
  <c r="AV2600" i="1"/>
  <c r="AW2600" i="1"/>
  <c r="AU2601" i="1"/>
  <c r="AV2601" i="1"/>
  <c r="AW2601" i="1"/>
  <c r="AU2602" i="1"/>
  <c r="AV2602" i="1"/>
  <c r="AW2602" i="1"/>
  <c r="AU2603" i="1"/>
  <c r="AV2603" i="1"/>
  <c r="AW2603" i="1"/>
  <c r="AU2604" i="1"/>
  <c r="AV2604" i="1"/>
  <c r="AW2604" i="1"/>
  <c r="AU2605" i="1"/>
  <c r="AV2605" i="1"/>
  <c r="AW2605" i="1"/>
  <c r="AU2606" i="1"/>
  <c r="AV2606" i="1"/>
  <c r="AW2606" i="1"/>
  <c r="AU2607" i="1"/>
  <c r="AV2607" i="1"/>
  <c r="AW2607" i="1"/>
  <c r="AU2608" i="1"/>
  <c r="AV2608" i="1"/>
  <c r="AW2608" i="1"/>
  <c r="AU2609" i="1"/>
  <c r="AV2609" i="1"/>
  <c r="AW2609" i="1"/>
  <c r="AU2610" i="1"/>
  <c r="AV2610" i="1"/>
  <c r="AW2610" i="1"/>
  <c r="AU2611" i="1"/>
  <c r="AV2611" i="1"/>
  <c r="AW2611" i="1"/>
  <c r="AU2612" i="1"/>
  <c r="AV2612" i="1"/>
  <c r="AW2612" i="1"/>
  <c r="AU2613" i="1"/>
  <c r="AV2613" i="1"/>
  <c r="AW2613" i="1"/>
  <c r="AU2614" i="1"/>
  <c r="AV2614" i="1"/>
  <c r="AW2614" i="1"/>
  <c r="AU2615" i="1"/>
  <c r="AV2615" i="1"/>
  <c r="AW2615" i="1"/>
  <c r="AU2616" i="1"/>
  <c r="AV2616" i="1"/>
  <c r="AW2616" i="1"/>
  <c r="AU2617" i="1"/>
  <c r="AV2617" i="1"/>
  <c r="AW2617" i="1"/>
  <c r="AU2618" i="1"/>
  <c r="AV2618" i="1"/>
  <c r="AW2618" i="1"/>
  <c r="AU2619" i="1"/>
  <c r="AV2619" i="1"/>
  <c r="AW2619" i="1"/>
  <c r="AU2620" i="1"/>
  <c r="AV2620" i="1"/>
  <c r="AW2620" i="1"/>
  <c r="AU2621" i="1"/>
  <c r="AV2621" i="1"/>
  <c r="AW2621" i="1"/>
  <c r="AU2622" i="1"/>
  <c r="AV2622" i="1"/>
  <c r="AW2622" i="1"/>
  <c r="AU2623" i="1"/>
  <c r="AV2623" i="1"/>
  <c r="AW2623" i="1"/>
  <c r="AU2624" i="1"/>
  <c r="AV2624" i="1"/>
  <c r="AW2624" i="1"/>
  <c r="AU2625" i="1"/>
  <c r="AV2625" i="1"/>
  <c r="AW2625" i="1"/>
  <c r="AU2626" i="1"/>
  <c r="AV2626" i="1"/>
  <c r="AW2626" i="1"/>
  <c r="AU2627" i="1"/>
  <c r="AV2627" i="1"/>
  <c r="AW2627" i="1"/>
  <c r="AU2628" i="1"/>
  <c r="AV2628" i="1"/>
  <c r="AW2628" i="1"/>
  <c r="AU2629" i="1"/>
  <c r="AV2629" i="1"/>
  <c r="AW2629" i="1"/>
  <c r="AU2630" i="1"/>
  <c r="AV2630" i="1"/>
  <c r="AW2630" i="1"/>
  <c r="AU2631" i="1"/>
  <c r="AV2631" i="1"/>
  <c r="AW2631" i="1"/>
  <c r="AU2632" i="1"/>
  <c r="AV2632" i="1"/>
  <c r="AW2632" i="1"/>
  <c r="AU2633" i="1"/>
  <c r="AV2633" i="1"/>
  <c r="AW2633" i="1"/>
  <c r="AU2634" i="1"/>
  <c r="AV2634" i="1"/>
  <c r="AW2634" i="1"/>
  <c r="AU2635" i="1"/>
  <c r="AV2635" i="1"/>
  <c r="AW2635" i="1"/>
  <c r="AU2636" i="1"/>
  <c r="AV2636" i="1"/>
  <c r="AW2636" i="1"/>
  <c r="AU2637" i="1"/>
  <c r="AV2637" i="1"/>
  <c r="AW2637" i="1"/>
  <c r="AU2638" i="1"/>
  <c r="AV2638" i="1"/>
  <c r="AW2638" i="1"/>
  <c r="AU2639" i="1"/>
  <c r="AV2639" i="1"/>
  <c r="AW2639" i="1"/>
  <c r="AU2640" i="1"/>
  <c r="AV2640" i="1"/>
  <c r="AW2640" i="1"/>
  <c r="AU2641" i="1"/>
  <c r="AV2641" i="1"/>
  <c r="AW2641" i="1"/>
  <c r="AU2642" i="1"/>
  <c r="AV2642" i="1"/>
  <c r="AW2642" i="1"/>
  <c r="AU2643" i="1"/>
  <c r="AV2643" i="1"/>
  <c r="AW2643" i="1"/>
  <c r="AU2644" i="1"/>
  <c r="AV2644" i="1"/>
  <c r="AW2644" i="1"/>
  <c r="AU2645" i="1"/>
  <c r="AV2645" i="1"/>
  <c r="AW2645" i="1"/>
  <c r="AU2646" i="1"/>
  <c r="AV2646" i="1"/>
  <c r="AW2646" i="1"/>
  <c r="AU2647" i="1"/>
  <c r="AV2647" i="1"/>
  <c r="AW2647" i="1"/>
  <c r="AU2648" i="1"/>
  <c r="AV2648" i="1"/>
  <c r="AW2648" i="1"/>
  <c r="AU2649" i="1"/>
  <c r="AV2649" i="1"/>
  <c r="AW2649" i="1"/>
  <c r="AU2650" i="1"/>
  <c r="AV2650" i="1"/>
  <c r="AW2650" i="1"/>
  <c r="AU2651" i="1"/>
  <c r="AV2651" i="1"/>
  <c r="AW2651" i="1"/>
  <c r="AU2652" i="1"/>
  <c r="AV2652" i="1"/>
  <c r="AW2652" i="1"/>
  <c r="AU2653" i="1"/>
  <c r="AV2653" i="1"/>
  <c r="AW2653" i="1"/>
  <c r="AU2654" i="1"/>
  <c r="AV2654" i="1"/>
  <c r="AW2654" i="1"/>
  <c r="AU2655" i="1"/>
  <c r="AV2655" i="1"/>
  <c r="AW2655" i="1"/>
  <c r="AU2656" i="1"/>
  <c r="AV2656" i="1"/>
  <c r="AW2656" i="1"/>
  <c r="AU2657" i="1"/>
  <c r="AV2657" i="1"/>
  <c r="AW2657" i="1"/>
  <c r="AU2658" i="1"/>
  <c r="AV2658" i="1"/>
  <c r="AW2658" i="1"/>
  <c r="AU2659" i="1"/>
  <c r="AV2659" i="1"/>
  <c r="AW2659" i="1"/>
  <c r="AU2660" i="1"/>
  <c r="AV2660" i="1"/>
  <c r="AW2660" i="1"/>
  <c r="AU2661" i="1"/>
  <c r="AV2661" i="1"/>
  <c r="AW2661" i="1"/>
  <c r="AU2662" i="1"/>
  <c r="AV2662" i="1"/>
  <c r="AW2662" i="1"/>
  <c r="AU2663" i="1"/>
  <c r="AV2663" i="1"/>
  <c r="AW2663" i="1"/>
  <c r="AU2664" i="1"/>
  <c r="AV2664" i="1"/>
  <c r="AW2664" i="1"/>
  <c r="AU2665" i="1"/>
  <c r="AV2665" i="1"/>
  <c r="AW2665" i="1"/>
  <c r="AU2666" i="1"/>
  <c r="AV2666" i="1"/>
  <c r="AW2666" i="1"/>
  <c r="AU2667" i="1"/>
  <c r="AV2667" i="1"/>
  <c r="AW2667" i="1"/>
  <c r="AU2668" i="1"/>
  <c r="AV2668" i="1"/>
  <c r="AW2668" i="1"/>
  <c r="AU2669" i="1"/>
  <c r="AV2669" i="1"/>
  <c r="AW2669" i="1"/>
  <c r="AU2670" i="1"/>
  <c r="AV2670" i="1"/>
  <c r="AW2670" i="1"/>
  <c r="AU2671" i="1"/>
  <c r="AV2671" i="1"/>
  <c r="AW2671" i="1"/>
  <c r="AU2672" i="1"/>
  <c r="AV2672" i="1"/>
  <c r="AW2672" i="1"/>
  <c r="AU2673" i="1"/>
  <c r="AV2673" i="1"/>
  <c r="AW2673" i="1"/>
  <c r="AU2674" i="1"/>
  <c r="AV2674" i="1"/>
  <c r="AW2674" i="1"/>
  <c r="AU2675" i="1"/>
  <c r="AV2675" i="1"/>
  <c r="AW2675" i="1"/>
  <c r="AU2676" i="1"/>
  <c r="AV2676" i="1"/>
  <c r="AW2676" i="1"/>
  <c r="AU2677" i="1"/>
  <c r="AV2677" i="1"/>
  <c r="AW2677" i="1"/>
  <c r="AU2678" i="1"/>
  <c r="AV2678" i="1"/>
  <c r="AW2678" i="1"/>
  <c r="AU2679" i="1"/>
  <c r="AV2679" i="1"/>
  <c r="AW2679" i="1"/>
  <c r="AU2680" i="1"/>
  <c r="AV2680" i="1"/>
  <c r="AW2680" i="1"/>
  <c r="AU2681" i="1"/>
  <c r="AV2681" i="1"/>
  <c r="AW2681" i="1"/>
  <c r="AU2682" i="1"/>
  <c r="AV2682" i="1"/>
  <c r="AW2682" i="1"/>
  <c r="AU2683" i="1"/>
  <c r="AV2683" i="1"/>
  <c r="AW2683" i="1"/>
  <c r="AU2684" i="1"/>
  <c r="AV2684" i="1"/>
  <c r="AW2684" i="1"/>
  <c r="AU2685" i="1"/>
  <c r="AV2685" i="1"/>
  <c r="AW2685" i="1"/>
  <c r="AU2686" i="1"/>
  <c r="AV2686" i="1"/>
  <c r="AW2686" i="1"/>
  <c r="AU2687" i="1"/>
  <c r="AV2687" i="1"/>
  <c r="AW2687" i="1"/>
  <c r="AU2688" i="1"/>
  <c r="AV2688" i="1"/>
  <c r="AW2688" i="1"/>
  <c r="AU2689" i="1"/>
  <c r="AV2689" i="1"/>
  <c r="AW2689" i="1"/>
  <c r="AU2690" i="1"/>
  <c r="AV2690" i="1"/>
  <c r="AW2690" i="1"/>
  <c r="AU2691" i="1"/>
  <c r="AV2691" i="1"/>
  <c r="AW2691" i="1"/>
  <c r="AU2692" i="1"/>
  <c r="AV2692" i="1"/>
  <c r="AW2692" i="1"/>
  <c r="AU2693" i="1"/>
  <c r="AV2693" i="1"/>
  <c r="AW2693" i="1"/>
  <c r="AU2694" i="1"/>
  <c r="AV2694" i="1"/>
  <c r="AW2694" i="1"/>
  <c r="AU2695" i="1"/>
  <c r="AV2695" i="1"/>
  <c r="AW2695" i="1"/>
  <c r="AU2696" i="1"/>
  <c r="AV2696" i="1"/>
  <c r="AW2696" i="1"/>
  <c r="AU2697" i="1"/>
  <c r="AV2697" i="1"/>
  <c r="AW2697" i="1"/>
  <c r="AU2698" i="1"/>
  <c r="AV2698" i="1"/>
  <c r="AW2698" i="1"/>
  <c r="AU2699" i="1"/>
  <c r="AV2699" i="1"/>
  <c r="AW2699" i="1"/>
  <c r="AU2700" i="1"/>
  <c r="AV2700" i="1"/>
  <c r="AW2700" i="1"/>
  <c r="AU2701" i="1"/>
  <c r="AV2701" i="1"/>
  <c r="AW2701" i="1"/>
  <c r="AU2702" i="1"/>
  <c r="AV2702" i="1"/>
  <c r="AW2702" i="1"/>
  <c r="AU2703" i="1"/>
  <c r="AV2703" i="1"/>
  <c r="AW2703" i="1"/>
  <c r="AU2704" i="1"/>
  <c r="AV2704" i="1"/>
  <c r="AW2704" i="1"/>
  <c r="AU2705" i="1"/>
  <c r="AV2705" i="1"/>
  <c r="AW2705" i="1"/>
  <c r="AU2706" i="1"/>
  <c r="AV2706" i="1"/>
  <c r="AW2706" i="1"/>
  <c r="AU2707" i="1"/>
  <c r="AV2707" i="1"/>
  <c r="AW2707" i="1"/>
  <c r="AU2708" i="1"/>
  <c r="AV2708" i="1"/>
  <c r="AW2708" i="1"/>
  <c r="AU2709" i="1"/>
  <c r="AV2709" i="1"/>
  <c r="AW2709" i="1"/>
  <c r="AU2710" i="1"/>
  <c r="AV2710" i="1"/>
  <c r="AW2710" i="1"/>
  <c r="AU2711" i="1"/>
  <c r="AV2711" i="1"/>
  <c r="AW2711" i="1"/>
  <c r="AU2712" i="1"/>
  <c r="AV2712" i="1"/>
  <c r="AW2712" i="1"/>
  <c r="AU2713" i="1"/>
  <c r="AV2713" i="1"/>
  <c r="AW2713" i="1"/>
  <c r="AU2714" i="1"/>
  <c r="AV2714" i="1"/>
  <c r="AW2714" i="1"/>
  <c r="AU2715" i="1"/>
  <c r="AV2715" i="1"/>
  <c r="AW2715" i="1"/>
  <c r="AU2716" i="1"/>
  <c r="AV2716" i="1"/>
  <c r="AW2716" i="1"/>
  <c r="AU2717" i="1"/>
  <c r="AV2717" i="1"/>
  <c r="AW2717" i="1"/>
  <c r="AU2718" i="1"/>
  <c r="AV2718" i="1"/>
  <c r="AW2718" i="1"/>
  <c r="AU2719" i="1"/>
  <c r="AV2719" i="1"/>
  <c r="AW2719" i="1"/>
  <c r="AU2720" i="1"/>
  <c r="AV2720" i="1"/>
  <c r="AW2720" i="1"/>
  <c r="AU2721" i="1"/>
  <c r="AV2721" i="1"/>
  <c r="AW2721" i="1"/>
  <c r="AU2722" i="1"/>
  <c r="AV2722" i="1"/>
  <c r="AW2722" i="1"/>
  <c r="AU2723" i="1"/>
  <c r="AV2723" i="1"/>
  <c r="AW2723" i="1"/>
  <c r="AU2724" i="1"/>
  <c r="AV2724" i="1"/>
  <c r="AW2724" i="1"/>
  <c r="AU2725" i="1"/>
  <c r="AV2725" i="1"/>
  <c r="AW2725" i="1"/>
  <c r="AU2726" i="1"/>
  <c r="AV2726" i="1"/>
  <c r="AW2726" i="1"/>
  <c r="AU2727" i="1"/>
  <c r="AV2727" i="1"/>
  <c r="AW2727" i="1"/>
  <c r="AU2728" i="1"/>
  <c r="AV2728" i="1"/>
  <c r="AW2728" i="1"/>
  <c r="AU2729" i="1"/>
  <c r="AV2729" i="1"/>
  <c r="AW2729" i="1"/>
  <c r="AU2730" i="1"/>
  <c r="AV2730" i="1"/>
  <c r="AW2730" i="1"/>
  <c r="AU2731" i="1"/>
  <c r="AV2731" i="1"/>
  <c r="AW2731" i="1"/>
  <c r="AU2732" i="1"/>
  <c r="AV2732" i="1"/>
  <c r="AW2732" i="1"/>
  <c r="AU2733" i="1"/>
  <c r="AV2733" i="1"/>
  <c r="AW2733" i="1"/>
  <c r="AU2734" i="1"/>
  <c r="AV2734" i="1"/>
  <c r="AW2734" i="1"/>
  <c r="AU2735" i="1"/>
  <c r="AV2735" i="1"/>
  <c r="AW2735" i="1"/>
  <c r="AU2736" i="1"/>
  <c r="AV2736" i="1"/>
  <c r="AW2736" i="1"/>
  <c r="AU2737" i="1"/>
  <c r="AV2737" i="1"/>
  <c r="AW2737" i="1"/>
  <c r="AU2738" i="1"/>
  <c r="AV2738" i="1"/>
  <c r="AW2738" i="1"/>
  <c r="AU2739" i="1"/>
  <c r="AV2739" i="1"/>
  <c r="AW2739" i="1"/>
  <c r="AU2740" i="1"/>
  <c r="AV2740" i="1"/>
  <c r="AW2740" i="1"/>
  <c r="AU2741" i="1"/>
  <c r="AV2741" i="1"/>
  <c r="AW2741" i="1"/>
  <c r="AU2742" i="1"/>
  <c r="AV2742" i="1"/>
  <c r="AW2742" i="1"/>
  <c r="AU2743" i="1"/>
  <c r="AV2743" i="1"/>
  <c r="AW2743" i="1"/>
  <c r="AU2744" i="1"/>
  <c r="AV2744" i="1"/>
  <c r="AW2744" i="1"/>
  <c r="AU2745" i="1"/>
  <c r="AV2745" i="1"/>
  <c r="AW2745" i="1"/>
  <c r="AU2746" i="1"/>
  <c r="AV2746" i="1"/>
  <c r="AW2746" i="1"/>
  <c r="AU2747" i="1"/>
  <c r="AV2747" i="1"/>
  <c r="AW2747" i="1"/>
  <c r="AU2748" i="1"/>
  <c r="AV2748" i="1"/>
  <c r="AW2748" i="1"/>
  <c r="AU2749" i="1"/>
  <c r="AV2749" i="1"/>
  <c r="AW2749" i="1"/>
  <c r="AU2750" i="1"/>
  <c r="AV2750" i="1"/>
  <c r="AW2750" i="1"/>
  <c r="AU2751" i="1"/>
  <c r="AV2751" i="1"/>
  <c r="AW2751" i="1"/>
  <c r="AU2752" i="1"/>
  <c r="AV2752" i="1"/>
  <c r="AW2752" i="1"/>
  <c r="AU2753" i="1"/>
  <c r="AV2753" i="1"/>
  <c r="AW2753" i="1"/>
  <c r="AU2754" i="1"/>
  <c r="AV2754" i="1"/>
  <c r="AW2754" i="1"/>
  <c r="AU2755" i="1"/>
  <c r="AV2755" i="1"/>
  <c r="AW2755" i="1"/>
  <c r="AU2756" i="1"/>
  <c r="AV2756" i="1"/>
  <c r="AW2756" i="1"/>
  <c r="AU2757" i="1"/>
  <c r="AV2757" i="1"/>
  <c r="AW2757" i="1"/>
  <c r="AU2758" i="1"/>
  <c r="AV2758" i="1"/>
  <c r="AW2758" i="1"/>
  <c r="AU2759" i="1"/>
  <c r="AV2759" i="1"/>
  <c r="AW2759" i="1"/>
  <c r="AU2760" i="1"/>
  <c r="AV2760" i="1"/>
  <c r="AW2760" i="1"/>
  <c r="AU2761" i="1"/>
  <c r="AV2761" i="1"/>
  <c r="AW2761" i="1"/>
  <c r="AU2762" i="1"/>
  <c r="AV2762" i="1"/>
  <c r="AW2762" i="1"/>
  <c r="AU2763" i="1"/>
  <c r="AV2763" i="1"/>
  <c r="AW2763" i="1"/>
  <c r="AU2764" i="1"/>
  <c r="AV2764" i="1"/>
  <c r="AW2764" i="1"/>
  <c r="AU2765" i="1"/>
  <c r="AV2765" i="1"/>
  <c r="AW2765" i="1"/>
  <c r="AU2766" i="1"/>
  <c r="AV2766" i="1"/>
  <c r="AW2766" i="1"/>
  <c r="AU2767" i="1"/>
  <c r="AV2767" i="1"/>
  <c r="AW2767" i="1"/>
  <c r="AU2768" i="1"/>
  <c r="AV2768" i="1"/>
  <c r="AW2768" i="1"/>
  <c r="AU2769" i="1"/>
  <c r="AV2769" i="1"/>
  <c r="AW2769" i="1"/>
  <c r="AU2770" i="1"/>
  <c r="AV2770" i="1"/>
  <c r="AW2770" i="1"/>
  <c r="AU2771" i="1"/>
  <c r="AV2771" i="1"/>
  <c r="AW2771" i="1"/>
  <c r="AU2772" i="1"/>
  <c r="AV2772" i="1"/>
  <c r="AW2772" i="1"/>
  <c r="AU2773" i="1"/>
  <c r="AV2773" i="1"/>
  <c r="AW2773" i="1"/>
  <c r="AU2774" i="1"/>
  <c r="AV2774" i="1"/>
  <c r="AW2774" i="1"/>
  <c r="AU2775" i="1"/>
  <c r="AV2775" i="1"/>
  <c r="AW2775" i="1"/>
  <c r="AU2776" i="1"/>
  <c r="AV2776" i="1"/>
  <c r="AW2776" i="1"/>
  <c r="AU2777" i="1"/>
  <c r="AV2777" i="1"/>
  <c r="AW2777" i="1"/>
  <c r="AU2778" i="1"/>
  <c r="AV2778" i="1"/>
  <c r="AW2778" i="1"/>
  <c r="AU2779" i="1"/>
  <c r="AV2779" i="1"/>
  <c r="AW2779" i="1"/>
  <c r="AU2780" i="1"/>
  <c r="AV2780" i="1"/>
  <c r="AW2780" i="1"/>
  <c r="AU2781" i="1"/>
  <c r="AV2781" i="1"/>
  <c r="AW2781" i="1"/>
  <c r="AU2782" i="1"/>
  <c r="AV2782" i="1"/>
  <c r="AW2782" i="1"/>
  <c r="AU2783" i="1"/>
  <c r="AV2783" i="1"/>
  <c r="AW2783" i="1"/>
  <c r="AU2784" i="1"/>
  <c r="AV2784" i="1"/>
  <c r="AW2784" i="1"/>
  <c r="AU2785" i="1"/>
  <c r="AV2785" i="1"/>
  <c r="AW2785" i="1"/>
  <c r="AU2786" i="1"/>
  <c r="AV2786" i="1"/>
  <c r="AW2786" i="1"/>
  <c r="AU2787" i="1"/>
  <c r="AV2787" i="1"/>
  <c r="AW2787" i="1"/>
  <c r="AU2788" i="1"/>
  <c r="AV2788" i="1"/>
  <c r="AW2788" i="1"/>
  <c r="AU2789" i="1"/>
  <c r="AV2789" i="1"/>
  <c r="AW2789" i="1"/>
  <c r="AU2790" i="1"/>
  <c r="AV2790" i="1"/>
  <c r="AW2790" i="1"/>
  <c r="AU2791" i="1"/>
  <c r="AV2791" i="1"/>
  <c r="AW2791" i="1"/>
  <c r="AU2792" i="1"/>
  <c r="AV2792" i="1"/>
  <c r="AW2792" i="1"/>
  <c r="AU2793" i="1"/>
  <c r="AV2793" i="1"/>
  <c r="AW2793" i="1"/>
  <c r="AU2794" i="1"/>
  <c r="AV2794" i="1"/>
  <c r="AW2794" i="1"/>
  <c r="AU2795" i="1"/>
  <c r="AV2795" i="1"/>
  <c r="AW2795" i="1"/>
  <c r="AU2796" i="1"/>
  <c r="AV2796" i="1"/>
  <c r="AW2796" i="1"/>
  <c r="AU2797" i="1"/>
  <c r="AV2797" i="1"/>
  <c r="AW2797" i="1"/>
  <c r="AU2798" i="1"/>
  <c r="AV2798" i="1"/>
  <c r="AW2798" i="1"/>
  <c r="AU2799" i="1"/>
  <c r="AV2799" i="1"/>
  <c r="AW2799" i="1"/>
  <c r="AU2800" i="1"/>
  <c r="AV2800" i="1"/>
  <c r="AW2800" i="1"/>
  <c r="AU2801" i="1"/>
  <c r="AV2801" i="1"/>
  <c r="AW2801" i="1"/>
  <c r="AU2802" i="1"/>
  <c r="AV2802" i="1"/>
  <c r="AW2802" i="1"/>
  <c r="AU2803" i="1"/>
  <c r="AV2803" i="1"/>
  <c r="AW2803" i="1"/>
  <c r="AU2804" i="1"/>
  <c r="AV2804" i="1"/>
  <c r="AW2804" i="1"/>
  <c r="AU2805" i="1"/>
  <c r="AV2805" i="1"/>
  <c r="AW2805" i="1"/>
  <c r="AU2806" i="1"/>
  <c r="AV2806" i="1"/>
  <c r="AW2806" i="1"/>
  <c r="AU2807" i="1"/>
  <c r="AV2807" i="1"/>
  <c r="AW2807" i="1"/>
  <c r="AU2808" i="1"/>
  <c r="AV2808" i="1"/>
  <c r="AW2808" i="1"/>
  <c r="AU2809" i="1"/>
  <c r="AV2809" i="1"/>
  <c r="AW2809" i="1"/>
  <c r="AU2810" i="1"/>
  <c r="AV2810" i="1"/>
  <c r="AW2810" i="1"/>
  <c r="AU2811" i="1"/>
  <c r="AV2811" i="1"/>
  <c r="AW2811" i="1"/>
  <c r="AU2812" i="1"/>
  <c r="AV2812" i="1"/>
  <c r="AW2812" i="1"/>
  <c r="AU2813" i="1"/>
  <c r="AV2813" i="1"/>
  <c r="AW2813" i="1"/>
  <c r="AU2814" i="1"/>
  <c r="AV2814" i="1"/>
  <c r="AW2814" i="1"/>
  <c r="AU2815" i="1"/>
  <c r="AV2815" i="1"/>
  <c r="AW2815" i="1"/>
  <c r="AU2816" i="1"/>
  <c r="AV2816" i="1"/>
  <c r="AW2816" i="1"/>
  <c r="AU2817" i="1"/>
  <c r="AV2817" i="1"/>
  <c r="AW2817" i="1"/>
  <c r="AU2818" i="1"/>
  <c r="AV2818" i="1"/>
  <c r="AW2818" i="1"/>
  <c r="AU2819" i="1"/>
  <c r="AV2819" i="1"/>
  <c r="AW2819" i="1"/>
  <c r="AU2820" i="1"/>
  <c r="AV2820" i="1"/>
  <c r="AW2820" i="1"/>
  <c r="AU2821" i="1"/>
  <c r="AV2821" i="1"/>
  <c r="AW2821" i="1"/>
  <c r="AU2822" i="1"/>
  <c r="AV2822" i="1"/>
  <c r="AW2822" i="1"/>
  <c r="AU2823" i="1"/>
  <c r="AV2823" i="1"/>
  <c r="AW2823" i="1"/>
  <c r="AU2824" i="1"/>
  <c r="AV2824" i="1"/>
  <c r="AW2824" i="1"/>
  <c r="AU2825" i="1"/>
  <c r="AV2825" i="1"/>
  <c r="AW2825" i="1"/>
  <c r="AU2826" i="1"/>
  <c r="AV2826" i="1"/>
  <c r="AW2826" i="1"/>
  <c r="AU2827" i="1"/>
  <c r="AV2827" i="1"/>
  <c r="AW2827" i="1"/>
  <c r="AU2828" i="1"/>
  <c r="AV2828" i="1"/>
  <c r="AW2828" i="1"/>
  <c r="AU2829" i="1"/>
  <c r="AV2829" i="1"/>
  <c r="AW2829" i="1"/>
  <c r="AU2830" i="1"/>
  <c r="AV2830" i="1"/>
  <c r="AW2830" i="1"/>
  <c r="AU2831" i="1"/>
  <c r="AV2831" i="1"/>
  <c r="AW2831" i="1"/>
  <c r="AU2832" i="1"/>
  <c r="AV2832" i="1"/>
  <c r="AW2832" i="1"/>
  <c r="AU2833" i="1"/>
  <c r="AV2833" i="1"/>
  <c r="AW2833" i="1"/>
  <c r="AU2834" i="1"/>
  <c r="AV2834" i="1"/>
  <c r="AW2834" i="1"/>
  <c r="AU2835" i="1"/>
  <c r="AV2835" i="1"/>
  <c r="AW2835" i="1"/>
  <c r="AU2836" i="1"/>
  <c r="AV2836" i="1"/>
  <c r="AW2836" i="1"/>
  <c r="AU2837" i="1"/>
  <c r="AV2837" i="1"/>
  <c r="AW2837" i="1"/>
  <c r="AU2838" i="1"/>
  <c r="AV2838" i="1"/>
  <c r="AW2838" i="1"/>
  <c r="AU2839" i="1"/>
  <c r="AV2839" i="1"/>
  <c r="AW2839" i="1"/>
  <c r="AU2840" i="1"/>
  <c r="AV2840" i="1"/>
  <c r="AW2840" i="1"/>
  <c r="AU2841" i="1"/>
  <c r="AV2841" i="1"/>
  <c r="AW2841" i="1"/>
  <c r="AU2842" i="1"/>
  <c r="AV2842" i="1"/>
  <c r="AW2842" i="1"/>
  <c r="AU2843" i="1"/>
  <c r="AV2843" i="1"/>
  <c r="AW2843" i="1"/>
  <c r="AU2844" i="1"/>
  <c r="AV2844" i="1"/>
  <c r="AW2844" i="1"/>
  <c r="AU2845" i="1"/>
  <c r="AV2845" i="1"/>
  <c r="AW2845" i="1"/>
  <c r="AU2846" i="1"/>
  <c r="AV2846" i="1"/>
  <c r="AW2846" i="1"/>
  <c r="AU2847" i="1"/>
  <c r="AV2847" i="1"/>
  <c r="AW2847" i="1"/>
  <c r="AU2848" i="1"/>
  <c r="AV2848" i="1"/>
  <c r="AW2848" i="1"/>
  <c r="AU2849" i="1"/>
  <c r="AV2849" i="1"/>
  <c r="AW2849" i="1"/>
  <c r="AU2850" i="1"/>
  <c r="AV2850" i="1"/>
  <c r="AW2850" i="1"/>
  <c r="AU2851" i="1"/>
  <c r="AV2851" i="1"/>
  <c r="AW2851" i="1"/>
  <c r="AU2852" i="1"/>
  <c r="AV2852" i="1"/>
  <c r="AW2852" i="1"/>
  <c r="AU2853" i="1"/>
  <c r="AV2853" i="1"/>
  <c r="AW2853" i="1"/>
  <c r="AU2854" i="1"/>
  <c r="AV2854" i="1"/>
  <c r="AW2854" i="1"/>
  <c r="AU2855" i="1"/>
  <c r="AV2855" i="1"/>
  <c r="AW2855" i="1"/>
  <c r="AU2856" i="1"/>
  <c r="AV2856" i="1"/>
  <c r="AW2856" i="1"/>
  <c r="AU2857" i="1"/>
  <c r="AV2857" i="1"/>
  <c r="AW2857" i="1"/>
  <c r="AU2858" i="1"/>
  <c r="AV2858" i="1"/>
  <c r="AW2858" i="1"/>
  <c r="AU2859" i="1"/>
  <c r="AV2859" i="1"/>
  <c r="AW2859" i="1"/>
  <c r="AU2860" i="1"/>
  <c r="AV2860" i="1"/>
  <c r="AW2860" i="1"/>
  <c r="AU2861" i="1"/>
  <c r="AV2861" i="1"/>
  <c r="AW2861" i="1"/>
  <c r="AU2862" i="1"/>
  <c r="AV2862" i="1"/>
  <c r="AW2862" i="1"/>
  <c r="AU2863" i="1"/>
  <c r="AV2863" i="1"/>
  <c r="AW2863" i="1"/>
  <c r="AU2864" i="1"/>
  <c r="AV2864" i="1"/>
  <c r="AW2864" i="1"/>
  <c r="AU2865" i="1"/>
  <c r="AV2865" i="1"/>
  <c r="AW2865" i="1"/>
  <c r="AU2866" i="1"/>
  <c r="AV2866" i="1"/>
  <c r="AW2866" i="1"/>
  <c r="AU2867" i="1"/>
  <c r="AV2867" i="1"/>
  <c r="AW2867" i="1"/>
  <c r="AU2868" i="1"/>
  <c r="AV2868" i="1"/>
  <c r="AW2868" i="1"/>
  <c r="AU2869" i="1"/>
  <c r="AV2869" i="1"/>
  <c r="AW2869" i="1"/>
  <c r="AU2870" i="1"/>
  <c r="AV2870" i="1"/>
  <c r="AW2870" i="1"/>
  <c r="AU2871" i="1"/>
  <c r="AV2871" i="1"/>
  <c r="AW2871" i="1"/>
  <c r="AU2872" i="1"/>
  <c r="AV2872" i="1"/>
  <c r="AW2872" i="1"/>
  <c r="AU2873" i="1"/>
  <c r="AV2873" i="1"/>
  <c r="AW2873" i="1"/>
  <c r="AU2874" i="1"/>
  <c r="AV2874" i="1"/>
  <c r="AW2874" i="1"/>
  <c r="AU2875" i="1"/>
  <c r="AV2875" i="1"/>
  <c r="AW2875" i="1"/>
  <c r="AU2876" i="1"/>
  <c r="AV2876" i="1"/>
  <c r="AW2876" i="1"/>
  <c r="AU2877" i="1"/>
  <c r="AV2877" i="1"/>
  <c r="AW2877" i="1"/>
  <c r="AU2878" i="1"/>
  <c r="AV2878" i="1"/>
  <c r="AW2878" i="1"/>
  <c r="AU2879" i="1"/>
  <c r="AV2879" i="1"/>
  <c r="AW2879" i="1"/>
  <c r="AU2880" i="1"/>
  <c r="AV2880" i="1"/>
  <c r="AW2880" i="1"/>
  <c r="AU2881" i="1"/>
  <c r="AV2881" i="1"/>
  <c r="AW2881" i="1"/>
  <c r="AU2882" i="1"/>
  <c r="AV2882" i="1"/>
  <c r="AW2882" i="1"/>
  <c r="AU2883" i="1"/>
  <c r="AV2883" i="1"/>
  <c r="AW2883" i="1"/>
  <c r="AU2884" i="1"/>
  <c r="AV2884" i="1"/>
  <c r="AW2884" i="1"/>
  <c r="AU2885" i="1"/>
  <c r="AV2885" i="1"/>
  <c r="AW2885" i="1"/>
  <c r="AU2886" i="1"/>
  <c r="AV2886" i="1"/>
  <c r="AW2886" i="1"/>
  <c r="AU2887" i="1"/>
  <c r="AV2887" i="1"/>
  <c r="AW2887" i="1"/>
  <c r="AU2888" i="1"/>
  <c r="AV2888" i="1"/>
  <c r="AW2888" i="1"/>
  <c r="AU2889" i="1"/>
  <c r="AV2889" i="1"/>
  <c r="AW2889" i="1"/>
  <c r="AU2890" i="1"/>
  <c r="AV2890" i="1"/>
  <c r="AW2890" i="1"/>
  <c r="AU2891" i="1"/>
  <c r="AV2891" i="1"/>
  <c r="AW2891" i="1"/>
  <c r="AU2892" i="1"/>
  <c r="AV2892" i="1"/>
  <c r="AW2892" i="1"/>
  <c r="AU2893" i="1"/>
  <c r="AV2893" i="1"/>
  <c r="AW2893" i="1"/>
  <c r="AU2894" i="1"/>
  <c r="AV2894" i="1"/>
  <c r="AW2894" i="1"/>
  <c r="AU2895" i="1"/>
  <c r="AV2895" i="1"/>
  <c r="AW2895" i="1"/>
  <c r="AU2896" i="1"/>
  <c r="AV2896" i="1"/>
  <c r="AW2896" i="1"/>
  <c r="AU2897" i="1"/>
  <c r="AV2897" i="1"/>
  <c r="AW2897" i="1"/>
  <c r="AU2898" i="1"/>
  <c r="AV2898" i="1"/>
  <c r="AW2898" i="1"/>
  <c r="AU2899" i="1"/>
  <c r="AV2899" i="1"/>
  <c r="AW2899" i="1"/>
  <c r="AU2900" i="1"/>
  <c r="AV2900" i="1"/>
  <c r="AW2900" i="1"/>
  <c r="AU2901" i="1"/>
  <c r="AV2901" i="1"/>
  <c r="AW2901" i="1"/>
  <c r="AU2902" i="1"/>
  <c r="AV2902" i="1"/>
  <c r="AW2902" i="1"/>
  <c r="AU2903" i="1"/>
  <c r="AV2903" i="1"/>
  <c r="AW2903" i="1"/>
  <c r="AU2904" i="1"/>
  <c r="AV2904" i="1"/>
  <c r="AW2904" i="1"/>
  <c r="AU2905" i="1"/>
  <c r="AV2905" i="1"/>
  <c r="AW2905" i="1"/>
  <c r="AU2906" i="1"/>
  <c r="AV2906" i="1"/>
  <c r="AW2906" i="1"/>
  <c r="AU2907" i="1"/>
  <c r="AV2907" i="1"/>
  <c r="AW2907" i="1"/>
  <c r="AU2908" i="1"/>
  <c r="AV2908" i="1"/>
  <c r="AW2908" i="1"/>
  <c r="AU2909" i="1"/>
  <c r="AV2909" i="1"/>
  <c r="AW2909" i="1"/>
  <c r="AU2910" i="1"/>
  <c r="AV2910" i="1"/>
  <c r="AW2910" i="1"/>
  <c r="AU2911" i="1"/>
  <c r="AV2911" i="1"/>
  <c r="AW2911" i="1"/>
  <c r="AU2912" i="1"/>
  <c r="AV2912" i="1"/>
  <c r="AW2912" i="1"/>
  <c r="AU2913" i="1"/>
  <c r="AV2913" i="1"/>
  <c r="AW2913" i="1"/>
  <c r="AU2914" i="1"/>
  <c r="AV2914" i="1"/>
  <c r="AW2914" i="1"/>
  <c r="AU2915" i="1"/>
  <c r="AV2915" i="1"/>
  <c r="AW2915" i="1"/>
  <c r="AU2916" i="1"/>
  <c r="AV2916" i="1"/>
  <c r="AW2916" i="1"/>
  <c r="AU2917" i="1"/>
  <c r="AV2917" i="1"/>
  <c r="AW2917" i="1"/>
  <c r="AU2918" i="1"/>
  <c r="AV2918" i="1"/>
  <c r="AW2918" i="1"/>
  <c r="AU2919" i="1"/>
  <c r="AV2919" i="1"/>
  <c r="AW2919" i="1"/>
  <c r="AU2920" i="1"/>
  <c r="AV2920" i="1"/>
  <c r="AW2920" i="1"/>
  <c r="AU2921" i="1"/>
  <c r="AV2921" i="1"/>
  <c r="AW2921" i="1"/>
  <c r="AU2922" i="1"/>
  <c r="AV2922" i="1"/>
  <c r="AW2922" i="1"/>
  <c r="AU2923" i="1"/>
  <c r="AV2923" i="1"/>
  <c r="AW2923" i="1"/>
  <c r="AU2924" i="1"/>
  <c r="AV2924" i="1"/>
  <c r="AW2924" i="1"/>
  <c r="AU2925" i="1"/>
  <c r="AV2925" i="1"/>
  <c r="AW2925" i="1"/>
  <c r="AU2926" i="1"/>
  <c r="AV2926" i="1"/>
  <c r="AW2926" i="1"/>
  <c r="AU2927" i="1"/>
  <c r="AV2927" i="1"/>
  <c r="AW2927" i="1"/>
  <c r="AU2928" i="1"/>
  <c r="AV2928" i="1"/>
  <c r="AW2928" i="1"/>
  <c r="AU2929" i="1"/>
  <c r="AV2929" i="1"/>
  <c r="AW2929" i="1"/>
  <c r="AU2930" i="1"/>
  <c r="AV2930" i="1"/>
  <c r="AW2930" i="1"/>
  <c r="AU2931" i="1"/>
  <c r="AV2931" i="1"/>
  <c r="AW2931" i="1"/>
  <c r="AU2932" i="1"/>
  <c r="AV2932" i="1"/>
  <c r="AW2932" i="1"/>
  <c r="AU2933" i="1"/>
  <c r="AV2933" i="1"/>
  <c r="AW2933" i="1"/>
  <c r="AU2934" i="1"/>
  <c r="AV2934" i="1"/>
  <c r="AW2934" i="1"/>
  <c r="AU2935" i="1"/>
  <c r="AV2935" i="1"/>
  <c r="AW2935" i="1"/>
  <c r="AU2936" i="1"/>
  <c r="AV2936" i="1"/>
  <c r="AW2936" i="1"/>
  <c r="AU2937" i="1"/>
  <c r="AV2937" i="1"/>
  <c r="AW2937" i="1"/>
  <c r="AU2938" i="1"/>
  <c r="AV2938" i="1"/>
  <c r="AW2938" i="1"/>
  <c r="AU2939" i="1"/>
  <c r="AV2939" i="1"/>
  <c r="AW2939" i="1"/>
  <c r="AU2940" i="1"/>
  <c r="AV2940" i="1"/>
  <c r="AW2940" i="1"/>
  <c r="AU2941" i="1"/>
  <c r="AV2941" i="1"/>
  <c r="AW2941" i="1"/>
  <c r="AU2942" i="1"/>
  <c r="AV2942" i="1"/>
  <c r="AW2942" i="1"/>
  <c r="AU2943" i="1"/>
  <c r="AV2943" i="1"/>
  <c r="AW2943" i="1"/>
  <c r="AU2944" i="1"/>
  <c r="AV2944" i="1"/>
  <c r="AW2944" i="1"/>
  <c r="AU2945" i="1"/>
  <c r="AV2945" i="1"/>
  <c r="AW2945" i="1"/>
  <c r="AU2946" i="1"/>
  <c r="AV2946" i="1"/>
  <c r="AW2946" i="1"/>
  <c r="AU2947" i="1"/>
  <c r="AV2947" i="1"/>
  <c r="AW2947" i="1"/>
  <c r="AU2948" i="1"/>
  <c r="AV2948" i="1"/>
  <c r="AW2948" i="1"/>
  <c r="AU2949" i="1"/>
  <c r="AV2949" i="1"/>
  <c r="AW2949" i="1"/>
  <c r="AU2950" i="1"/>
  <c r="AV2950" i="1"/>
  <c r="AW2950" i="1"/>
  <c r="AU2951" i="1"/>
  <c r="AV2951" i="1"/>
  <c r="AW2951" i="1"/>
  <c r="AU2952" i="1"/>
  <c r="AV2952" i="1"/>
  <c r="AW2952" i="1"/>
  <c r="AU2953" i="1"/>
  <c r="AV2953" i="1"/>
  <c r="AW2953" i="1"/>
  <c r="AU2954" i="1"/>
  <c r="AV2954" i="1"/>
  <c r="AW2954" i="1"/>
  <c r="AU2955" i="1"/>
  <c r="AV2955" i="1"/>
  <c r="AW2955" i="1"/>
  <c r="AU2956" i="1"/>
  <c r="AV2956" i="1"/>
  <c r="AW2956" i="1"/>
  <c r="AU2957" i="1"/>
  <c r="AV2957" i="1"/>
  <c r="AW2957" i="1"/>
  <c r="AU2958" i="1"/>
  <c r="AV2958" i="1"/>
  <c r="AW2958" i="1"/>
  <c r="AU2959" i="1"/>
  <c r="AV2959" i="1"/>
  <c r="AW2959" i="1"/>
  <c r="AU2960" i="1"/>
  <c r="AV2960" i="1"/>
  <c r="AW2960" i="1"/>
  <c r="AU2961" i="1"/>
  <c r="AV2961" i="1"/>
  <c r="AW2961" i="1"/>
  <c r="AU2962" i="1"/>
  <c r="AV2962" i="1"/>
  <c r="AW2962" i="1"/>
  <c r="AU2963" i="1"/>
  <c r="AV2963" i="1"/>
  <c r="AW2963" i="1"/>
  <c r="AU2964" i="1"/>
  <c r="AV2964" i="1"/>
  <c r="AW2964" i="1"/>
  <c r="AU2965" i="1"/>
  <c r="AV2965" i="1"/>
  <c r="AW2965" i="1"/>
  <c r="AU2966" i="1"/>
  <c r="AV2966" i="1"/>
  <c r="AW2966" i="1"/>
  <c r="AU2967" i="1"/>
  <c r="AV2967" i="1"/>
  <c r="AW2967" i="1"/>
  <c r="AU2968" i="1"/>
  <c r="AV2968" i="1"/>
  <c r="AW2968" i="1"/>
  <c r="AU2969" i="1"/>
  <c r="AV2969" i="1"/>
  <c r="AW2969" i="1"/>
  <c r="AU2970" i="1"/>
  <c r="AV2970" i="1"/>
  <c r="AW2970" i="1"/>
  <c r="AU2971" i="1"/>
  <c r="AV2971" i="1"/>
  <c r="AW2971" i="1"/>
  <c r="AU2972" i="1"/>
  <c r="AV2972" i="1"/>
  <c r="AW2972" i="1"/>
  <c r="AU2973" i="1"/>
  <c r="AV2973" i="1"/>
  <c r="AW2973" i="1"/>
  <c r="AU2974" i="1"/>
  <c r="AV2974" i="1"/>
  <c r="AW2974" i="1"/>
  <c r="AU2975" i="1"/>
  <c r="AV2975" i="1"/>
  <c r="AW2975" i="1"/>
  <c r="AU2976" i="1"/>
  <c r="AV2976" i="1"/>
  <c r="AW2976" i="1"/>
  <c r="AU2977" i="1"/>
  <c r="AV2977" i="1"/>
  <c r="AW2977" i="1"/>
  <c r="AU2978" i="1"/>
  <c r="AV2978" i="1"/>
  <c r="AW2978" i="1"/>
  <c r="AU2979" i="1"/>
  <c r="AV2979" i="1"/>
  <c r="AW2979" i="1"/>
  <c r="AU2980" i="1"/>
  <c r="AV2980" i="1"/>
  <c r="AW2980" i="1"/>
  <c r="AU2981" i="1"/>
  <c r="AV2981" i="1"/>
  <c r="AW2981" i="1"/>
  <c r="AU2982" i="1"/>
  <c r="AV2982" i="1"/>
  <c r="AW2982" i="1"/>
  <c r="AU2983" i="1"/>
  <c r="AV2983" i="1"/>
  <c r="AW2983" i="1"/>
  <c r="AU2984" i="1"/>
  <c r="AV2984" i="1"/>
  <c r="AW2984" i="1"/>
  <c r="AU2985" i="1"/>
  <c r="AV2985" i="1"/>
  <c r="AW2985" i="1"/>
  <c r="AU2986" i="1"/>
  <c r="AV2986" i="1"/>
  <c r="AW2986" i="1"/>
  <c r="AU2987" i="1"/>
  <c r="AV2987" i="1"/>
  <c r="AW2987" i="1"/>
  <c r="AU2988" i="1"/>
  <c r="AV2988" i="1"/>
  <c r="AW2988" i="1"/>
  <c r="AU2989" i="1"/>
  <c r="AV2989" i="1"/>
  <c r="AW2989" i="1"/>
  <c r="AU2990" i="1"/>
  <c r="AV2990" i="1"/>
  <c r="AW2990" i="1"/>
  <c r="AU2991" i="1"/>
  <c r="AV2991" i="1"/>
  <c r="AW2991" i="1"/>
  <c r="AU2992" i="1"/>
  <c r="AV2992" i="1"/>
  <c r="AW2992" i="1"/>
  <c r="AU2993" i="1"/>
  <c r="AV2993" i="1"/>
  <c r="AW2993" i="1"/>
  <c r="AU2994" i="1"/>
  <c r="AV2994" i="1"/>
  <c r="AW2994" i="1"/>
  <c r="AU2995" i="1"/>
  <c r="AV2995" i="1"/>
  <c r="AW2995" i="1"/>
  <c r="AU2996" i="1"/>
  <c r="AV2996" i="1"/>
  <c r="AW2996" i="1"/>
  <c r="AU2997" i="1"/>
  <c r="AV2997" i="1"/>
  <c r="AW2997" i="1"/>
  <c r="AU2998" i="1"/>
  <c r="AV2998" i="1"/>
  <c r="AW2998" i="1"/>
  <c r="AU2999" i="1"/>
  <c r="AV2999" i="1"/>
  <c r="AW2999" i="1"/>
  <c r="AU3000" i="1"/>
  <c r="AV3000" i="1"/>
  <c r="AW3000" i="1"/>
  <c r="AU3001" i="1"/>
  <c r="AV3001" i="1"/>
  <c r="AW3001" i="1"/>
  <c r="AU3002" i="1"/>
  <c r="AV3002" i="1"/>
  <c r="AW3002" i="1"/>
  <c r="AU3003" i="1"/>
  <c r="AV3003" i="1"/>
  <c r="AW3003" i="1"/>
  <c r="AU3004" i="1"/>
  <c r="AV3004" i="1"/>
  <c r="AW3004" i="1"/>
  <c r="AU3005" i="1"/>
  <c r="AV3005" i="1"/>
  <c r="AW3005" i="1"/>
  <c r="AU3006" i="1"/>
  <c r="AV3006" i="1"/>
  <c r="AW3006" i="1"/>
  <c r="AU3007" i="1"/>
  <c r="AV3007" i="1"/>
  <c r="AW3007" i="1"/>
  <c r="AU3008" i="1"/>
  <c r="AV3008" i="1"/>
  <c r="AW3008" i="1"/>
  <c r="AU3009" i="1"/>
  <c r="AV3009" i="1"/>
  <c r="AW3009" i="1"/>
  <c r="AU3010" i="1"/>
  <c r="AV3010" i="1"/>
  <c r="AW3010" i="1"/>
  <c r="AU3011" i="1"/>
  <c r="AV3011" i="1"/>
  <c r="AW3011" i="1"/>
  <c r="AU3012" i="1"/>
  <c r="AV3012" i="1"/>
  <c r="AW3012" i="1"/>
  <c r="AU3013" i="1"/>
  <c r="AV3013" i="1"/>
  <c r="AW3013" i="1"/>
  <c r="AU3014" i="1"/>
  <c r="AV3014" i="1"/>
  <c r="AW3014" i="1"/>
  <c r="AU3015" i="1"/>
  <c r="AV3015" i="1"/>
  <c r="AW3015" i="1"/>
  <c r="AU3016" i="1"/>
  <c r="AV3016" i="1"/>
  <c r="AW3016" i="1"/>
  <c r="AU3017" i="1"/>
  <c r="AV3017" i="1"/>
  <c r="AW3017" i="1"/>
  <c r="AU3018" i="1"/>
  <c r="AV3018" i="1"/>
  <c r="AW3018" i="1"/>
  <c r="AU3019" i="1"/>
  <c r="AV3019" i="1"/>
  <c r="AW3019" i="1"/>
  <c r="AU3020" i="1"/>
  <c r="AV3020" i="1"/>
  <c r="AW3020" i="1"/>
  <c r="AU3021" i="1"/>
  <c r="AV3021" i="1"/>
  <c r="AW3021" i="1"/>
  <c r="AU3022" i="1"/>
  <c r="AV3022" i="1"/>
  <c r="AW3022" i="1"/>
  <c r="AU3023" i="1"/>
  <c r="AV3023" i="1"/>
  <c r="AW3023" i="1"/>
  <c r="AU3024" i="1"/>
  <c r="AV3024" i="1"/>
  <c r="AW3024" i="1"/>
  <c r="AU3025" i="1"/>
  <c r="AV3025" i="1"/>
  <c r="AW3025" i="1"/>
  <c r="AU3026" i="1"/>
  <c r="AV3026" i="1"/>
  <c r="AW3026" i="1"/>
  <c r="AU3027" i="1"/>
  <c r="AV3027" i="1"/>
  <c r="AW3027" i="1"/>
  <c r="AU3028" i="1"/>
  <c r="AV3028" i="1"/>
  <c r="AW3028" i="1"/>
  <c r="AU3029" i="1"/>
  <c r="AV3029" i="1"/>
  <c r="AW3029" i="1"/>
  <c r="AU3030" i="1"/>
  <c r="AV3030" i="1"/>
  <c r="AW3030" i="1"/>
  <c r="AU3031" i="1"/>
  <c r="AV3031" i="1"/>
  <c r="AW3031" i="1"/>
  <c r="AU3032" i="1"/>
  <c r="AV3032" i="1"/>
  <c r="AW3032" i="1"/>
  <c r="AU3033" i="1"/>
  <c r="AV3033" i="1"/>
  <c r="AW3033" i="1"/>
  <c r="AU3034" i="1"/>
  <c r="AV3034" i="1"/>
  <c r="AW3034" i="1"/>
  <c r="AU3035" i="1"/>
  <c r="AV3035" i="1"/>
  <c r="AW3035" i="1"/>
  <c r="AU3036" i="1"/>
  <c r="AV3036" i="1"/>
  <c r="AW3036" i="1"/>
  <c r="AU3037" i="1"/>
  <c r="AV3037" i="1"/>
  <c r="AW3037" i="1"/>
  <c r="AU3038" i="1"/>
  <c r="AV3038" i="1"/>
  <c r="AW3038" i="1"/>
  <c r="AU3039" i="1"/>
  <c r="AV3039" i="1"/>
  <c r="AW3039" i="1"/>
  <c r="AU3040" i="1"/>
  <c r="AV3040" i="1"/>
  <c r="AW3040" i="1"/>
  <c r="AU3041" i="1"/>
  <c r="AV3041" i="1"/>
  <c r="AW3041" i="1"/>
  <c r="AU3042" i="1"/>
  <c r="AV3042" i="1"/>
  <c r="AW3042" i="1"/>
  <c r="AU3043" i="1"/>
  <c r="AV3043" i="1"/>
  <c r="AW3043" i="1"/>
  <c r="AU3044" i="1"/>
  <c r="AV3044" i="1"/>
  <c r="AW3044" i="1"/>
  <c r="AU3045" i="1"/>
  <c r="AV3045" i="1"/>
  <c r="AW3045" i="1"/>
  <c r="AU3046" i="1"/>
  <c r="AV3046" i="1"/>
  <c r="AW3046" i="1"/>
  <c r="AU3047" i="1"/>
  <c r="AV3047" i="1"/>
  <c r="AW3047" i="1"/>
  <c r="AU3048" i="1"/>
  <c r="AV3048" i="1"/>
  <c r="AW3048" i="1"/>
  <c r="AU3049" i="1"/>
  <c r="AV3049" i="1"/>
  <c r="AW3049" i="1"/>
  <c r="AU3050" i="1"/>
  <c r="AV3050" i="1"/>
  <c r="AW3050" i="1"/>
  <c r="AU3051" i="1"/>
  <c r="AV3051" i="1"/>
  <c r="AW3051" i="1"/>
  <c r="AU3052" i="1"/>
  <c r="AV3052" i="1"/>
  <c r="AW3052" i="1"/>
  <c r="AU3053" i="1"/>
  <c r="AV3053" i="1"/>
  <c r="AW3053" i="1"/>
  <c r="AU3054" i="1"/>
  <c r="AV3054" i="1"/>
  <c r="AW3054" i="1"/>
  <c r="AU3055" i="1"/>
  <c r="AV3055" i="1"/>
  <c r="AW3055" i="1"/>
  <c r="AU3056" i="1"/>
  <c r="AV3056" i="1"/>
  <c r="AW3056" i="1"/>
  <c r="AU3057" i="1"/>
  <c r="AV3057" i="1"/>
  <c r="AW3057" i="1"/>
  <c r="AU3058" i="1"/>
  <c r="AV3058" i="1"/>
  <c r="AW3058" i="1"/>
  <c r="AU3059" i="1"/>
  <c r="AV3059" i="1"/>
  <c r="AW3059" i="1"/>
  <c r="AU3060" i="1"/>
  <c r="AV3060" i="1"/>
  <c r="AW3060" i="1"/>
  <c r="AU3061" i="1"/>
  <c r="AV3061" i="1"/>
  <c r="AW3061" i="1"/>
  <c r="AU3062" i="1"/>
  <c r="AV3062" i="1"/>
  <c r="AW3062" i="1"/>
  <c r="AU3063" i="1"/>
  <c r="AV3063" i="1"/>
  <c r="AW3063" i="1"/>
  <c r="AU3064" i="1"/>
  <c r="AV3064" i="1"/>
  <c r="AW3064" i="1"/>
  <c r="AU3065" i="1"/>
  <c r="AV3065" i="1"/>
  <c r="AW3065" i="1"/>
  <c r="AU3066" i="1"/>
  <c r="AV3066" i="1"/>
  <c r="AW3066" i="1"/>
  <c r="AU3067" i="1"/>
  <c r="AV3067" i="1"/>
  <c r="AW3067" i="1"/>
  <c r="AU3068" i="1"/>
  <c r="AV3068" i="1"/>
  <c r="AW3068" i="1"/>
  <c r="AU3069" i="1"/>
  <c r="AV3069" i="1"/>
  <c r="AW3069" i="1"/>
  <c r="AU3070" i="1"/>
  <c r="AV3070" i="1"/>
  <c r="AW3070" i="1"/>
  <c r="AU3071" i="1"/>
  <c r="AV3071" i="1"/>
  <c r="AW3071" i="1"/>
  <c r="AU3072" i="1"/>
  <c r="AV3072" i="1"/>
  <c r="AW3072" i="1"/>
  <c r="AU3073" i="1"/>
  <c r="AV3073" i="1"/>
  <c r="AW3073" i="1"/>
  <c r="AU3074" i="1"/>
  <c r="AV3074" i="1"/>
  <c r="AW3074" i="1"/>
  <c r="AU3075" i="1"/>
  <c r="AV3075" i="1"/>
  <c r="AW3075" i="1"/>
  <c r="AU3076" i="1"/>
  <c r="AV3076" i="1"/>
  <c r="AW3076" i="1"/>
  <c r="AU3077" i="1"/>
  <c r="AV3077" i="1"/>
  <c r="AW3077" i="1"/>
  <c r="AU3078" i="1"/>
  <c r="AV3078" i="1"/>
  <c r="AW3078" i="1"/>
  <c r="AU3079" i="1"/>
  <c r="AV3079" i="1"/>
  <c r="AW3079" i="1"/>
  <c r="AU3080" i="1"/>
  <c r="AV3080" i="1"/>
  <c r="AW3080" i="1"/>
  <c r="AU3081" i="1"/>
  <c r="AV3081" i="1"/>
  <c r="AW3081" i="1"/>
  <c r="AU3082" i="1"/>
  <c r="AV3082" i="1"/>
  <c r="AW3082" i="1"/>
  <c r="AU3083" i="1"/>
  <c r="AV3083" i="1"/>
  <c r="AW3083" i="1"/>
  <c r="AU3084" i="1"/>
  <c r="AV3084" i="1"/>
  <c r="AW3084" i="1"/>
  <c r="AU3085" i="1"/>
  <c r="AV3085" i="1"/>
  <c r="AW3085" i="1"/>
  <c r="AU3086" i="1"/>
  <c r="AV3086" i="1"/>
  <c r="AW3086" i="1"/>
  <c r="AU3087" i="1"/>
  <c r="AV3087" i="1"/>
  <c r="AW3087" i="1"/>
  <c r="AU3088" i="1"/>
  <c r="AV3088" i="1"/>
  <c r="AW3088" i="1"/>
  <c r="AU3089" i="1"/>
  <c r="AV3089" i="1"/>
  <c r="AW3089" i="1"/>
  <c r="AU3090" i="1"/>
  <c r="AV3090" i="1"/>
  <c r="AW3090" i="1"/>
  <c r="AU3091" i="1"/>
  <c r="AV3091" i="1"/>
  <c r="AW3091" i="1"/>
  <c r="AU3092" i="1"/>
  <c r="AV3092" i="1"/>
  <c r="AW3092" i="1"/>
  <c r="AU3093" i="1"/>
  <c r="AV3093" i="1"/>
  <c r="AW3093" i="1"/>
  <c r="AU3094" i="1"/>
  <c r="AV3094" i="1"/>
  <c r="AW3094" i="1"/>
  <c r="AU3095" i="1"/>
  <c r="AV3095" i="1"/>
  <c r="AW3095" i="1"/>
  <c r="AU3096" i="1"/>
  <c r="AV3096" i="1"/>
  <c r="AW3096" i="1"/>
  <c r="AU3097" i="1"/>
  <c r="AV3097" i="1"/>
  <c r="AW3097" i="1"/>
  <c r="AU3098" i="1"/>
  <c r="AV3098" i="1"/>
  <c r="AW3098" i="1"/>
  <c r="AU3099" i="1"/>
  <c r="AV3099" i="1"/>
  <c r="AW3099" i="1"/>
  <c r="AU3100" i="1"/>
  <c r="AV3100" i="1"/>
  <c r="AW3100" i="1"/>
  <c r="AU3101" i="1"/>
  <c r="AV3101" i="1"/>
  <c r="AW3101" i="1"/>
  <c r="AU3102" i="1"/>
  <c r="AV3102" i="1"/>
  <c r="AW3102" i="1"/>
  <c r="AU3103" i="1"/>
  <c r="AV3103" i="1"/>
  <c r="AW3103" i="1"/>
  <c r="AU3104" i="1"/>
  <c r="AV3104" i="1"/>
  <c r="AW3104" i="1"/>
  <c r="AU3105" i="1"/>
  <c r="AV3105" i="1"/>
  <c r="AW3105" i="1"/>
  <c r="AU3106" i="1"/>
  <c r="AV3106" i="1"/>
  <c r="AW3106" i="1"/>
  <c r="AU3107" i="1"/>
  <c r="AV3107" i="1"/>
  <c r="AW3107" i="1"/>
  <c r="AU3108" i="1"/>
  <c r="AV3108" i="1"/>
  <c r="AW3108" i="1"/>
  <c r="AU3109" i="1"/>
  <c r="AV3109" i="1"/>
  <c r="AW3109" i="1"/>
  <c r="AU3110" i="1"/>
  <c r="AV3110" i="1"/>
  <c r="AW3110" i="1"/>
  <c r="AU3111" i="1"/>
  <c r="AV3111" i="1"/>
  <c r="AW3111" i="1"/>
  <c r="AU3112" i="1"/>
  <c r="AV3112" i="1"/>
  <c r="AW3112" i="1"/>
  <c r="AU3113" i="1"/>
  <c r="AV3113" i="1"/>
  <c r="AW3113" i="1"/>
  <c r="AU3114" i="1"/>
  <c r="AV3114" i="1"/>
  <c r="AW3114" i="1"/>
  <c r="AU3115" i="1"/>
  <c r="AV3115" i="1"/>
  <c r="AW3115" i="1"/>
  <c r="AU3116" i="1"/>
  <c r="AV3116" i="1"/>
  <c r="AW3116" i="1"/>
  <c r="AU3117" i="1"/>
  <c r="AV3117" i="1"/>
  <c r="AW3117" i="1"/>
  <c r="AU3118" i="1"/>
  <c r="AV3118" i="1"/>
  <c r="AW3118" i="1"/>
  <c r="AU3119" i="1"/>
  <c r="AV3119" i="1"/>
  <c r="AW3119" i="1"/>
  <c r="AU3120" i="1"/>
  <c r="AV3120" i="1"/>
  <c r="AW3120" i="1"/>
  <c r="AU3121" i="1"/>
  <c r="AV3121" i="1"/>
  <c r="AW3121" i="1"/>
  <c r="AU3122" i="1"/>
  <c r="AV3122" i="1"/>
  <c r="AW3122" i="1"/>
  <c r="AU3123" i="1"/>
  <c r="AV3123" i="1"/>
  <c r="AW3123" i="1"/>
  <c r="AU3124" i="1"/>
  <c r="AV3124" i="1"/>
  <c r="AW3124" i="1"/>
  <c r="AU3125" i="1"/>
  <c r="AV3125" i="1"/>
  <c r="AW3125" i="1"/>
  <c r="AU3126" i="1"/>
  <c r="AV3126" i="1"/>
  <c r="AW3126" i="1"/>
  <c r="AU3127" i="1"/>
  <c r="AV3127" i="1"/>
  <c r="AW3127" i="1"/>
  <c r="AU3128" i="1"/>
  <c r="AV3128" i="1"/>
  <c r="AW3128" i="1"/>
  <c r="AU3129" i="1"/>
  <c r="AV3129" i="1"/>
  <c r="AW3129" i="1"/>
  <c r="AU3130" i="1"/>
  <c r="AV3130" i="1"/>
  <c r="AW3130" i="1"/>
  <c r="AU3131" i="1"/>
  <c r="AV3131" i="1"/>
  <c r="AW3131" i="1"/>
  <c r="AU3132" i="1"/>
  <c r="AV3132" i="1"/>
  <c r="AW3132" i="1"/>
  <c r="AU3133" i="1"/>
  <c r="AV3133" i="1"/>
  <c r="AW3133" i="1"/>
  <c r="AU3134" i="1"/>
  <c r="AV3134" i="1"/>
  <c r="AW3134" i="1"/>
  <c r="AU3135" i="1"/>
  <c r="AV3135" i="1"/>
  <c r="AW3135" i="1"/>
  <c r="AU3136" i="1"/>
  <c r="AV3136" i="1"/>
  <c r="AW3136" i="1"/>
  <c r="AU3137" i="1"/>
  <c r="AV3137" i="1"/>
  <c r="AW3137" i="1"/>
  <c r="AU3138" i="1"/>
  <c r="AV3138" i="1"/>
  <c r="AW3138" i="1"/>
  <c r="AU3139" i="1"/>
  <c r="AV3139" i="1"/>
  <c r="AW3139" i="1"/>
  <c r="AU3140" i="1"/>
  <c r="AV3140" i="1"/>
  <c r="AW3140" i="1"/>
  <c r="AU3141" i="1"/>
  <c r="AV3141" i="1"/>
  <c r="AW3141" i="1"/>
  <c r="AU3142" i="1"/>
  <c r="AV3142" i="1"/>
  <c r="AW3142" i="1"/>
  <c r="AU3143" i="1"/>
  <c r="AV3143" i="1"/>
  <c r="AW3143" i="1"/>
  <c r="AU3144" i="1"/>
  <c r="AV3144" i="1"/>
  <c r="AW3144" i="1"/>
  <c r="AU3145" i="1"/>
  <c r="AV3145" i="1"/>
  <c r="AW3145" i="1"/>
  <c r="AU3146" i="1"/>
  <c r="AV3146" i="1"/>
  <c r="AW3146" i="1"/>
  <c r="AU3147" i="1"/>
  <c r="AV3147" i="1"/>
  <c r="AW3147" i="1"/>
  <c r="AU3148" i="1"/>
  <c r="AV3148" i="1"/>
  <c r="AW3148" i="1"/>
  <c r="AU3149" i="1"/>
  <c r="AV3149" i="1"/>
  <c r="AW3149" i="1"/>
  <c r="AU3150" i="1"/>
  <c r="AV3150" i="1"/>
  <c r="AW3150" i="1"/>
  <c r="AU3151" i="1"/>
  <c r="AV3151" i="1"/>
  <c r="AW3151" i="1"/>
  <c r="AU3152" i="1"/>
  <c r="AV3152" i="1"/>
  <c r="AW3152" i="1"/>
  <c r="AU3153" i="1"/>
  <c r="AV3153" i="1"/>
  <c r="AW3153" i="1"/>
  <c r="AU3154" i="1"/>
  <c r="AV3154" i="1"/>
  <c r="AW3154" i="1"/>
  <c r="AU3155" i="1"/>
  <c r="AV3155" i="1"/>
  <c r="AW3155" i="1"/>
  <c r="AU3156" i="1"/>
  <c r="AV3156" i="1"/>
  <c r="AW3156" i="1"/>
  <c r="AU3157" i="1"/>
  <c r="AV3157" i="1"/>
  <c r="AW3157" i="1"/>
  <c r="AU3158" i="1"/>
  <c r="AV3158" i="1"/>
  <c r="AW3158" i="1"/>
  <c r="AU3159" i="1"/>
  <c r="AV3159" i="1"/>
  <c r="AW3159" i="1"/>
  <c r="AU3160" i="1"/>
  <c r="AV3160" i="1"/>
  <c r="AW3160" i="1"/>
  <c r="AU3161" i="1"/>
  <c r="AV3161" i="1"/>
  <c r="AW3161" i="1"/>
  <c r="AU3162" i="1"/>
  <c r="AV3162" i="1"/>
  <c r="AW3162" i="1"/>
  <c r="AU3163" i="1"/>
  <c r="AV3163" i="1"/>
  <c r="AW3163" i="1"/>
  <c r="AU3164" i="1"/>
  <c r="AV3164" i="1"/>
  <c r="AW3164" i="1"/>
  <c r="AU3165" i="1"/>
  <c r="AV3165" i="1"/>
  <c r="AW3165" i="1"/>
  <c r="AU3166" i="1"/>
  <c r="AV3166" i="1"/>
  <c r="AW3166" i="1"/>
  <c r="AU3167" i="1"/>
  <c r="AV3167" i="1"/>
  <c r="AW3167" i="1"/>
  <c r="AU3168" i="1"/>
  <c r="AV3168" i="1"/>
  <c r="AW3168" i="1"/>
  <c r="AU3169" i="1"/>
  <c r="AV3169" i="1"/>
  <c r="AW3169" i="1"/>
  <c r="AU3170" i="1"/>
  <c r="AV3170" i="1"/>
  <c r="AW3170" i="1"/>
  <c r="AU3171" i="1"/>
  <c r="AV3171" i="1"/>
  <c r="AW3171" i="1"/>
  <c r="AU3172" i="1"/>
  <c r="AV3172" i="1"/>
  <c r="AW3172" i="1"/>
  <c r="AU3173" i="1"/>
  <c r="AV3173" i="1"/>
  <c r="AW3173" i="1"/>
  <c r="AU3174" i="1"/>
  <c r="AV3174" i="1"/>
  <c r="AW3174" i="1"/>
  <c r="AU3175" i="1"/>
  <c r="AV3175" i="1"/>
  <c r="AW3175" i="1"/>
  <c r="AU3176" i="1"/>
  <c r="AV3176" i="1"/>
  <c r="AW3176" i="1"/>
  <c r="AU3177" i="1"/>
  <c r="AV3177" i="1"/>
  <c r="AW3177" i="1"/>
  <c r="AU3178" i="1"/>
  <c r="AV3178" i="1"/>
  <c r="AW3178" i="1"/>
  <c r="AU3179" i="1"/>
  <c r="AV3179" i="1"/>
  <c r="AW3179" i="1"/>
  <c r="AU3180" i="1"/>
  <c r="AV3180" i="1"/>
  <c r="AW3180" i="1"/>
  <c r="AU3181" i="1"/>
  <c r="AV3181" i="1"/>
  <c r="AW3181" i="1"/>
  <c r="AU3182" i="1"/>
  <c r="AV3182" i="1"/>
  <c r="AW3182" i="1"/>
  <c r="AU3183" i="1"/>
  <c r="AV3183" i="1"/>
  <c r="AW3183" i="1"/>
  <c r="AU3184" i="1"/>
  <c r="AV3184" i="1"/>
  <c r="AW3184" i="1"/>
  <c r="AU3185" i="1"/>
  <c r="AV3185" i="1"/>
  <c r="AW3185" i="1"/>
  <c r="AU3186" i="1"/>
  <c r="AV3186" i="1"/>
  <c r="AW3186" i="1"/>
  <c r="AU3187" i="1"/>
  <c r="AV3187" i="1"/>
  <c r="AW3187" i="1"/>
  <c r="AU3188" i="1"/>
  <c r="AV3188" i="1"/>
  <c r="AW3188" i="1"/>
  <c r="AU3189" i="1"/>
  <c r="AV3189" i="1"/>
  <c r="AW3189" i="1"/>
  <c r="AU3190" i="1"/>
  <c r="AV3190" i="1"/>
  <c r="AW3190" i="1"/>
  <c r="AU3191" i="1"/>
  <c r="AV3191" i="1"/>
  <c r="AW3191" i="1"/>
  <c r="AU3192" i="1"/>
  <c r="AV3192" i="1"/>
  <c r="AW3192" i="1"/>
  <c r="AU3193" i="1"/>
  <c r="AV3193" i="1"/>
  <c r="AW3193" i="1"/>
  <c r="AU3194" i="1"/>
  <c r="AV3194" i="1"/>
  <c r="AW3194" i="1"/>
  <c r="AU3195" i="1"/>
  <c r="AV3195" i="1"/>
  <c r="AW3195" i="1"/>
  <c r="AU3196" i="1"/>
  <c r="AV3196" i="1"/>
  <c r="AW3196" i="1"/>
  <c r="AU3197" i="1"/>
  <c r="AV3197" i="1"/>
  <c r="AW3197" i="1"/>
  <c r="AU3198" i="1"/>
  <c r="AV3198" i="1"/>
  <c r="AW3198" i="1"/>
  <c r="AU3199" i="1"/>
  <c r="AV3199" i="1"/>
  <c r="AW3199" i="1"/>
  <c r="AU3200" i="1"/>
  <c r="AV3200" i="1"/>
  <c r="AW3200" i="1"/>
  <c r="AU3201" i="1"/>
  <c r="AV3201" i="1"/>
  <c r="AW3201" i="1"/>
  <c r="AU3202" i="1"/>
  <c r="AV3202" i="1"/>
  <c r="AW3202" i="1"/>
  <c r="AU3203" i="1"/>
  <c r="AV3203" i="1"/>
  <c r="AW3203" i="1"/>
  <c r="AU3204" i="1"/>
  <c r="AV3204" i="1"/>
  <c r="AW3204" i="1"/>
  <c r="AU3205" i="1"/>
  <c r="AV3205" i="1"/>
  <c r="AW3205" i="1"/>
  <c r="AU3206" i="1"/>
  <c r="AV3206" i="1"/>
  <c r="AW3206" i="1"/>
  <c r="AU3207" i="1"/>
  <c r="AV3207" i="1"/>
  <c r="AW3207" i="1"/>
  <c r="AU3208" i="1"/>
  <c r="AV3208" i="1"/>
  <c r="AW3208" i="1"/>
  <c r="AU3209" i="1"/>
  <c r="AV3209" i="1"/>
  <c r="AW3209" i="1"/>
  <c r="AU3210" i="1"/>
  <c r="AV3210" i="1"/>
  <c r="AW3210" i="1"/>
  <c r="AU3211" i="1"/>
  <c r="AV3211" i="1"/>
  <c r="AW3211" i="1"/>
  <c r="AU3212" i="1"/>
  <c r="AV3212" i="1"/>
  <c r="AW3212" i="1"/>
  <c r="AU3213" i="1"/>
  <c r="AV3213" i="1"/>
  <c r="AW3213" i="1"/>
  <c r="AU3214" i="1"/>
  <c r="AV3214" i="1"/>
  <c r="AW3214" i="1"/>
  <c r="AU3215" i="1"/>
  <c r="AV3215" i="1"/>
  <c r="AW3215" i="1"/>
  <c r="AU3216" i="1"/>
  <c r="AV3216" i="1"/>
  <c r="AW3216" i="1"/>
  <c r="AU3217" i="1"/>
  <c r="AV3217" i="1"/>
  <c r="AW3217" i="1"/>
  <c r="AU3218" i="1"/>
  <c r="AV3218" i="1"/>
  <c r="AW3218" i="1"/>
  <c r="AU3219" i="1"/>
  <c r="AV3219" i="1"/>
  <c r="AW3219" i="1"/>
  <c r="AU3220" i="1"/>
  <c r="AV3220" i="1"/>
  <c r="AW3220" i="1"/>
  <c r="AU3221" i="1"/>
  <c r="AV3221" i="1"/>
  <c r="AW3221" i="1"/>
  <c r="AU3222" i="1"/>
  <c r="AV3222" i="1"/>
  <c r="AW3222" i="1"/>
  <c r="AU3223" i="1"/>
  <c r="AV3223" i="1"/>
  <c r="AW3223" i="1"/>
  <c r="AU3224" i="1"/>
  <c r="AV3224" i="1"/>
  <c r="AW3224" i="1"/>
  <c r="AU3225" i="1"/>
  <c r="AV3225" i="1"/>
  <c r="AW3225" i="1"/>
  <c r="AU3226" i="1"/>
  <c r="AV3226" i="1"/>
  <c r="AW3226" i="1"/>
  <c r="AU3227" i="1"/>
  <c r="AV3227" i="1"/>
  <c r="AW3227" i="1"/>
  <c r="AU3228" i="1"/>
  <c r="AV3228" i="1"/>
  <c r="AW3228" i="1"/>
  <c r="AU3229" i="1"/>
  <c r="AV3229" i="1"/>
  <c r="AW3229" i="1"/>
  <c r="AU3230" i="1"/>
  <c r="AV3230" i="1"/>
  <c r="AW3230" i="1"/>
  <c r="AU3231" i="1"/>
  <c r="AV3231" i="1"/>
  <c r="AW3231" i="1"/>
  <c r="AU3232" i="1"/>
  <c r="AV3232" i="1"/>
  <c r="AW3232" i="1"/>
  <c r="AU3233" i="1"/>
  <c r="AV3233" i="1"/>
  <c r="AW3233" i="1"/>
  <c r="AU3234" i="1"/>
  <c r="AV3234" i="1"/>
  <c r="AW3234" i="1"/>
  <c r="AU3235" i="1"/>
  <c r="AV3235" i="1"/>
  <c r="AW3235" i="1"/>
  <c r="AU3236" i="1"/>
  <c r="AV3236" i="1"/>
  <c r="AW3236" i="1"/>
  <c r="AU3237" i="1"/>
  <c r="AV3237" i="1"/>
  <c r="AW3237" i="1"/>
  <c r="AU3238" i="1"/>
  <c r="AV3238" i="1"/>
  <c r="AW3238" i="1"/>
  <c r="AU3239" i="1"/>
  <c r="AV3239" i="1"/>
  <c r="AW3239" i="1"/>
  <c r="AU3240" i="1"/>
  <c r="AV3240" i="1"/>
  <c r="AW3240" i="1"/>
  <c r="AU3241" i="1"/>
  <c r="AV3241" i="1"/>
  <c r="AW3241" i="1"/>
  <c r="AU3242" i="1"/>
  <c r="AV3242" i="1"/>
  <c r="AW3242" i="1"/>
  <c r="AU3243" i="1"/>
  <c r="AV3243" i="1"/>
  <c r="AW3243" i="1"/>
  <c r="AU3244" i="1"/>
  <c r="AV3244" i="1"/>
  <c r="AW3244" i="1"/>
  <c r="AU3245" i="1"/>
  <c r="AV3245" i="1"/>
  <c r="AW3245" i="1"/>
  <c r="AU3246" i="1"/>
  <c r="AV3246" i="1"/>
  <c r="AW3246" i="1"/>
  <c r="AU3247" i="1"/>
  <c r="AV3247" i="1"/>
  <c r="AW3247" i="1"/>
  <c r="AU3248" i="1"/>
  <c r="AV3248" i="1"/>
  <c r="AW3248" i="1"/>
  <c r="AU3249" i="1"/>
  <c r="AV3249" i="1"/>
  <c r="AW3249" i="1"/>
  <c r="AU3250" i="1"/>
  <c r="AV3250" i="1"/>
  <c r="AW3250" i="1"/>
  <c r="AU3251" i="1"/>
  <c r="AV3251" i="1"/>
  <c r="AW3251" i="1"/>
  <c r="AU3252" i="1"/>
  <c r="AV3252" i="1"/>
  <c r="AW3252" i="1"/>
  <c r="AU3253" i="1"/>
  <c r="AV3253" i="1"/>
  <c r="AW3253" i="1"/>
  <c r="AU3254" i="1"/>
  <c r="AV3254" i="1"/>
  <c r="AW3254" i="1"/>
  <c r="AU3255" i="1"/>
  <c r="AV3255" i="1"/>
  <c r="AW3255" i="1"/>
  <c r="AU3256" i="1"/>
  <c r="AV3256" i="1"/>
  <c r="AW3256" i="1"/>
  <c r="AU3257" i="1"/>
  <c r="AV3257" i="1"/>
  <c r="AW3257" i="1"/>
  <c r="AU3258" i="1"/>
  <c r="AV3258" i="1"/>
  <c r="AW3258" i="1"/>
  <c r="AU3259" i="1"/>
  <c r="AV3259" i="1"/>
  <c r="AW3259" i="1"/>
  <c r="AU3260" i="1"/>
  <c r="AV3260" i="1"/>
  <c r="AW3260" i="1"/>
  <c r="AU3261" i="1"/>
  <c r="AV3261" i="1"/>
  <c r="AW3261" i="1"/>
  <c r="AU3262" i="1"/>
  <c r="AV3262" i="1"/>
  <c r="AW3262" i="1"/>
  <c r="AU3263" i="1"/>
  <c r="AV3263" i="1"/>
  <c r="AW3263" i="1"/>
  <c r="AU3264" i="1"/>
  <c r="AV3264" i="1"/>
  <c r="AW3264" i="1"/>
  <c r="AU3265" i="1"/>
  <c r="AV3265" i="1"/>
  <c r="AW3265" i="1"/>
  <c r="AU3266" i="1"/>
  <c r="AV3266" i="1"/>
  <c r="AW3266" i="1"/>
  <c r="AU3267" i="1"/>
  <c r="AV3267" i="1"/>
  <c r="AW3267" i="1"/>
  <c r="AU3268" i="1"/>
  <c r="AV3268" i="1"/>
  <c r="AW3268" i="1"/>
  <c r="AU3269" i="1"/>
  <c r="AV3269" i="1"/>
  <c r="AW3269" i="1"/>
  <c r="AU3270" i="1"/>
  <c r="AV3270" i="1"/>
  <c r="AW3270" i="1"/>
  <c r="AU3271" i="1"/>
  <c r="AV3271" i="1"/>
  <c r="AW3271" i="1"/>
  <c r="AU3272" i="1"/>
  <c r="AV3272" i="1"/>
  <c r="AW3272" i="1"/>
  <c r="AU3273" i="1"/>
  <c r="AV3273" i="1"/>
  <c r="AW3273" i="1"/>
  <c r="AU3274" i="1"/>
  <c r="AV3274" i="1"/>
  <c r="AW3274" i="1"/>
  <c r="AU3275" i="1"/>
  <c r="AV3275" i="1"/>
  <c r="AW3275" i="1"/>
  <c r="AU3276" i="1"/>
  <c r="AV3276" i="1"/>
  <c r="AW3276" i="1"/>
  <c r="AU3277" i="1"/>
  <c r="AV3277" i="1"/>
  <c r="AW3277" i="1"/>
  <c r="AU3278" i="1"/>
  <c r="AV3278" i="1"/>
  <c r="AW3278" i="1"/>
  <c r="AU3279" i="1"/>
  <c r="AV3279" i="1"/>
  <c r="AW3279" i="1"/>
  <c r="AU3280" i="1"/>
  <c r="AV3280" i="1"/>
  <c r="AW3280" i="1"/>
  <c r="AU3281" i="1"/>
  <c r="AV3281" i="1"/>
  <c r="AW3281" i="1"/>
  <c r="AU3282" i="1"/>
  <c r="AV3282" i="1"/>
  <c r="AW3282" i="1"/>
  <c r="AU3283" i="1"/>
  <c r="AV3283" i="1"/>
  <c r="AW3283" i="1"/>
  <c r="AU3284" i="1"/>
  <c r="AV3284" i="1"/>
  <c r="AW3284" i="1"/>
  <c r="AU3285" i="1"/>
  <c r="AV3285" i="1"/>
  <c r="AW3285" i="1"/>
  <c r="AU3286" i="1"/>
  <c r="AV3286" i="1"/>
  <c r="AW3286" i="1"/>
  <c r="AU3287" i="1"/>
  <c r="AV3287" i="1"/>
  <c r="AW3287" i="1"/>
  <c r="AU3288" i="1"/>
  <c r="AV3288" i="1"/>
  <c r="AW3288" i="1"/>
  <c r="AU3289" i="1"/>
  <c r="AV3289" i="1"/>
  <c r="AW3289" i="1"/>
  <c r="AU3290" i="1"/>
  <c r="AV3290" i="1"/>
  <c r="AW3290" i="1"/>
  <c r="AU3291" i="1"/>
  <c r="AV3291" i="1"/>
  <c r="AW3291" i="1"/>
  <c r="AU3292" i="1"/>
  <c r="AV3292" i="1"/>
  <c r="AW3292" i="1"/>
  <c r="AU3293" i="1"/>
  <c r="AV3293" i="1"/>
  <c r="AW3293" i="1"/>
  <c r="AU3294" i="1"/>
  <c r="AV3294" i="1"/>
  <c r="AW3294" i="1"/>
  <c r="AU3295" i="1"/>
  <c r="AV3295" i="1"/>
  <c r="AW3295" i="1"/>
  <c r="AU3296" i="1"/>
  <c r="AV3296" i="1"/>
  <c r="AW3296" i="1"/>
  <c r="AU3297" i="1"/>
  <c r="AV3297" i="1"/>
  <c r="AW3297" i="1"/>
  <c r="AU3298" i="1"/>
  <c r="AV3298" i="1"/>
  <c r="AW3298" i="1"/>
  <c r="AU3299" i="1"/>
  <c r="AV3299" i="1"/>
  <c r="AW3299" i="1"/>
  <c r="AU3300" i="1"/>
  <c r="AV3300" i="1"/>
  <c r="AW3300" i="1"/>
  <c r="AU3301" i="1"/>
  <c r="AV3301" i="1"/>
  <c r="AW3301" i="1"/>
  <c r="AU3302" i="1"/>
  <c r="AV3302" i="1"/>
  <c r="AW3302" i="1"/>
  <c r="AU3303" i="1"/>
  <c r="AV3303" i="1"/>
  <c r="AW3303" i="1"/>
  <c r="AU3304" i="1"/>
  <c r="AV3304" i="1"/>
  <c r="AW3304" i="1"/>
  <c r="AU3305" i="1"/>
  <c r="AV3305" i="1"/>
  <c r="AW3305" i="1"/>
  <c r="AU3306" i="1"/>
  <c r="AV3306" i="1"/>
  <c r="AW3306" i="1"/>
  <c r="AU3307" i="1"/>
  <c r="AV3307" i="1"/>
  <c r="AW3307" i="1"/>
  <c r="AU3308" i="1"/>
  <c r="AV3308" i="1"/>
  <c r="AW3308" i="1"/>
  <c r="AU3309" i="1"/>
  <c r="AV3309" i="1"/>
  <c r="AW3309" i="1"/>
  <c r="AU3310" i="1"/>
  <c r="AV3310" i="1"/>
  <c r="AW3310" i="1"/>
  <c r="AU3311" i="1"/>
  <c r="AV3311" i="1"/>
  <c r="AW3311" i="1"/>
  <c r="AU3312" i="1"/>
  <c r="AV3312" i="1"/>
  <c r="AW3312" i="1"/>
  <c r="AU3313" i="1"/>
  <c r="AV3313" i="1"/>
  <c r="AW3313" i="1"/>
  <c r="AU3314" i="1"/>
  <c r="AV3314" i="1"/>
  <c r="AW3314" i="1"/>
  <c r="AU3315" i="1"/>
  <c r="AV3315" i="1"/>
  <c r="AW3315" i="1"/>
  <c r="AU3316" i="1"/>
  <c r="AV3316" i="1"/>
  <c r="AW3316" i="1"/>
  <c r="AU3317" i="1"/>
  <c r="AV3317" i="1"/>
  <c r="AW3317" i="1"/>
  <c r="AU3318" i="1"/>
  <c r="AV3318" i="1"/>
  <c r="AW3318" i="1"/>
  <c r="AU3319" i="1"/>
  <c r="AV3319" i="1"/>
  <c r="AW3319" i="1"/>
  <c r="AU3320" i="1"/>
  <c r="AV3320" i="1"/>
  <c r="AW3320" i="1"/>
  <c r="AU3321" i="1"/>
  <c r="AV3321" i="1"/>
  <c r="AW3321" i="1"/>
  <c r="AU3322" i="1"/>
  <c r="AV3322" i="1"/>
  <c r="AW3322" i="1"/>
  <c r="AU3323" i="1"/>
  <c r="AV3323" i="1"/>
  <c r="AW3323" i="1"/>
  <c r="AU3324" i="1"/>
  <c r="AV3324" i="1"/>
  <c r="AW3324" i="1"/>
  <c r="AU3325" i="1"/>
  <c r="AV3325" i="1"/>
  <c r="AW3325" i="1"/>
  <c r="AU3326" i="1"/>
  <c r="AV3326" i="1"/>
  <c r="AW3326" i="1"/>
  <c r="AU3327" i="1"/>
  <c r="AV3327" i="1"/>
  <c r="AW3327" i="1"/>
  <c r="AU3328" i="1"/>
  <c r="AV3328" i="1"/>
  <c r="AW3328" i="1"/>
  <c r="AU3329" i="1"/>
  <c r="AV3329" i="1"/>
  <c r="AW3329" i="1"/>
  <c r="AU3330" i="1"/>
  <c r="AV3330" i="1"/>
  <c r="AW3330" i="1"/>
  <c r="AU3331" i="1"/>
  <c r="AV3331" i="1"/>
  <c r="AW3331" i="1"/>
  <c r="AU3332" i="1"/>
  <c r="AV3332" i="1"/>
  <c r="AW3332" i="1"/>
  <c r="AU3333" i="1"/>
  <c r="AV3333" i="1"/>
  <c r="AW3333" i="1"/>
  <c r="AU3334" i="1"/>
  <c r="AV3334" i="1"/>
  <c r="AW3334" i="1"/>
  <c r="AU3335" i="1"/>
  <c r="AV3335" i="1"/>
  <c r="AW3335" i="1"/>
  <c r="AU3336" i="1"/>
  <c r="AV3336" i="1"/>
  <c r="AW3336" i="1"/>
  <c r="AU3337" i="1"/>
  <c r="AV3337" i="1"/>
  <c r="AW3337" i="1"/>
  <c r="AU3338" i="1"/>
  <c r="AV3338" i="1"/>
  <c r="AW3338" i="1"/>
  <c r="AU3339" i="1"/>
  <c r="AV3339" i="1"/>
  <c r="AW3339" i="1"/>
  <c r="AU3340" i="1"/>
  <c r="AV3340" i="1"/>
  <c r="AW3340" i="1"/>
  <c r="AU3341" i="1"/>
  <c r="AV3341" i="1"/>
  <c r="AW3341" i="1"/>
  <c r="AU3342" i="1"/>
  <c r="AV3342" i="1"/>
  <c r="AW3342" i="1"/>
  <c r="AU3343" i="1"/>
  <c r="AV3343" i="1"/>
  <c r="AW3343" i="1"/>
  <c r="AU3344" i="1"/>
  <c r="AV3344" i="1"/>
  <c r="AW3344" i="1"/>
  <c r="AU3345" i="1"/>
  <c r="AV3345" i="1"/>
  <c r="AW3345" i="1"/>
  <c r="AU3346" i="1"/>
  <c r="AV3346" i="1"/>
  <c r="AW3346" i="1"/>
  <c r="AU3347" i="1"/>
  <c r="AV3347" i="1"/>
  <c r="AW3347" i="1"/>
  <c r="AU3348" i="1"/>
  <c r="AV3348" i="1"/>
  <c r="AW3348" i="1"/>
  <c r="AU3349" i="1"/>
  <c r="AV3349" i="1"/>
  <c r="AW3349" i="1"/>
  <c r="AU3350" i="1"/>
  <c r="AV3350" i="1"/>
  <c r="AW3350" i="1"/>
  <c r="AU3351" i="1"/>
  <c r="AV3351" i="1"/>
  <c r="AW3351" i="1"/>
  <c r="AU3352" i="1"/>
  <c r="AV3352" i="1"/>
  <c r="AW3352" i="1"/>
  <c r="AU3353" i="1"/>
  <c r="AV3353" i="1"/>
  <c r="AW3353" i="1"/>
  <c r="AU3354" i="1"/>
  <c r="AV3354" i="1"/>
  <c r="AW3354" i="1"/>
  <c r="AU3355" i="1"/>
  <c r="AV3355" i="1"/>
  <c r="AW3355" i="1"/>
  <c r="AU3356" i="1"/>
  <c r="AV3356" i="1"/>
  <c r="AW3356" i="1"/>
  <c r="AU3357" i="1"/>
  <c r="AV3357" i="1"/>
  <c r="AW3357" i="1"/>
  <c r="AU3358" i="1"/>
  <c r="AV3358" i="1"/>
  <c r="AW3358" i="1"/>
  <c r="AU3359" i="1"/>
  <c r="AV3359" i="1"/>
  <c r="AW3359" i="1"/>
  <c r="AU3360" i="1"/>
  <c r="AV3360" i="1"/>
  <c r="AW3360" i="1"/>
  <c r="AU3361" i="1"/>
  <c r="AV3361" i="1"/>
  <c r="AW3361" i="1"/>
  <c r="AU3362" i="1"/>
  <c r="AV3362" i="1"/>
  <c r="AW3362" i="1"/>
  <c r="AU3363" i="1"/>
  <c r="AV3363" i="1"/>
  <c r="AW3363" i="1"/>
  <c r="AU3364" i="1"/>
  <c r="AV3364" i="1"/>
  <c r="AW3364" i="1"/>
  <c r="AU3365" i="1"/>
  <c r="AV3365" i="1"/>
  <c r="AW3365" i="1"/>
  <c r="AU3366" i="1"/>
  <c r="AV3366" i="1"/>
  <c r="AW3366" i="1"/>
  <c r="AU3367" i="1"/>
  <c r="AV3367" i="1"/>
  <c r="AW3367" i="1"/>
  <c r="AU3368" i="1"/>
  <c r="AV3368" i="1"/>
  <c r="AW3368" i="1"/>
  <c r="AU3369" i="1"/>
  <c r="AV3369" i="1"/>
  <c r="AW3369" i="1"/>
  <c r="AU3370" i="1"/>
  <c r="AV3370" i="1"/>
  <c r="AW3370" i="1"/>
  <c r="AU3371" i="1"/>
  <c r="AV3371" i="1"/>
  <c r="AW3371" i="1"/>
  <c r="AU3372" i="1"/>
  <c r="AV3372" i="1"/>
  <c r="AW3372" i="1"/>
  <c r="AU3373" i="1"/>
  <c r="AV3373" i="1"/>
  <c r="AW3373" i="1"/>
  <c r="AU3374" i="1"/>
  <c r="AV3374" i="1"/>
  <c r="AW3374" i="1"/>
  <c r="AU3375" i="1"/>
  <c r="AV3375" i="1"/>
  <c r="AW3375" i="1"/>
  <c r="AU3376" i="1"/>
  <c r="AV3376" i="1"/>
  <c r="AW3376" i="1"/>
  <c r="AU3377" i="1"/>
  <c r="AV3377" i="1"/>
  <c r="AW3377" i="1"/>
  <c r="AU3378" i="1"/>
  <c r="AV3378" i="1"/>
  <c r="AW3378" i="1"/>
  <c r="AU3379" i="1"/>
  <c r="AV3379" i="1"/>
  <c r="AW3379" i="1"/>
  <c r="AU3380" i="1"/>
  <c r="AV3380" i="1"/>
  <c r="AW3380" i="1"/>
  <c r="AU3381" i="1"/>
  <c r="AV3381" i="1"/>
  <c r="AW3381" i="1"/>
  <c r="AU3382" i="1"/>
  <c r="AV3382" i="1"/>
  <c r="AW3382" i="1"/>
  <c r="AU3383" i="1"/>
  <c r="AV3383" i="1"/>
  <c r="AW3383" i="1"/>
  <c r="AU3384" i="1"/>
  <c r="AV3384" i="1"/>
  <c r="AW3384" i="1"/>
  <c r="AU3385" i="1"/>
  <c r="AV3385" i="1"/>
  <c r="AW3385" i="1"/>
  <c r="AU3386" i="1"/>
  <c r="AV3386" i="1"/>
  <c r="AW3386" i="1"/>
  <c r="AU3387" i="1"/>
  <c r="AV3387" i="1"/>
  <c r="AW3387" i="1"/>
  <c r="AU3388" i="1"/>
  <c r="AV3388" i="1"/>
  <c r="AW3388" i="1"/>
  <c r="AU3389" i="1"/>
  <c r="AV3389" i="1"/>
  <c r="AW3389" i="1"/>
  <c r="AU3390" i="1"/>
  <c r="AV3390" i="1"/>
  <c r="AW3390" i="1"/>
  <c r="AU3391" i="1"/>
  <c r="AV3391" i="1"/>
  <c r="AW3391" i="1"/>
  <c r="AU3392" i="1"/>
  <c r="AV3392" i="1"/>
  <c r="AW3392" i="1"/>
  <c r="AU3393" i="1"/>
  <c r="AV3393" i="1"/>
  <c r="AW3393" i="1"/>
  <c r="AU3394" i="1"/>
  <c r="AV3394" i="1"/>
  <c r="AW3394" i="1"/>
  <c r="AU3395" i="1"/>
  <c r="AV3395" i="1"/>
  <c r="AW3395" i="1"/>
  <c r="AU3396" i="1"/>
  <c r="AV3396" i="1"/>
  <c r="AW3396" i="1"/>
  <c r="AU3397" i="1"/>
  <c r="AV3397" i="1"/>
  <c r="AW3397" i="1"/>
  <c r="AU3398" i="1"/>
  <c r="AV3398" i="1"/>
  <c r="AW3398" i="1"/>
  <c r="AU3399" i="1"/>
  <c r="AV3399" i="1"/>
  <c r="AW3399" i="1"/>
  <c r="AU3400" i="1"/>
  <c r="AV3400" i="1"/>
  <c r="AW3400" i="1"/>
  <c r="AU3401" i="1"/>
  <c r="AV3401" i="1"/>
  <c r="AW3401" i="1"/>
  <c r="AU3402" i="1"/>
  <c r="AV3402" i="1"/>
  <c r="AW3402" i="1"/>
  <c r="AU3403" i="1"/>
  <c r="AV3403" i="1"/>
  <c r="AW3403" i="1"/>
  <c r="AU3404" i="1"/>
  <c r="AV3404" i="1"/>
  <c r="AW3404" i="1"/>
  <c r="AU3405" i="1"/>
  <c r="AV3405" i="1"/>
  <c r="AW3405" i="1"/>
  <c r="AU3406" i="1"/>
  <c r="AV3406" i="1"/>
  <c r="AW3406" i="1"/>
  <c r="AU3407" i="1"/>
  <c r="AV3407" i="1"/>
  <c r="AW3407" i="1"/>
  <c r="AU3408" i="1"/>
  <c r="AV3408" i="1"/>
  <c r="AW3408" i="1"/>
  <c r="AU3409" i="1"/>
  <c r="AV3409" i="1"/>
  <c r="AW3409" i="1"/>
  <c r="AU3410" i="1"/>
  <c r="AV3410" i="1"/>
  <c r="AW3410" i="1"/>
  <c r="AU3411" i="1"/>
  <c r="AV3411" i="1"/>
  <c r="AW3411" i="1"/>
  <c r="AU3412" i="1"/>
  <c r="AV3412" i="1"/>
  <c r="AW3412" i="1"/>
  <c r="AU3413" i="1"/>
  <c r="AV3413" i="1"/>
  <c r="AW3413" i="1"/>
  <c r="AU3414" i="1"/>
  <c r="AV3414" i="1"/>
  <c r="AW3414" i="1"/>
  <c r="AU3415" i="1"/>
  <c r="AV3415" i="1"/>
  <c r="AW3415" i="1"/>
  <c r="AU3416" i="1"/>
  <c r="AV3416" i="1"/>
  <c r="AW3416" i="1"/>
  <c r="AU3417" i="1"/>
  <c r="AV3417" i="1"/>
  <c r="AW3417" i="1"/>
  <c r="AU3418" i="1"/>
  <c r="AV3418" i="1"/>
  <c r="AW3418" i="1"/>
  <c r="AU3419" i="1"/>
  <c r="AV3419" i="1"/>
  <c r="AW3419" i="1"/>
  <c r="AU3420" i="1"/>
  <c r="AV3420" i="1"/>
  <c r="AW3420" i="1"/>
  <c r="AU3421" i="1"/>
  <c r="AV3421" i="1"/>
  <c r="AW3421" i="1"/>
  <c r="AU3422" i="1"/>
  <c r="AV3422" i="1"/>
  <c r="AW3422" i="1"/>
  <c r="AU3423" i="1"/>
  <c r="AV3423" i="1"/>
  <c r="AW3423" i="1"/>
  <c r="AU3424" i="1"/>
  <c r="AV3424" i="1"/>
  <c r="AW3424" i="1"/>
  <c r="AU3425" i="1"/>
  <c r="AV3425" i="1"/>
  <c r="AW3425" i="1"/>
  <c r="AU3426" i="1"/>
  <c r="AV3426" i="1"/>
  <c r="AW3426" i="1"/>
  <c r="AU3427" i="1"/>
  <c r="AV3427" i="1"/>
  <c r="AW3427" i="1"/>
  <c r="AU3428" i="1"/>
  <c r="AV3428" i="1"/>
  <c r="AW3428" i="1"/>
  <c r="AU3429" i="1"/>
  <c r="AV3429" i="1"/>
  <c r="AW3429" i="1"/>
  <c r="AU3430" i="1"/>
  <c r="AV3430" i="1"/>
  <c r="AW3430" i="1"/>
  <c r="AU3431" i="1"/>
  <c r="AV3431" i="1"/>
  <c r="AW3431" i="1"/>
  <c r="AU3432" i="1"/>
  <c r="AV3432" i="1"/>
  <c r="AW3432" i="1"/>
  <c r="AU3433" i="1"/>
  <c r="AV3433" i="1"/>
  <c r="AW3433" i="1"/>
  <c r="AU3434" i="1"/>
  <c r="AV3434" i="1"/>
  <c r="AW3434" i="1"/>
  <c r="AU3435" i="1"/>
  <c r="AV3435" i="1"/>
  <c r="AW3435" i="1"/>
  <c r="AU3436" i="1"/>
  <c r="AV3436" i="1"/>
  <c r="AW3436" i="1"/>
  <c r="AU3437" i="1"/>
  <c r="AV3437" i="1"/>
  <c r="AW3437" i="1"/>
  <c r="AU3438" i="1"/>
  <c r="AV3438" i="1"/>
  <c r="AW3438" i="1"/>
  <c r="AU3439" i="1"/>
  <c r="AV3439" i="1"/>
  <c r="AW3439" i="1"/>
  <c r="AU3440" i="1"/>
  <c r="AV3440" i="1"/>
  <c r="AW3440" i="1"/>
  <c r="AU3441" i="1"/>
  <c r="AV3441" i="1"/>
  <c r="AW3441" i="1"/>
  <c r="AU3442" i="1"/>
  <c r="AV3442" i="1"/>
  <c r="AW3442" i="1"/>
  <c r="AU3443" i="1"/>
  <c r="AV3443" i="1"/>
  <c r="AW3443" i="1"/>
  <c r="AU3444" i="1"/>
  <c r="AV3444" i="1"/>
  <c r="AW3444" i="1"/>
  <c r="AU3445" i="1"/>
  <c r="AV3445" i="1"/>
  <c r="AW3445" i="1"/>
  <c r="AU3446" i="1"/>
  <c r="AV3446" i="1"/>
  <c r="AW3446" i="1"/>
  <c r="AU3447" i="1"/>
  <c r="AV3447" i="1"/>
  <c r="AW3447" i="1"/>
  <c r="AU3448" i="1"/>
  <c r="AV3448" i="1"/>
  <c r="AW3448" i="1"/>
  <c r="AU3449" i="1"/>
  <c r="AV3449" i="1"/>
  <c r="AW3449" i="1"/>
  <c r="AU3450" i="1"/>
  <c r="AV3450" i="1"/>
  <c r="AW3450" i="1"/>
  <c r="AU3451" i="1"/>
  <c r="AV3451" i="1"/>
  <c r="AW3451" i="1"/>
  <c r="AU3452" i="1"/>
  <c r="AV3452" i="1"/>
  <c r="AW3452" i="1"/>
  <c r="AU3453" i="1"/>
  <c r="AV3453" i="1"/>
  <c r="AW3453" i="1"/>
  <c r="AU3454" i="1"/>
  <c r="AV3454" i="1"/>
  <c r="AW3454" i="1"/>
  <c r="AU3455" i="1"/>
  <c r="AV3455" i="1"/>
  <c r="AW3455" i="1"/>
  <c r="AU3456" i="1"/>
  <c r="AV3456" i="1"/>
  <c r="AW3456" i="1"/>
  <c r="AU3457" i="1"/>
  <c r="AV3457" i="1"/>
  <c r="AW3457" i="1"/>
  <c r="AU3458" i="1"/>
  <c r="AV3458" i="1"/>
  <c r="AW3458" i="1"/>
  <c r="AU3459" i="1"/>
  <c r="AV3459" i="1"/>
  <c r="AW3459" i="1"/>
  <c r="AU3460" i="1"/>
  <c r="AV3460" i="1"/>
  <c r="AW3460" i="1"/>
  <c r="AU3461" i="1"/>
  <c r="AV3461" i="1"/>
  <c r="AW3461" i="1"/>
  <c r="AU3462" i="1"/>
  <c r="AV3462" i="1"/>
  <c r="AW3462" i="1"/>
  <c r="AU3463" i="1"/>
  <c r="AV3463" i="1"/>
  <c r="AW3463" i="1"/>
  <c r="AU3464" i="1"/>
  <c r="AV3464" i="1"/>
  <c r="AW3464" i="1"/>
  <c r="AU3465" i="1"/>
  <c r="AV3465" i="1"/>
  <c r="AW3465" i="1"/>
  <c r="AU3466" i="1"/>
  <c r="AV3466" i="1"/>
  <c r="AW3466" i="1"/>
  <c r="AU3467" i="1"/>
  <c r="AV3467" i="1"/>
  <c r="AW3467" i="1"/>
  <c r="AU3468" i="1"/>
  <c r="AV3468" i="1"/>
  <c r="AW3468" i="1"/>
  <c r="AU3469" i="1"/>
  <c r="AV3469" i="1"/>
  <c r="AW3469" i="1"/>
  <c r="AU3470" i="1"/>
  <c r="AV3470" i="1"/>
  <c r="AW3470" i="1"/>
  <c r="AU3471" i="1"/>
  <c r="AV3471" i="1"/>
  <c r="AW3471" i="1"/>
  <c r="AU3472" i="1"/>
  <c r="AV3472" i="1"/>
  <c r="AW3472" i="1"/>
  <c r="AU3473" i="1"/>
  <c r="AV3473" i="1"/>
  <c r="AW3473" i="1"/>
  <c r="AU3474" i="1"/>
  <c r="AV3474" i="1"/>
  <c r="AW3474" i="1"/>
  <c r="AU3475" i="1"/>
  <c r="AV3475" i="1"/>
  <c r="AW3475" i="1"/>
  <c r="AU3476" i="1"/>
  <c r="AV3476" i="1"/>
  <c r="AW3476" i="1"/>
  <c r="AU3477" i="1"/>
  <c r="AV3477" i="1"/>
  <c r="AW3477" i="1"/>
  <c r="AU3478" i="1"/>
  <c r="AV3478" i="1"/>
  <c r="AW3478" i="1"/>
  <c r="AU3479" i="1"/>
  <c r="AV3479" i="1"/>
  <c r="AW3479" i="1"/>
  <c r="AU3480" i="1"/>
  <c r="AV3480" i="1"/>
  <c r="AW3480" i="1"/>
  <c r="AU3481" i="1"/>
  <c r="AV3481" i="1"/>
  <c r="AW3481" i="1"/>
  <c r="AU3482" i="1"/>
  <c r="AV3482" i="1"/>
  <c r="AW3482" i="1"/>
  <c r="AU3483" i="1"/>
  <c r="AV3483" i="1"/>
  <c r="AW3483" i="1"/>
  <c r="AU3484" i="1"/>
  <c r="AV3484" i="1"/>
  <c r="AW3484" i="1"/>
  <c r="AU3485" i="1"/>
  <c r="AV3485" i="1"/>
  <c r="AW3485" i="1"/>
  <c r="AU3486" i="1"/>
  <c r="AV3486" i="1"/>
  <c r="AW3486" i="1"/>
  <c r="AU3487" i="1"/>
  <c r="AV3487" i="1"/>
  <c r="AW3487" i="1"/>
  <c r="AU3488" i="1"/>
  <c r="AV3488" i="1"/>
  <c r="AW3488" i="1"/>
  <c r="AU3489" i="1"/>
  <c r="AV3489" i="1"/>
  <c r="AW3489" i="1"/>
  <c r="AU3490" i="1"/>
  <c r="AV3490" i="1"/>
  <c r="AW3490" i="1"/>
  <c r="AU3491" i="1"/>
  <c r="AV3491" i="1"/>
  <c r="AW3491" i="1"/>
  <c r="AU3492" i="1"/>
  <c r="AV3492" i="1"/>
  <c r="AW3492" i="1"/>
  <c r="AU3493" i="1"/>
  <c r="AV3493" i="1"/>
  <c r="AW3493" i="1"/>
  <c r="AU3494" i="1"/>
  <c r="AV3494" i="1"/>
  <c r="AW3494" i="1"/>
  <c r="AU3495" i="1"/>
  <c r="AV3495" i="1"/>
  <c r="AW3495" i="1"/>
  <c r="AU3496" i="1"/>
  <c r="AV3496" i="1"/>
  <c r="AW3496" i="1"/>
  <c r="AU3497" i="1"/>
  <c r="AV3497" i="1"/>
  <c r="AW3497" i="1"/>
  <c r="AU3498" i="1"/>
  <c r="AV3498" i="1"/>
  <c r="AW3498" i="1"/>
  <c r="AU3499" i="1"/>
  <c r="AV3499" i="1"/>
  <c r="AW3499" i="1"/>
  <c r="AU3500" i="1"/>
  <c r="AV3500" i="1"/>
  <c r="AW3500" i="1"/>
  <c r="AU3501" i="1"/>
  <c r="AV3501" i="1"/>
  <c r="AW3501" i="1"/>
  <c r="AU3502" i="1"/>
  <c r="AV3502" i="1"/>
  <c r="AW3502" i="1"/>
  <c r="AU3503" i="1"/>
  <c r="AV3503" i="1"/>
  <c r="AW3503" i="1"/>
  <c r="AU3504" i="1"/>
  <c r="AV3504" i="1"/>
  <c r="AW3504" i="1"/>
  <c r="AU3505" i="1"/>
  <c r="AV3505" i="1"/>
  <c r="AW3505" i="1"/>
  <c r="AU3506" i="1"/>
  <c r="AV3506" i="1"/>
  <c r="AW3506" i="1"/>
  <c r="AU3507" i="1"/>
  <c r="AV3507" i="1"/>
  <c r="AW3507" i="1"/>
  <c r="AU3508" i="1"/>
  <c r="AV3508" i="1"/>
  <c r="AW3508" i="1"/>
  <c r="AU3509" i="1"/>
  <c r="AV3509" i="1"/>
  <c r="AW3509" i="1"/>
  <c r="AU3510" i="1"/>
  <c r="AV3510" i="1"/>
  <c r="AW3510" i="1"/>
  <c r="AU3511" i="1"/>
  <c r="AV3511" i="1"/>
  <c r="AW3511" i="1"/>
  <c r="AU3512" i="1"/>
  <c r="AV3512" i="1"/>
  <c r="AW3512" i="1"/>
  <c r="AU3513" i="1"/>
  <c r="AV3513" i="1"/>
  <c r="AW3513" i="1"/>
  <c r="AU3514" i="1"/>
  <c r="AV3514" i="1"/>
  <c r="AW3514" i="1"/>
  <c r="AU3515" i="1"/>
  <c r="AV3515" i="1"/>
  <c r="AW3515" i="1"/>
  <c r="AU3516" i="1"/>
  <c r="AV3516" i="1"/>
  <c r="AW3516" i="1"/>
  <c r="AU3517" i="1"/>
  <c r="AV3517" i="1"/>
  <c r="AW3517" i="1"/>
  <c r="AU3518" i="1"/>
  <c r="AV3518" i="1"/>
  <c r="AW3518" i="1"/>
  <c r="AU3519" i="1"/>
  <c r="AV3519" i="1"/>
  <c r="AW3519" i="1"/>
  <c r="AU3520" i="1"/>
  <c r="AV3520" i="1"/>
  <c r="AW3520" i="1"/>
  <c r="AU3521" i="1"/>
  <c r="AV3521" i="1"/>
  <c r="AW3521" i="1"/>
  <c r="AU3522" i="1"/>
  <c r="AV3522" i="1"/>
  <c r="AW3522" i="1"/>
  <c r="AU3523" i="1"/>
  <c r="AV3523" i="1"/>
  <c r="AW3523" i="1"/>
  <c r="AU3524" i="1"/>
  <c r="AV3524" i="1"/>
  <c r="AW3524" i="1"/>
  <c r="AU3525" i="1"/>
  <c r="AV3525" i="1"/>
  <c r="AW3525" i="1"/>
  <c r="AU3526" i="1"/>
  <c r="AV3526" i="1"/>
  <c r="AW3526" i="1"/>
  <c r="AU3527" i="1"/>
  <c r="AV3527" i="1"/>
  <c r="AW3527" i="1"/>
  <c r="AU3528" i="1"/>
  <c r="AV3528" i="1"/>
  <c r="AW3528" i="1"/>
  <c r="AU3529" i="1"/>
  <c r="AV3529" i="1"/>
  <c r="AW3529" i="1"/>
  <c r="AU3530" i="1"/>
  <c r="AV3530" i="1"/>
  <c r="AW3530" i="1"/>
  <c r="AU3531" i="1"/>
  <c r="AV3531" i="1"/>
  <c r="AW3531" i="1"/>
  <c r="AU3532" i="1"/>
  <c r="AV3532" i="1"/>
  <c r="AW3532" i="1"/>
  <c r="AU3533" i="1"/>
  <c r="AV3533" i="1"/>
  <c r="AW3533" i="1"/>
  <c r="AU3534" i="1"/>
  <c r="AV3534" i="1"/>
  <c r="AW3534" i="1"/>
  <c r="AU3535" i="1"/>
  <c r="AV3535" i="1"/>
  <c r="AW3535" i="1"/>
  <c r="AU3536" i="1"/>
  <c r="AV3536" i="1"/>
  <c r="AW3536" i="1"/>
  <c r="AU3537" i="1"/>
  <c r="AV3537" i="1"/>
  <c r="AW3537" i="1"/>
  <c r="AU3538" i="1"/>
  <c r="AV3538" i="1"/>
  <c r="AW3538" i="1"/>
  <c r="AU3539" i="1"/>
  <c r="AV3539" i="1"/>
  <c r="AW3539" i="1"/>
  <c r="AU3540" i="1"/>
  <c r="AV3540" i="1"/>
  <c r="AW3540" i="1"/>
  <c r="AU3541" i="1"/>
  <c r="AV3541" i="1"/>
  <c r="AW3541" i="1"/>
  <c r="AU3542" i="1"/>
  <c r="AV3542" i="1"/>
  <c r="AW3542" i="1"/>
  <c r="AU3543" i="1"/>
  <c r="AV3543" i="1"/>
  <c r="AW3543" i="1"/>
  <c r="AU3544" i="1"/>
  <c r="AV3544" i="1"/>
  <c r="AW3544" i="1"/>
  <c r="AU3545" i="1"/>
  <c r="AV3545" i="1"/>
  <c r="AW3545" i="1"/>
  <c r="AU3546" i="1"/>
  <c r="AV3546" i="1"/>
  <c r="AW3546" i="1"/>
  <c r="AU3547" i="1"/>
  <c r="AV3547" i="1"/>
  <c r="AW3547" i="1"/>
  <c r="AU3548" i="1"/>
  <c r="AV3548" i="1"/>
  <c r="AW3548" i="1"/>
  <c r="AU3549" i="1"/>
  <c r="AV3549" i="1"/>
  <c r="AW3549" i="1"/>
  <c r="AU3550" i="1"/>
  <c r="AV3550" i="1"/>
  <c r="AW3550" i="1"/>
  <c r="AU3551" i="1"/>
  <c r="AV3551" i="1"/>
  <c r="AW3551" i="1"/>
  <c r="AU3552" i="1"/>
  <c r="AV3552" i="1"/>
  <c r="AW3552" i="1"/>
  <c r="AU3553" i="1"/>
  <c r="AV3553" i="1"/>
  <c r="AW3553" i="1"/>
  <c r="AU3554" i="1"/>
  <c r="AV3554" i="1"/>
  <c r="AW3554" i="1"/>
  <c r="AU3555" i="1"/>
  <c r="AV3555" i="1"/>
  <c r="AW3555" i="1"/>
  <c r="AU3556" i="1"/>
  <c r="AV3556" i="1"/>
  <c r="AW3556" i="1"/>
  <c r="AU3557" i="1"/>
  <c r="AV3557" i="1"/>
  <c r="AW3557" i="1"/>
  <c r="AU3558" i="1"/>
  <c r="AV3558" i="1"/>
  <c r="AW3558" i="1"/>
  <c r="AU3559" i="1"/>
  <c r="AV3559" i="1"/>
  <c r="AW3559" i="1"/>
  <c r="AU3560" i="1"/>
  <c r="AV3560" i="1"/>
  <c r="AW3560" i="1"/>
  <c r="AU3561" i="1"/>
  <c r="AV3561" i="1"/>
  <c r="AW3561" i="1"/>
  <c r="AU3562" i="1"/>
  <c r="AV3562" i="1"/>
  <c r="AW3562" i="1"/>
  <c r="AU3563" i="1"/>
  <c r="AV3563" i="1"/>
  <c r="AW3563" i="1"/>
  <c r="AU3564" i="1"/>
  <c r="AV3564" i="1"/>
  <c r="AW3564" i="1"/>
  <c r="AU3565" i="1"/>
  <c r="AV3565" i="1"/>
  <c r="AW3565" i="1"/>
  <c r="AU3566" i="1"/>
  <c r="AV3566" i="1"/>
  <c r="AW3566" i="1"/>
  <c r="AU3567" i="1"/>
  <c r="AV3567" i="1"/>
  <c r="AW3567" i="1"/>
  <c r="AU3568" i="1"/>
  <c r="AV3568" i="1"/>
  <c r="AW3568" i="1"/>
  <c r="AU3569" i="1"/>
  <c r="AV3569" i="1"/>
  <c r="AW3569" i="1"/>
  <c r="AU3570" i="1"/>
  <c r="AV3570" i="1"/>
  <c r="AW3570" i="1"/>
  <c r="AU3571" i="1"/>
  <c r="AV3571" i="1"/>
  <c r="AW3571" i="1"/>
  <c r="AU3572" i="1"/>
  <c r="AV3572" i="1"/>
  <c r="AW3572" i="1"/>
  <c r="AU3573" i="1"/>
  <c r="AV3573" i="1"/>
  <c r="AW3573" i="1"/>
  <c r="AU3574" i="1"/>
  <c r="AV3574" i="1"/>
  <c r="AW3574" i="1"/>
  <c r="AU3575" i="1"/>
  <c r="AV3575" i="1"/>
  <c r="AW3575" i="1"/>
  <c r="AU3576" i="1"/>
  <c r="AV3576" i="1"/>
  <c r="AW3576" i="1"/>
  <c r="AU3577" i="1"/>
  <c r="AV3577" i="1"/>
  <c r="AW3577" i="1"/>
  <c r="AU3578" i="1"/>
  <c r="AV3578" i="1"/>
  <c r="AW3578" i="1"/>
  <c r="AU3579" i="1"/>
  <c r="AV3579" i="1"/>
  <c r="AW3579" i="1"/>
  <c r="AU3580" i="1"/>
  <c r="AV3580" i="1"/>
  <c r="AW3580" i="1"/>
  <c r="AU3581" i="1"/>
  <c r="AV3581" i="1"/>
  <c r="AW3581" i="1"/>
  <c r="AU3582" i="1"/>
  <c r="AV3582" i="1"/>
  <c r="AW3582" i="1"/>
  <c r="AU3583" i="1"/>
  <c r="AV3583" i="1"/>
  <c r="AW3583" i="1"/>
  <c r="AU3584" i="1"/>
  <c r="AV3584" i="1"/>
  <c r="AW3584" i="1"/>
  <c r="AU3585" i="1"/>
  <c r="AV3585" i="1"/>
  <c r="AW3585" i="1"/>
  <c r="AU3586" i="1"/>
  <c r="AV3586" i="1"/>
  <c r="AW3586" i="1"/>
  <c r="AU3587" i="1"/>
  <c r="AV3587" i="1"/>
  <c r="AW3587" i="1"/>
  <c r="AU3588" i="1"/>
  <c r="AV3588" i="1"/>
  <c r="AW3588" i="1"/>
  <c r="AU3589" i="1"/>
  <c r="AV3589" i="1"/>
  <c r="AW3589" i="1"/>
  <c r="AU3590" i="1"/>
  <c r="AV3590" i="1"/>
  <c r="AW3590" i="1"/>
  <c r="AU3591" i="1"/>
  <c r="AV3591" i="1"/>
  <c r="AW3591" i="1"/>
  <c r="AU3592" i="1"/>
  <c r="AV3592" i="1"/>
  <c r="AW3592" i="1"/>
  <c r="AU3593" i="1"/>
  <c r="AV3593" i="1"/>
  <c r="AW3593" i="1"/>
  <c r="AU3594" i="1"/>
  <c r="AV3594" i="1"/>
  <c r="AW3594" i="1"/>
  <c r="AU3595" i="1"/>
  <c r="AV3595" i="1"/>
  <c r="AW3595" i="1"/>
  <c r="AU3596" i="1"/>
  <c r="AV3596" i="1"/>
  <c r="AW3596" i="1"/>
  <c r="AU3597" i="1"/>
  <c r="AV3597" i="1"/>
  <c r="AW3597" i="1"/>
  <c r="AU3598" i="1"/>
  <c r="AV3598" i="1"/>
  <c r="AW3598" i="1"/>
  <c r="AU3599" i="1"/>
  <c r="AV3599" i="1"/>
  <c r="AW3599" i="1"/>
  <c r="AU3600" i="1"/>
  <c r="AV3600" i="1"/>
  <c r="AW3600" i="1"/>
  <c r="AU3601" i="1"/>
  <c r="AV3601" i="1"/>
  <c r="AW3601" i="1"/>
  <c r="AU3602" i="1"/>
  <c r="AV3602" i="1"/>
  <c r="AW3602" i="1"/>
  <c r="AU3603" i="1"/>
  <c r="AV3603" i="1"/>
  <c r="AW3603" i="1"/>
  <c r="AU3604" i="1"/>
  <c r="AV3604" i="1"/>
  <c r="AW3604" i="1"/>
  <c r="AU3605" i="1"/>
  <c r="AV3605" i="1"/>
  <c r="AW3605" i="1"/>
  <c r="AU3606" i="1"/>
  <c r="AV3606" i="1"/>
  <c r="AW3606" i="1"/>
  <c r="AU3607" i="1"/>
  <c r="AV3607" i="1"/>
  <c r="AW3607" i="1"/>
  <c r="AU3608" i="1"/>
  <c r="AV3608" i="1"/>
  <c r="AW3608" i="1"/>
  <c r="AU3609" i="1"/>
  <c r="AV3609" i="1"/>
  <c r="AW3609" i="1"/>
  <c r="AU3610" i="1"/>
  <c r="AV3610" i="1"/>
  <c r="AW3610" i="1"/>
  <c r="AU3611" i="1"/>
  <c r="AV3611" i="1"/>
  <c r="AW3611" i="1"/>
  <c r="AU3612" i="1"/>
  <c r="AV3612" i="1"/>
  <c r="AW3612" i="1"/>
  <c r="AU3613" i="1"/>
  <c r="AV3613" i="1"/>
  <c r="AW3613" i="1"/>
  <c r="AU3614" i="1"/>
  <c r="AV3614" i="1"/>
  <c r="AW3614" i="1"/>
  <c r="AU3615" i="1"/>
  <c r="AV3615" i="1"/>
  <c r="AW3615" i="1"/>
  <c r="AU3616" i="1"/>
  <c r="AV3616" i="1"/>
  <c r="AW3616" i="1"/>
  <c r="AU3617" i="1"/>
  <c r="AV3617" i="1"/>
  <c r="AW3617" i="1"/>
  <c r="AU3618" i="1"/>
  <c r="AV3618" i="1"/>
  <c r="AW3618" i="1"/>
  <c r="AU3619" i="1"/>
  <c r="AV3619" i="1"/>
  <c r="AW3619" i="1"/>
  <c r="AU3620" i="1"/>
  <c r="AV3620" i="1"/>
  <c r="AW3620" i="1"/>
  <c r="AU3621" i="1"/>
  <c r="AV3621" i="1"/>
  <c r="AW3621" i="1"/>
  <c r="AU3622" i="1"/>
  <c r="AV3622" i="1"/>
  <c r="AW3622" i="1"/>
  <c r="AU3623" i="1"/>
  <c r="AV3623" i="1"/>
  <c r="AW3623" i="1"/>
  <c r="AU3624" i="1"/>
  <c r="AV3624" i="1"/>
  <c r="AW3624" i="1"/>
  <c r="AU3625" i="1"/>
  <c r="AV3625" i="1"/>
  <c r="AW3625" i="1"/>
  <c r="AU3626" i="1"/>
  <c r="AV3626" i="1"/>
  <c r="AW3626" i="1"/>
  <c r="AU3627" i="1"/>
  <c r="AV3627" i="1"/>
  <c r="AW3627" i="1"/>
  <c r="AU3628" i="1"/>
  <c r="AV3628" i="1"/>
  <c r="AW3628" i="1"/>
  <c r="AU3629" i="1"/>
  <c r="AV3629" i="1"/>
  <c r="AW3629" i="1"/>
  <c r="AU3630" i="1"/>
  <c r="AV3630" i="1"/>
  <c r="AW3630" i="1"/>
  <c r="AU3631" i="1"/>
  <c r="AV3631" i="1"/>
  <c r="AW3631" i="1"/>
  <c r="AU3632" i="1"/>
  <c r="AV3632" i="1"/>
  <c r="AW3632" i="1"/>
  <c r="AU3633" i="1"/>
  <c r="AV3633" i="1"/>
  <c r="AW3633" i="1"/>
  <c r="AU3634" i="1"/>
  <c r="AV3634" i="1"/>
  <c r="AW3634" i="1"/>
  <c r="AU3635" i="1"/>
  <c r="AV3635" i="1"/>
  <c r="AW3635" i="1"/>
  <c r="AU3636" i="1"/>
  <c r="AV3636" i="1"/>
  <c r="AW3636" i="1"/>
  <c r="AU3637" i="1"/>
  <c r="AV3637" i="1"/>
  <c r="AW3637" i="1"/>
  <c r="AU3638" i="1"/>
  <c r="AV3638" i="1"/>
  <c r="AW3638" i="1"/>
  <c r="AU3639" i="1"/>
  <c r="AV3639" i="1"/>
  <c r="AW3639" i="1"/>
  <c r="AU3640" i="1"/>
  <c r="AV3640" i="1"/>
  <c r="AW3640" i="1"/>
  <c r="AU3641" i="1"/>
  <c r="AV3641" i="1"/>
  <c r="AW3641" i="1"/>
  <c r="AU3642" i="1"/>
  <c r="AV3642" i="1"/>
  <c r="AW3642" i="1"/>
  <c r="AU3643" i="1"/>
  <c r="AV3643" i="1"/>
  <c r="AW3643" i="1"/>
  <c r="AU3644" i="1"/>
  <c r="AV3644" i="1"/>
  <c r="AW3644" i="1"/>
  <c r="AU3645" i="1"/>
  <c r="AV3645" i="1"/>
  <c r="AW3645" i="1"/>
  <c r="AU3646" i="1"/>
  <c r="AV3646" i="1"/>
  <c r="AW3646" i="1"/>
  <c r="AU3647" i="1"/>
  <c r="AV3647" i="1"/>
  <c r="AW3647" i="1"/>
  <c r="AU3648" i="1"/>
  <c r="AV3648" i="1"/>
  <c r="AW3648" i="1"/>
  <c r="AU3649" i="1"/>
  <c r="AV3649" i="1"/>
  <c r="AW3649" i="1"/>
  <c r="AU3650" i="1"/>
  <c r="AV3650" i="1"/>
  <c r="AW3650" i="1"/>
  <c r="AU3651" i="1"/>
  <c r="AV3651" i="1"/>
  <c r="AW3651" i="1"/>
  <c r="AU3652" i="1"/>
  <c r="AV3652" i="1"/>
  <c r="AW3652" i="1"/>
  <c r="AU3653" i="1"/>
  <c r="AV3653" i="1"/>
  <c r="AW3653" i="1"/>
  <c r="AU3654" i="1"/>
  <c r="AV3654" i="1"/>
  <c r="AW3654" i="1"/>
  <c r="AU3655" i="1"/>
  <c r="AV3655" i="1"/>
  <c r="AW3655" i="1"/>
  <c r="AU3656" i="1"/>
  <c r="AV3656" i="1"/>
  <c r="AW3656" i="1"/>
  <c r="AU3657" i="1"/>
  <c r="AV3657" i="1"/>
  <c r="AW3657" i="1"/>
  <c r="AU3658" i="1"/>
  <c r="AV3658" i="1"/>
  <c r="AW3658" i="1"/>
  <c r="AU3659" i="1"/>
  <c r="AV3659" i="1"/>
  <c r="AW3659" i="1"/>
  <c r="AU3660" i="1"/>
  <c r="AV3660" i="1"/>
  <c r="AW3660" i="1"/>
  <c r="AU3661" i="1"/>
  <c r="AV3661" i="1"/>
  <c r="AW3661" i="1"/>
  <c r="AU3662" i="1"/>
  <c r="AV3662" i="1"/>
  <c r="AW3662" i="1"/>
  <c r="AU3663" i="1"/>
  <c r="AV3663" i="1"/>
  <c r="AW3663" i="1"/>
  <c r="AU3664" i="1"/>
  <c r="AV3664" i="1"/>
  <c r="AW3664" i="1"/>
  <c r="AU3665" i="1"/>
  <c r="AV3665" i="1"/>
  <c r="AW3665" i="1"/>
  <c r="AU3666" i="1"/>
  <c r="AV3666" i="1"/>
  <c r="AW3666" i="1"/>
  <c r="AU3667" i="1"/>
  <c r="AV3667" i="1"/>
  <c r="AW3667" i="1"/>
  <c r="AU3668" i="1"/>
  <c r="AV3668" i="1"/>
  <c r="AW3668" i="1"/>
  <c r="AU3669" i="1"/>
  <c r="AV3669" i="1"/>
  <c r="AW3669" i="1"/>
  <c r="AU3670" i="1"/>
  <c r="AV3670" i="1"/>
  <c r="AW3670" i="1"/>
  <c r="AU3671" i="1"/>
  <c r="AV3671" i="1"/>
  <c r="AW3671" i="1"/>
  <c r="AU3672" i="1"/>
  <c r="AV3672" i="1"/>
  <c r="AW3672" i="1"/>
  <c r="AU3673" i="1"/>
  <c r="AV3673" i="1"/>
  <c r="AW3673" i="1"/>
  <c r="AU3674" i="1"/>
  <c r="AV3674" i="1"/>
  <c r="AW3674" i="1"/>
  <c r="AU3675" i="1"/>
  <c r="AV3675" i="1"/>
  <c r="AW3675" i="1"/>
  <c r="AU3676" i="1"/>
  <c r="AV3676" i="1"/>
  <c r="AW3676" i="1"/>
  <c r="AU3677" i="1"/>
  <c r="AV3677" i="1"/>
  <c r="AW3677" i="1"/>
  <c r="AU3678" i="1"/>
  <c r="AV3678" i="1"/>
  <c r="AW3678" i="1"/>
  <c r="AU3679" i="1"/>
  <c r="AV3679" i="1"/>
  <c r="AW3679" i="1"/>
  <c r="AU3680" i="1"/>
  <c r="AV3680" i="1"/>
  <c r="AW3680" i="1"/>
  <c r="AU3681" i="1"/>
  <c r="AV3681" i="1"/>
  <c r="AW3681" i="1"/>
  <c r="AU3682" i="1"/>
  <c r="AV3682" i="1"/>
  <c r="AW3682" i="1"/>
  <c r="AU3683" i="1"/>
  <c r="AV3683" i="1"/>
  <c r="AW3683" i="1"/>
  <c r="AU3684" i="1"/>
  <c r="AV3684" i="1"/>
  <c r="AW3684" i="1"/>
  <c r="AU3685" i="1"/>
  <c r="AV3685" i="1"/>
  <c r="AW3685" i="1"/>
  <c r="AU3686" i="1"/>
  <c r="AV3686" i="1"/>
  <c r="AW3686" i="1"/>
  <c r="AU3687" i="1"/>
  <c r="AV3687" i="1"/>
  <c r="AW3687" i="1"/>
  <c r="AU3688" i="1"/>
  <c r="AV3688" i="1"/>
  <c r="AW3688" i="1"/>
  <c r="AU3689" i="1"/>
  <c r="AV3689" i="1"/>
  <c r="AW3689" i="1"/>
  <c r="AU3690" i="1"/>
  <c r="AV3690" i="1"/>
  <c r="AW3690" i="1"/>
  <c r="AU3691" i="1"/>
  <c r="AV3691" i="1"/>
  <c r="AW3691" i="1"/>
  <c r="AU3692" i="1"/>
  <c r="AV3692" i="1"/>
  <c r="AW3692" i="1"/>
  <c r="AU3693" i="1"/>
  <c r="AV3693" i="1"/>
  <c r="AW3693" i="1"/>
  <c r="AU3694" i="1"/>
  <c r="AV3694" i="1"/>
  <c r="AW3694" i="1"/>
  <c r="AU3695" i="1"/>
  <c r="AV3695" i="1"/>
  <c r="AW3695" i="1"/>
  <c r="AU3696" i="1"/>
  <c r="AV3696" i="1"/>
  <c r="AW3696" i="1"/>
  <c r="AU3697" i="1"/>
  <c r="AV3697" i="1"/>
  <c r="AW3697" i="1"/>
  <c r="AU3698" i="1"/>
  <c r="AV3698" i="1"/>
  <c r="AW3698" i="1"/>
  <c r="AU3699" i="1"/>
  <c r="AV3699" i="1"/>
  <c r="AW3699" i="1"/>
  <c r="AU3700" i="1"/>
  <c r="AV3700" i="1"/>
  <c r="AW3700" i="1"/>
  <c r="AU3701" i="1"/>
  <c r="AV3701" i="1"/>
  <c r="AW3701" i="1"/>
  <c r="AU3702" i="1"/>
  <c r="AV3702" i="1"/>
  <c r="AW3702" i="1"/>
  <c r="AU3703" i="1"/>
  <c r="AV3703" i="1"/>
  <c r="AW3703" i="1"/>
  <c r="AU3704" i="1"/>
  <c r="AV3704" i="1"/>
  <c r="AW3704" i="1"/>
  <c r="AU3705" i="1"/>
  <c r="AV3705" i="1"/>
  <c r="AW3705" i="1"/>
  <c r="AU3706" i="1"/>
  <c r="AV3706" i="1"/>
  <c r="AW3706" i="1"/>
  <c r="AU3707" i="1"/>
  <c r="AV3707" i="1"/>
  <c r="AW3707" i="1"/>
  <c r="AU3708" i="1"/>
  <c r="AV3708" i="1"/>
  <c r="AW3708" i="1"/>
  <c r="AU3709" i="1"/>
  <c r="AV3709" i="1"/>
  <c r="AW3709" i="1"/>
  <c r="AU3710" i="1"/>
  <c r="AV3710" i="1"/>
  <c r="AW3710" i="1"/>
  <c r="AU3711" i="1"/>
  <c r="AV3711" i="1"/>
  <c r="AW3711" i="1"/>
  <c r="AU3712" i="1"/>
  <c r="AV3712" i="1"/>
  <c r="AW3712" i="1"/>
  <c r="AU3713" i="1"/>
  <c r="AV3713" i="1"/>
  <c r="AW3713" i="1"/>
  <c r="AU3714" i="1"/>
  <c r="AV3714" i="1"/>
  <c r="AW3714" i="1"/>
  <c r="AU3715" i="1"/>
  <c r="AV3715" i="1"/>
  <c r="AW3715" i="1"/>
  <c r="AU3716" i="1"/>
  <c r="AV3716" i="1"/>
  <c r="AW3716" i="1"/>
  <c r="AU3717" i="1"/>
  <c r="AV3717" i="1"/>
  <c r="AW3717" i="1"/>
  <c r="AU3718" i="1"/>
  <c r="AV3718" i="1"/>
  <c r="AW3718" i="1"/>
  <c r="AU3719" i="1"/>
  <c r="AV3719" i="1"/>
  <c r="AW3719" i="1"/>
  <c r="AU3720" i="1"/>
  <c r="AV3720" i="1"/>
  <c r="AW3720" i="1"/>
  <c r="AU3721" i="1"/>
  <c r="AV3721" i="1"/>
  <c r="AW3721" i="1"/>
  <c r="AU3722" i="1"/>
  <c r="AV3722" i="1"/>
  <c r="AW3722" i="1"/>
  <c r="AU3723" i="1"/>
  <c r="AV3723" i="1"/>
  <c r="AW3723" i="1"/>
  <c r="AU3724" i="1"/>
  <c r="AV3724" i="1"/>
  <c r="AW3724" i="1"/>
  <c r="AU3725" i="1"/>
  <c r="AV3725" i="1"/>
  <c r="AW3725" i="1"/>
  <c r="AU3726" i="1"/>
  <c r="AV3726" i="1"/>
  <c r="AW3726" i="1"/>
  <c r="AU3727" i="1"/>
  <c r="AV3727" i="1"/>
  <c r="AW3727" i="1"/>
  <c r="AU3728" i="1"/>
  <c r="AV3728" i="1"/>
  <c r="AW3728" i="1"/>
  <c r="AU3729" i="1"/>
  <c r="AV3729" i="1"/>
  <c r="AW3729" i="1"/>
  <c r="AU3730" i="1"/>
  <c r="AV3730" i="1"/>
  <c r="AW3730" i="1"/>
  <c r="AU3731" i="1"/>
  <c r="AV3731" i="1"/>
  <c r="AW3731" i="1"/>
  <c r="AU3732" i="1"/>
  <c r="AV3732" i="1"/>
  <c r="AW3732" i="1"/>
  <c r="AU3733" i="1"/>
  <c r="AV3733" i="1"/>
  <c r="AW3733" i="1"/>
  <c r="AU3734" i="1"/>
  <c r="AV3734" i="1"/>
  <c r="AW3734" i="1"/>
  <c r="AU3735" i="1"/>
  <c r="AV3735" i="1"/>
  <c r="AW3735" i="1"/>
  <c r="AU3736" i="1"/>
  <c r="AV3736" i="1"/>
  <c r="AW3736" i="1"/>
  <c r="AU3737" i="1"/>
  <c r="AV3737" i="1"/>
  <c r="AW3737" i="1"/>
  <c r="AU3738" i="1"/>
  <c r="AV3738" i="1"/>
  <c r="AW3738" i="1"/>
  <c r="AU3739" i="1"/>
  <c r="AV3739" i="1"/>
  <c r="AW3739" i="1"/>
  <c r="AU3740" i="1"/>
  <c r="AV3740" i="1"/>
  <c r="AW3740" i="1"/>
  <c r="AU3741" i="1"/>
  <c r="AV3741" i="1"/>
  <c r="AW3741" i="1"/>
  <c r="AU3742" i="1"/>
  <c r="AV3742" i="1"/>
  <c r="AW3742" i="1"/>
  <c r="AU3743" i="1"/>
  <c r="AV3743" i="1"/>
  <c r="AW3743" i="1"/>
  <c r="AU3744" i="1"/>
  <c r="AV3744" i="1"/>
  <c r="AW3744" i="1"/>
  <c r="AU3745" i="1"/>
  <c r="AV3745" i="1"/>
  <c r="AW3745" i="1"/>
  <c r="AU3746" i="1"/>
  <c r="AV3746" i="1"/>
  <c r="AW3746" i="1"/>
  <c r="AU3747" i="1"/>
  <c r="AV3747" i="1"/>
  <c r="AW3747" i="1"/>
  <c r="AU3748" i="1"/>
  <c r="AV3748" i="1"/>
  <c r="AW3748" i="1"/>
  <c r="AU3749" i="1"/>
  <c r="AV3749" i="1"/>
  <c r="AW3749" i="1"/>
  <c r="AU3750" i="1"/>
  <c r="AV3750" i="1"/>
  <c r="AW3750" i="1"/>
  <c r="AU3751" i="1"/>
  <c r="AV3751" i="1"/>
  <c r="AW3751" i="1"/>
  <c r="AU3752" i="1"/>
  <c r="AV3752" i="1"/>
  <c r="AW3752" i="1"/>
  <c r="AU3753" i="1"/>
  <c r="AV3753" i="1"/>
  <c r="AW3753" i="1"/>
  <c r="AU3754" i="1"/>
  <c r="AV3754" i="1"/>
  <c r="AW3754" i="1"/>
  <c r="AU3755" i="1"/>
  <c r="AV3755" i="1"/>
  <c r="AW3755" i="1"/>
  <c r="AU3756" i="1"/>
  <c r="AV3756" i="1"/>
  <c r="AW3756" i="1"/>
  <c r="AU3757" i="1"/>
  <c r="AV3757" i="1"/>
  <c r="AW3757" i="1"/>
  <c r="AU3758" i="1"/>
  <c r="AV3758" i="1"/>
  <c r="AW3758" i="1"/>
  <c r="AU3759" i="1"/>
  <c r="AV3759" i="1"/>
  <c r="AW3759" i="1"/>
  <c r="AU3760" i="1"/>
  <c r="AV3760" i="1"/>
  <c r="AW3760" i="1"/>
  <c r="AU3761" i="1"/>
  <c r="AV3761" i="1"/>
  <c r="AW3761" i="1"/>
  <c r="AU3762" i="1"/>
  <c r="AV3762" i="1"/>
  <c r="AW3762" i="1"/>
  <c r="AU3763" i="1"/>
  <c r="AV3763" i="1"/>
  <c r="AW3763" i="1"/>
  <c r="AU3764" i="1"/>
  <c r="AV3764" i="1"/>
  <c r="AW3764" i="1"/>
  <c r="AU3765" i="1"/>
  <c r="AV3765" i="1"/>
  <c r="AW3765" i="1"/>
  <c r="AU3766" i="1"/>
  <c r="AV3766" i="1"/>
  <c r="AW3766" i="1"/>
  <c r="AU3767" i="1"/>
  <c r="AV3767" i="1"/>
  <c r="AW3767" i="1"/>
  <c r="AU3768" i="1"/>
  <c r="AV3768" i="1"/>
  <c r="AW3768" i="1"/>
  <c r="AU3769" i="1"/>
  <c r="AV3769" i="1"/>
  <c r="AW3769" i="1"/>
  <c r="AU3770" i="1"/>
  <c r="AV3770" i="1"/>
  <c r="AW3770" i="1"/>
  <c r="AU3771" i="1"/>
  <c r="AV3771" i="1"/>
  <c r="AW3771" i="1"/>
  <c r="AU3772" i="1"/>
  <c r="AV3772" i="1"/>
  <c r="AW3772" i="1"/>
  <c r="AU3773" i="1"/>
  <c r="AV3773" i="1"/>
  <c r="AW3773" i="1"/>
  <c r="AU3774" i="1"/>
  <c r="AV3774" i="1"/>
  <c r="AW3774" i="1"/>
  <c r="AU3775" i="1"/>
  <c r="AV3775" i="1"/>
  <c r="AW3775" i="1"/>
  <c r="G57" i="2" l="1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56" i="2"/>
  <c r="F7" i="2" l="1"/>
  <c r="G7" i="2"/>
  <c r="H7" i="2" s="1"/>
  <c r="B3" i="2" l="1"/>
  <c r="B5" i="2" l="1"/>
  <c r="B4" i="2"/>
  <c r="F57" i="2" l="1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57" i="2"/>
  <c r="E58" i="2"/>
  <c r="E59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F56" i="2"/>
  <c r="E56" i="2"/>
  <c r="D56" i="2"/>
  <c r="C56" i="2"/>
  <c r="B56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35" i="2"/>
  <c r="C36" i="2"/>
  <c r="C37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I34" i="2"/>
  <c r="H34" i="2"/>
  <c r="G34" i="2"/>
  <c r="F34" i="2"/>
  <c r="E34" i="2"/>
  <c r="D34" i="2"/>
  <c r="C34" i="2"/>
  <c r="B34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12" i="2"/>
  <c r="C18" i="2"/>
  <c r="C19" i="2"/>
  <c r="C20" i="2"/>
  <c r="C21" i="2"/>
  <c r="C22" i="2"/>
  <c r="C23" i="2"/>
  <c r="C24" i="2"/>
  <c r="C25" i="2"/>
  <c r="C26" i="2"/>
  <c r="C27" i="2"/>
  <c r="C28" i="2"/>
  <c r="C29" i="2"/>
  <c r="C13" i="2"/>
  <c r="C14" i="2"/>
  <c r="C15" i="2"/>
  <c r="C16" i="2"/>
  <c r="C17" i="2"/>
  <c r="C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12" i="2"/>
  <c r="H68" i="2" l="1"/>
  <c r="H64" i="2"/>
  <c r="H71" i="2"/>
  <c r="H67" i="2"/>
  <c r="H63" i="2"/>
  <c r="H59" i="2"/>
  <c r="H72" i="2"/>
  <c r="H60" i="2"/>
  <c r="H56" i="2"/>
  <c r="H70" i="2"/>
  <c r="H66" i="2"/>
  <c r="H62" i="2"/>
  <c r="H58" i="2"/>
  <c r="H73" i="2"/>
  <c r="H69" i="2"/>
  <c r="H65" i="2"/>
  <c r="H61" i="2"/>
  <c r="H57" i="2"/>
  <c r="G6" i="2"/>
  <c r="G5" i="2"/>
  <c r="G4" i="2"/>
  <c r="G3" i="2"/>
  <c r="G2" i="2"/>
  <c r="F6" i="2"/>
  <c r="F5" i="2"/>
  <c r="F4" i="2"/>
  <c r="F3" i="2"/>
  <c r="F2" i="2"/>
  <c r="G8" i="2" l="1"/>
  <c r="G74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B30" i="2"/>
  <c r="H30" i="2"/>
  <c r="C30" i="2"/>
  <c r="I30" i="2"/>
  <c r="G30" i="2"/>
  <c r="J30" i="2"/>
  <c r="E30" i="2"/>
  <c r="D30" i="2"/>
  <c r="F30" i="2"/>
  <c r="K30" i="2"/>
  <c r="L30" i="2" l="1"/>
  <c r="F74" i="2"/>
  <c r="E74" i="2"/>
  <c r="D74" i="2"/>
  <c r="C74" i="2"/>
  <c r="B74" i="2"/>
  <c r="I52" i="2"/>
  <c r="H52" i="2"/>
  <c r="G52" i="2"/>
  <c r="F52" i="2"/>
  <c r="E52" i="2"/>
  <c r="D52" i="2"/>
  <c r="C52" i="2"/>
  <c r="B52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34" i="2"/>
  <c r="J52" i="2" l="1"/>
  <c r="H74" i="2"/>
  <c r="H6" i="2"/>
  <c r="H5" i="2"/>
  <c r="H4" i="2"/>
  <c r="H3" i="2"/>
  <c r="H2" i="2"/>
  <c r="H8" i="2" l="1"/>
  <c r="I3" i="2" s="1"/>
  <c r="I6" i="2" l="1"/>
  <c r="I2" i="2"/>
  <c r="I5" i="2"/>
  <c r="I7" i="2"/>
  <c r="I4" i="2"/>
  <c r="I8" i="2" l="1"/>
</calcChain>
</file>

<file path=xl/sharedStrings.xml><?xml version="1.0" encoding="utf-8"?>
<sst xmlns="http://schemas.openxmlformats.org/spreadsheetml/2006/main" count="24574" uniqueCount="9256">
  <si>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</si>
  <si>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</si>
  <si>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</si>
  <si>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</si>
  <si>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</si>
  <si>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</si>
  <si>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</si>
  <si>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</si>
  <si>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</si>
  <si>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</si>
  <si>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</si>
  <si>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</si>
  <si>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</si>
  <si>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</si>
  <si>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</si>
  <si>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</si>
  <si>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</si>
  <si>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</si>
  <si>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</si>
  <si>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</si>
  <si>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</si>
  <si>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</si>
  <si>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</si>
  <si>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</si>
  <si>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</si>
  <si>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</si>
  <si>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</si>
  <si>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</si>
  <si>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</si>
  <si>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</si>
  <si>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</si>
  <si>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</si>
  <si>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</si>
  <si>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</si>
  <si>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</si>
  <si>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</si>
  <si>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</si>
  <si>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</si>
  <si>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</si>
  <si>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</si>
  <si>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</si>
  <si>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</si>
  <si>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</si>
  <si>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</si>
  <si>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</si>
  <si>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</si>
  <si>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</si>
  <si>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</si>
  <si>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</si>
  <si>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</si>
  <si>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</si>
  <si>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</si>
  <si>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</si>
  <si>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</si>
  <si>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</si>
  <si>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</si>
  <si>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</si>
  <si>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</si>
  <si>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</si>
  <si>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</si>
  <si>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</si>
  <si>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</si>
  <si>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</si>
  <si>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</si>
  <si>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</si>
  <si>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</si>
  <si>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</si>
  <si>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</si>
  <si>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</si>
  <si>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</si>
  <si>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</si>
  <si>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</si>
  <si>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</si>
  <si>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</si>
  <si>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</si>
  <si>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</si>
  <si>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</si>
  <si>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</si>
  <si>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</si>
  <si>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</si>
  <si>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</si>
  <si>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</si>
  <si>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</si>
  <si>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</si>
  <si>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</si>
  <si>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</si>
  <si>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</si>
  <si>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</si>
  <si>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</si>
  <si>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IQ-P00349</t>
  </si>
  <si>
    <t>Al Ubaydi-2</t>
  </si>
  <si>
    <t xml:space="preserve">مرحلة الثانية </t>
  </si>
  <si>
    <t>IQ-P00350</t>
  </si>
  <si>
    <t>Al Ubaydi-3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</si>
  <si>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</si>
  <si>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</si>
  <si>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</si>
  <si>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</si>
  <si>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</si>
  <si>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</si>
  <si>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</si>
  <si>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</si>
  <si>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</si>
  <si>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</si>
  <si>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</si>
  <si>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</si>
  <si>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</si>
  <si>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</si>
  <si>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</si>
  <si>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</si>
  <si>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</si>
  <si>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</si>
  <si>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</si>
  <si>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</si>
  <si>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</si>
  <si>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</si>
  <si>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</si>
  <si>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</si>
  <si>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</si>
  <si>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</si>
  <si>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</si>
  <si>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</si>
  <si>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</si>
  <si>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</si>
  <si>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</si>
  <si>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</si>
  <si>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</si>
  <si>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</si>
  <si>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</si>
  <si>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</si>
  <si>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</si>
  <si>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</si>
  <si>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</si>
  <si>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</si>
  <si>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</si>
  <si>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</si>
  <si>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</si>
  <si>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</si>
  <si>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</si>
  <si>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</si>
  <si>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</si>
  <si>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</si>
  <si>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</si>
  <si>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</si>
  <si>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</si>
  <si>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</si>
  <si>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</si>
  <si>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</si>
  <si>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</si>
  <si>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</si>
  <si>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</si>
  <si>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</si>
  <si>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</si>
  <si>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</si>
  <si>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</si>
  <si>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</si>
  <si>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</si>
  <si>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</si>
  <si>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</si>
  <si>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</si>
  <si>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</si>
  <si>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</si>
  <si>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</si>
  <si>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</si>
  <si>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</si>
  <si>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</si>
  <si>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</si>
  <si>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Habaria</t>
  </si>
  <si>
    <t>الهبارية</t>
  </si>
  <si>
    <t>Al kasra</t>
  </si>
  <si>
    <t>الكسرة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</si>
  <si>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</si>
  <si>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</si>
  <si>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</si>
  <si>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</si>
  <si>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</si>
  <si>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</si>
  <si>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</si>
  <si>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</si>
  <si>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</si>
  <si>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</si>
  <si>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</si>
  <si>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</si>
  <si>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</si>
  <si>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</si>
  <si>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</si>
  <si>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</si>
  <si>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</si>
  <si>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</si>
  <si>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</si>
  <si>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</si>
  <si>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</si>
  <si>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</si>
  <si>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</si>
  <si>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</si>
  <si>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</si>
  <si>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</si>
  <si>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</si>
  <si>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</si>
  <si>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</si>
  <si>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</si>
  <si>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</si>
  <si>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</si>
  <si>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</si>
  <si>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</si>
  <si>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</si>
  <si>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</si>
  <si>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</si>
  <si>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</si>
  <si>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</si>
  <si>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</si>
  <si>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</si>
  <si>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</si>
  <si>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</si>
  <si>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</si>
  <si>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</si>
  <si>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</si>
  <si>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</si>
  <si>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</si>
  <si>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</si>
  <si>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</si>
  <si>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</si>
  <si>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</si>
  <si>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</si>
  <si>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</si>
  <si>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</si>
  <si>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</si>
  <si>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</si>
  <si>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</si>
  <si>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</si>
  <si>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</si>
  <si>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</si>
  <si>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</si>
  <si>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</si>
  <si>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</si>
  <si>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</si>
  <si>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</si>
  <si>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</si>
  <si>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</si>
  <si>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</si>
  <si>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</si>
  <si>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</si>
  <si>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</si>
  <si>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</si>
  <si>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</si>
  <si>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</si>
  <si>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</si>
  <si>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</si>
  <si>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</si>
  <si>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</si>
  <si>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</si>
  <si>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</si>
  <si>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</si>
  <si>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</si>
  <si>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</si>
  <si>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</si>
  <si>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IQ-P00037</t>
  </si>
  <si>
    <t>Al Mualmeen</t>
  </si>
  <si>
    <t xml:space="preserve">حي المعلمين </t>
  </si>
  <si>
    <t>IQ-P00039</t>
  </si>
  <si>
    <t>Al Shurta</t>
  </si>
  <si>
    <t>حي الشرطة</t>
  </si>
  <si>
    <t>IQ-P00048</t>
  </si>
  <si>
    <t>حي الاكراد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</si>
  <si>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</si>
  <si>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</si>
  <si>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</si>
  <si>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</si>
  <si>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</si>
  <si>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</si>
  <si>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</si>
  <si>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</si>
  <si>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</si>
  <si>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</si>
  <si>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</si>
  <si>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</si>
  <si>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</si>
  <si>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</si>
  <si>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</si>
  <si>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</si>
  <si>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</si>
  <si>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</si>
  <si>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</si>
  <si>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</si>
  <si>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</si>
  <si>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</si>
  <si>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</si>
  <si>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</si>
  <si>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</si>
  <si>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</si>
  <si>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</si>
  <si>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</si>
  <si>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</si>
  <si>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</si>
  <si>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</si>
  <si>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</si>
  <si>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</si>
  <si>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</si>
  <si>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</si>
  <si>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</si>
  <si>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</si>
  <si>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</si>
  <si>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حي المعتصم</t>
  </si>
  <si>
    <t>Al-Rufa</t>
  </si>
  <si>
    <t>الروفة</t>
  </si>
  <si>
    <t>IQ-P00105</t>
  </si>
  <si>
    <t>الشهابي الاولى</t>
  </si>
  <si>
    <t>IQ-P00106</t>
  </si>
  <si>
    <t xml:space="preserve">الشهابي الثانية </t>
  </si>
  <si>
    <t>IQ-P00107</t>
  </si>
  <si>
    <t>Al-Shurtan</t>
  </si>
  <si>
    <t xml:space="preserve">الشورتان </t>
  </si>
  <si>
    <t>IQ-P00110</t>
  </si>
  <si>
    <t>حي الوحدة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</si>
  <si>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</si>
  <si>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</si>
  <si>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</si>
  <si>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</si>
  <si>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</si>
  <si>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</si>
  <si>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</si>
  <si>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</si>
  <si>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</si>
  <si>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</si>
  <si>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</si>
  <si>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</si>
  <si>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</si>
  <si>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</si>
  <si>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</si>
  <si>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</si>
  <si>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</si>
  <si>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</si>
  <si>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</si>
  <si>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</si>
  <si>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</si>
  <si>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</si>
  <si>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</si>
  <si>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</si>
  <si>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</si>
  <si>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</si>
  <si>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</si>
  <si>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</si>
  <si>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</si>
  <si>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IQ-P00072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</si>
  <si>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</si>
  <si>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</si>
  <si>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</si>
  <si>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</si>
  <si>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</si>
  <si>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</si>
  <si>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</si>
  <si>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</si>
  <si>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</si>
  <si>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</si>
  <si>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</si>
  <si>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</si>
  <si>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IQ-P00059</t>
  </si>
  <si>
    <t>Door Al Sikik Area</t>
  </si>
  <si>
    <t>دور السكك</t>
  </si>
  <si>
    <t>IQ-P00121</t>
  </si>
  <si>
    <t xml:space="preserve">قرية الحلابسة </t>
  </si>
  <si>
    <t>IQ-P00128</t>
  </si>
  <si>
    <t>الصمود</t>
  </si>
  <si>
    <t>IQ-P00156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</si>
  <si>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</si>
  <si>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</si>
  <si>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</si>
  <si>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</si>
  <si>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</si>
  <si>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</si>
  <si>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Mujamma Al Therthar Al Sakani</t>
  </si>
  <si>
    <t>مجمع الثرثار السكني</t>
  </si>
  <si>
    <t>IQ-P00161</t>
  </si>
  <si>
    <t>Nazal</t>
  </si>
  <si>
    <t>حي نزال</t>
  </si>
  <si>
    <t>IQ-P00163</t>
  </si>
  <si>
    <t>Neeamiya</t>
  </si>
  <si>
    <t xml:space="preserve">النعيمية </t>
  </si>
  <si>
    <t>IQ-P00164</t>
  </si>
  <si>
    <t>Qaryat Al-Jaffa</t>
  </si>
  <si>
    <t xml:space="preserve">الجفة </t>
  </si>
  <si>
    <t>IQ-P00168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</si>
  <si>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</si>
  <si>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</si>
  <si>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</si>
  <si>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</si>
  <si>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</si>
  <si>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</si>
  <si>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</si>
  <si>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</si>
  <si>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</si>
  <si>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</si>
  <si>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</si>
  <si>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</si>
  <si>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</si>
  <si>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Al Khaldiyah Village</t>
  </si>
  <si>
    <t>قرية الخالدية</t>
  </si>
  <si>
    <t>Al Khansaa</t>
  </si>
  <si>
    <t>حي الخنساء</t>
  </si>
  <si>
    <t>Al Shamiyah Village</t>
  </si>
  <si>
    <t>قرية الشامية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</si>
  <si>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</si>
  <si>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</si>
  <si>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</si>
  <si>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</si>
  <si>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</si>
  <si>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</si>
  <si>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</si>
  <si>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</si>
  <si>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</si>
  <si>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</si>
  <si>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</si>
  <si>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</si>
  <si>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</si>
  <si>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</si>
  <si>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</si>
  <si>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</si>
  <si>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</si>
  <si>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IQ-P00190</t>
  </si>
  <si>
    <t>Haqlaniyah- Hay Al-Faroq</t>
  </si>
  <si>
    <t>IQ-P00194</t>
  </si>
  <si>
    <t>IQ-P00193</t>
  </si>
  <si>
    <t>IQ-P00197</t>
  </si>
  <si>
    <t>Hay Al barakah</t>
  </si>
  <si>
    <t>حي البركة</t>
  </si>
  <si>
    <t>Hay Al Haqlaniyah Qadim</t>
  </si>
  <si>
    <t>حي حقلانية القديمة</t>
  </si>
  <si>
    <t>IQ-P00198</t>
  </si>
  <si>
    <t>Hay Al Mustafa</t>
  </si>
  <si>
    <t>حي المصطفى</t>
  </si>
  <si>
    <t>Hay Al Rahman</t>
  </si>
  <si>
    <t>حي الرحمن</t>
  </si>
  <si>
    <t>Hay Al Rifay</t>
  </si>
  <si>
    <t>حي الرفاعي</t>
  </si>
  <si>
    <t>IQ-P00199</t>
  </si>
  <si>
    <t>Hay Al Sadeq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</si>
  <si>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</si>
  <si>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</si>
  <si>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</si>
  <si>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</si>
  <si>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</si>
  <si>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</si>
  <si>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</si>
  <si>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</si>
  <si>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</si>
  <si>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</si>
  <si>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</si>
  <si>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</si>
  <si>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</si>
  <si>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</si>
  <si>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</si>
  <si>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</si>
  <si>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</si>
  <si>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</si>
  <si>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</si>
  <si>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</si>
  <si>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</si>
  <si>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Al-Kurnish</t>
  </si>
  <si>
    <t>حي كورنيش</t>
  </si>
  <si>
    <t>IQ-P00208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</si>
  <si>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</si>
  <si>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</si>
  <si>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</si>
  <si>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</si>
  <si>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</si>
  <si>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</si>
  <si>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</si>
  <si>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</si>
  <si>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</si>
  <si>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</si>
  <si>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</si>
  <si>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</si>
  <si>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</si>
  <si>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</si>
  <si>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</si>
  <si>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</si>
  <si>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</si>
  <si>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</si>
  <si>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</si>
  <si>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</si>
  <si>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Gharbiyah</t>
  </si>
  <si>
    <t>حي بروانه غربيه</t>
  </si>
  <si>
    <t>IQ-P00216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</si>
  <si>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</si>
  <si>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</si>
  <si>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</si>
  <si>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</si>
  <si>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</si>
  <si>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</si>
  <si>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Ibn Bittar</t>
  </si>
  <si>
    <t>حي ابن بيطار</t>
  </si>
  <si>
    <t>IQ-P00219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</si>
  <si>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</si>
  <si>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</si>
  <si>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</si>
  <si>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</si>
  <si>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</si>
  <si>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</si>
  <si>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Jabeel Bani Salih Village</t>
  </si>
  <si>
    <t>قرية جبيل بني صالح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</si>
  <si>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</si>
  <si>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</si>
  <si>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</si>
  <si>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</si>
  <si>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</si>
  <si>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</si>
  <si>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</si>
  <si>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</si>
  <si>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</si>
  <si>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</si>
  <si>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</si>
  <si>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</si>
  <si>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</si>
  <si>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Amrah</t>
  </si>
  <si>
    <t>العامرة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</si>
  <si>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</si>
  <si>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</si>
  <si>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</si>
  <si>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</si>
  <si>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</si>
  <si>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</si>
  <si>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</si>
  <si>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</si>
  <si>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</si>
  <si>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</si>
  <si>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Hitan</t>
  </si>
  <si>
    <t>الحيطان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</si>
  <si>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</si>
  <si>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</si>
  <si>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</si>
  <si>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</si>
  <si>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</si>
  <si>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</si>
  <si>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</si>
  <si>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</si>
  <si>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</si>
  <si>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</si>
  <si>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</si>
  <si>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</si>
  <si>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Sadan</t>
  </si>
  <si>
    <t>السعدان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</si>
  <si>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</si>
  <si>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</si>
  <si>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</si>
  <si>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</si>
  <si>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</si>
  <si>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</si>
  <si>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</si>
  <si>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</si>
  <si>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</si>
  <si>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</si>
  <si>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Al-Aliyah</t>
  </si>
  <si>
    <t>العلية</t>
  </si>
  <si>
    <t>IQ-P00249</t>
  </si>
  <si>
    <t>Al-Hajar</t>
  </si>
  <si>
    <t>الحجر</t>
  </si>
  <si>
    <t>Al-Jananiyah</t>
  </si>
  <si>
    <t>الجنانية</t>
  </si>
  <si>
    <t>IQ-P00252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</si>
  <si>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</si>
  <si>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</si>
  <si>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</si>
  <si>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</si>
  <si>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</si>
  <si>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</si>
  <si>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Al-Mashhad</t>
  </si>
  <si>
    <t>المشهد</t>
  </si>
  <si>
    <t>IQ-P00257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</si>
  <si>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</si>
  <si>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</si>
  <si>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</si>
  <si>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</si>
  <si>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</si>
  <si>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</si>
  <si>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</si>
  <si>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</si>
  <si>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</si>
  <si>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Al-Qutiniyah</t>
  </si>
  <si>
    <t xml:space="preserve">القطنية </t>
  </si>
  <si>
    <t>IQ-P00262</t>
  </si>
  <si>
    <t>الشهداء</t>
  </si>
  <si>
    <t>IQ-P00263</t>
  </si>
  <si>
    <t>Al-Sikak</t>
  </si>
  <si>
    <t>السكك</t>
  </si>
  <si>
    <t>IQ-P00264</t>
  </si>
  <si>
    <t>Al-Tarabshah</t>
  </si>
  <si>
    <t xml:space="preserve">مجمع الطرابشة </t>
  </si>
  <si>
    <t>IQ-P00265</t>
  </si>
  <si>
    <t>Al-Ummal</t>
  </si>
  <si>
    <t xml:space="preserve">العمال </t>
  </si>
  <si>
    <t>IQ-P00266</t>
  </si>
  <si>
    <t>Aqabah</t>
  </si>
  <si>
    <t>العكبة</t>
  </si>
  <si>
    <t>IQ-P00267</t>
  </si>
  <si>
    <t>Bani Khazraj</t>
  </si>
  <si>
    <t>بني خزرج</t>
  </si>
  <si>
    <t>IQ-P00268</t>
  </si>
  <si>
    <t>Basair</t>
  </si>
  <si>
    <t xml:space="preserve">البصائر </t>
  </si>
  <si>
    <t>IQ-P00270</t>
  </si>
  <si>
    <t>Binan</t>
  </si>
  <si>
    <t>بنان</t>
  </si>
  <si>
    <t>IQ-P00273</t>
  </si>
  <si>
    <t>Duweliyah</t>
  </si>
  <si>
    <t xml:space="preserve">دويلية </t>
  </si>
  <si>
    <t>IQ-P00275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</si>
  <si>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</si>
  <si>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</si>
  <si>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</si>
  <si>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</si>
  <si>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</si>
  <si>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</si>
  <si>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</si>
  <si>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</si>
  <si>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</si>
  <si>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</si>
  <si>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</si>
  <si>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</si>
  <si>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</si>
  <si>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</si>
  <si>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</si>
  <si>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</si>
  <si>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</si>
  <si>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</si>
  <si>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</si>
  <si>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</si>
  <si>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</si>
  <si>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</si>
  <si>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</si>
  <si>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</si>
  <si>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</si>
  <si>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</si>
  <si>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</si>
  <si>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</si>
  <si>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</si>
  <si>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</si>
  <si>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</si>
  <si>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</si>
  <si>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</si>
  <si>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</si>
  <si>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</si>
  <si>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</si>
  <si>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</si>
  <si>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</si>
  <si>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</si>
  <si>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</si>
  <si>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</si>
  <si>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</si>
  <si>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</si>
  <si>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</si>
  <si>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>IQ-P00297</t>
  </si>
  <si>
    <t>Hay Al-Sirajiyah</t>
  </si>
  <si>
    <t>السراجية</t>
  </si>
  <si>
    <t>IQ-P00298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</si>
  <si>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</si>
  <si>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</si>
  <si>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</si>
  <si>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</si>
  <si>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</si>
  <si>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</si>
  <si>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</si>
  <si>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</si>
  <si>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</si>
  <si>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</si>
  <si>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</si>
  <si>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</si>
  <si>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</si>
  <si>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Manazil</t>
  </si>
  <si>
    <t>منازل</t>
  </si>
  <si>
    <t>Mualmeen</t>
  </si>
  <si>
    <t>المعلمين</t>
  </si>
  <si>
    <t>IQ-P00320</t>
  </si>
  <si>
    <t>Qaryat Al-Dolab</t>
  </si>
  <si>
    <t xml:space="preserve">الدولاب </t>
  </si>
  <si>
    <t>IQ-P00326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</si>
  <si>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</si>
  <si>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</si>
  <si>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</si>
  <si>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</si>
  <si>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</si>
  <si>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</si>
  <si>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</si>
  <si>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</si>
  <si>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</si>
  <si>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</si>
  <si>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</si>
  <si>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</si>
  <si>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Tal aswad</t>
  </si>
  <si>
    <t>تل اسود</t>
  </si>
  <si>
    <t>IQ-P00338</t>
  </si>
  <si>
    <t>The first jamaiya</t>
  </si>
  <si>
    <t>الجمعية الاولى</t>
  </si>
  <si>
    <t>IQ-P00341</t>
  </si>
  <si>
    <t>Zakhikhah</t>
  </si>
  <si>
    <t>زخيخة</t>
  </si>
  <si>
    <t>IQ-P00344</t>
  </si>
  <si>
    <t>Zoyah Al-gharbiyah</t>
  </si>
  <si>
    <t>زوية الغربية</t>
  </si>
  <si>
    <t>IQ-P00346</t>
  </si>
  <si>
    <t>Zoyah Al-sharqiyah</t>
  </si>
  <si>
    <t xml:space="preserve">زوية الشرقية </t>
  </si>
  <si>
    <t>IQ-P00347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</si>
  <si>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</si>
  <si>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</si>
  <si>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</si>
  <si>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</si>
  <si>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</si>
  <si>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</si>
  <si>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</si>
  <si>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</si>
  <si>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</si>
  <si>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</si>
  <si>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</si>
  <si>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</si>
  <si>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</si>
  <si>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</si>
  <si>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</si>
  <si>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</si>
  <si>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</si>
  <si>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</si>
  <si>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</si>
  <si>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</si>
  <si>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</si>
  <si>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</si>
  <si>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</si>
  <si>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</si>
  <si>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</si>
  <si>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</si>
  <si>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</si>
  <si>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</si>
  <si>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</si>
  <si>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>IQ-P00403</t>
  </si>
  <si>
    <t>IQ-P00404</t>
  </si>
  <si>
    <t>IQ-P00405</t>
  </si>
  <si>
    <t>IQ-P00406</t>
  </si>
  <si>
    <t>Abu Fless</t>
  </si>
  <si>
    <t xml:space="preserve">ابو فليس </t>
  </si>
  <si>
    <t>IQ-P00408</t>
  </si>
  <si>
    <t>الخلفاء</t>
  </si>
  <si>
    <t>Al Rimilah</t>
  </si>
  <si>
    <t>الرميلة</t>
  </si>
  <si>
    <t>Al Sajariyah</t>
  </si>
  <si>
    <t>السجارية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</si>
  <si>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</si>
  <si>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</si>
  <si>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</si>
  <si>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</si>
  <si>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</si>
  <si>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</si>
  <si>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</si>
  <si>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</si>
  <si>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</si>
  <si>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Al-Hamidhiyah</t>
  </si>
  <si>
    <t>الحامضية</t>
  </si>
  <si>
    <t>IQ-P00450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</si>
  <si>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</si>
  <si>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</si>
  <si>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</si>
  <si>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</si>
  <si>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</si>
  <si>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</si>
  <si>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</si>
  <si>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</si>
  <si>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</si>
  <si>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</si>
  <si>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</si>
  <si>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</si>
  <si>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>IQ-P00463</t>
  </si>
  <si>
    <t>Hay Al Akrad</t>
  </si>
  <si>
    <t>الاكراد</t>
  </si>
  <si>
    <t>IQ-P00473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</si>
  <si>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</si>
  <si>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</si>
  <si>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</si>
  <si>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</si>
  <si>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</si>
  <si>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</si>
  <si>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</si>
  <si>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</si>
  <si>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</si>
  <si>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</si>
  <si>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</si>
  <si>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</si>
  <si>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</si>
  <si>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</si>
  <si>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</si>
  <si>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القادسية الاولى</t>
  </si>
  <si>
    <t>IQ-P00491</t>
  </si>
  <si>
    <t>القادسية الثانية</t>
  </si>
  <si>
    <t>IQ-P00492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</si>
  <si>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</si>
  <si>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</si>
  <si>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</si>
  <si>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</si>
  <si>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</si>
  <si>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</si>
  <si>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</si>
  <si>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</si>
  <si>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</si>
  <si>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</si>
  <si>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</si>
  <si>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</si>
  <si>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</si>
  <si>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</si>
  <si>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IQ-P07751</t>
  </si>
  <si>
    <t>Abu halael-Al Neel Area</t>
  </si>
  <si>
    <t>ناحيه النيل- ابو هليل</t>
  </si>
  <si>
    <t>Abu Sudairah</t>
  </si>
  <si>
    <t>ابو سديره</t>
  </si>
  <si>
    <t>IQ-P07753</t>
  </si>
  <si>
    <t>Al Baqer Area-Jablah</t>
  </si>
  <si>
    <t>Al Imam Hay Al Amir</t>
  </si>
  <si>
    <t>IQ-P07764</t>
  </si>
  <si>
    <t>Al Imam Hay Al Hakeem</t>
  </si>
  <si>
    <t>Al Imam-Hay Al Zahraa</t>
  </si>
  <si>
    <t>Al Imam-Hay Imam Ali</t>
  </si>
  <si>
    <t>ناحيه الامام- حي الامام علي</t>
  </si>
  <si>
    <t>Al Murtdha village</t>
  </si>
  <si>
    <t>قريه المرتضى</t>
  </si>
  <si>
    <t>Al Qasabah Al Kadimah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</si>
  <si>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</si>
  <si>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</si>
  <si>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</si>
  <si>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</si>
  <si>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</si>
  <si>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</si>
  <si>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</si>
  <si>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IQ-P07769</t>
  </si>
  <si>
    <t>Al taba-Al Neel</t>
  </si>
  <si>
    <t>Al Tahriyah</t>
  </si>
  <si>
    <t>الطاهريه</t>
  </si>
  <si>
    <t>Al- lubat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</si>
  <si>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</si>
  <si>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</si>
  <si>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</si>
  <si>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</si>
  <si>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</si>
  <si>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</si>
  <si>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</si>
  <si>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</si>
  <si>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</si>
  <si>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</si>
  <si>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</si>
  <si>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</si>
  <si>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</si>
  <si>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</si>
  <si>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Alaweara</t>
  </si>
  <si>
    <t>العويره</t>
  </si>
  <si>
    <t>Alazawea</t>
  </si>
  <si>
    <t>العزاويه</t>
  </si>
  <si>
    <t>Albada- hay Alaskari</t>
  </si>
  <si>
    <t>البو مصطفى</t>
  </si>
  <si>
    <t>Algwam village</t>
  </si>
  <si>
    <t>ناحيه الامام -قريه الكوام</t>
  </si>
  <si>
    <t>Barnon-Al Qasabah Al kadima</t>
  </si>
  <si>
    <t>برنون- القصبه القديمه</t>
  </si>
  <si>
    <t>Barnon-hay Alaskry</t>
  </si>
  <si>
    <t>برنون- حي العسكري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</si>
  <si>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</si>
  <si>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</si>
  <si>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</si>
  <si>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</si>
  <si>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</si>
  <si>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</si>
  <si>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</si>
  <si>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</si>
  <si>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</si>
  <si>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</si>
  <si>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</si>
  <si>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</si>
  <si>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</si>
  <si>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</si>
  <si>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Hay Al Zahraa</t>
  </si>
  <si>
    <t>IQ-P07857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</si>
  <si>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</si>
  <si>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</si>
  <si>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</si>
  <si>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</si>
  <si>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</si>
  <si>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</si>
  <si>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</si>
  <si>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</si>
  <si>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</si>
  <si>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</si>
  <si>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</si>
  <si>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</si>
  <si>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</si>
  <si>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</si>
  <si>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</si>
  <si>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</si>
  <si>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</si>
  <si>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</si>
  <si>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</si>
  <si>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</si>
  <si>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</si>
  <si>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 -حي الرسالة</t>
  </si>
  <si>
    <t>IQ-P07869</t>
  </si>
  <si>
    <t>Hay Zain Alabadeen</t>
  </si>
  <si>
    <t>حي زين العابدين</t>
  </si>
  <si>
    <t>Jabla Al Imam Village</t>
  </si>
  <si>
    <t>IQ-P07879</t>
  </si>
  <si>
    <t>Jabla-Al Hamiry</t>
  </si>
  <si>
    <t>Jabla-Hay Al Hurriya</t>
  </si>
  <si>
    <t>jabla-Hay Rhaema</t>
  </si>
  <si>
    <t>khafaja village</t>
  </si>
  <si>
    <t>قريه خفاجه</t>
  </si>
  <si>
    <t>Khinfara</t>
  </si>
  <si>
    <t>خنفاره</t>
  </si>
  <si>
    <t>IQ-P07893</t>
  </si>
  <si>
    <t>Maghear Village-Al Neel</t>
  </si>
  <si>
    <t>ناحيه النيل- قريه مغير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</si>
  <si>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</si>
  <si>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</si>
  <si>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</si>
  <si>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</si>
  <si>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</si>
  <si>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</si>
  <si>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</si>
  <si>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IQ-P07908</t>
  </si>
  <si>
    <t>Sreadib</t>
  </si>
  <si>
    <t>ناحيه النيل -سريديب</t>
  </si>
  <si>
    <t>Al-Musayab</t>
  </si>
  <si>
    <t>Abo Luka</t>
  </si>
  <si>
    <t>ناحيه الاسكندريه- ابولوكه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</si>
  <si>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</si>
  <si>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</si>
  <si>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</si>
  <si>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</si>
  <si>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</si>
  <si>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</si>
  <si>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</si>
  <si>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</si>
  <si>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</si>
  <si>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</si>
  <si>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</si>
  <si>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</si>
  <si>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IQ-P07937</t>
  </si>
  <si>
    <t>Al Hamiyah-Al Mutaqedin 2</t>
  </si>
  <si>
    <t>IQ-P07936</t>
  </si>
  <si>
    <t>Al Hamiyah-Oayef village</t>
  </si>
  <si>
    <t>IQ-P08124</t>
  </si>
  <si>
    <t>Al Iskandariyah Area-Mowelha</t>
  </si>
  <si>
    <t>القصبه القديمه</t>
  </si>
  <si>
    <t>Al Reef Al Zaher</t>
  </si>
  <si>
    <t>IQ-P07941</t>
  </si>
  <si>
    <t>Al Sadda-Um Al Hamam</t>
  </si>
  <si>
    <t>Al-Iskandaria-Al Intesar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</si>
  <si>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</si>
  <si>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</si>
  <si>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</si>
  <si>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</si>
  <si>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</si>
  <si>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</si>
  <si>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</si>
  <si>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</si>
  <si>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</si>
  <si>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</si>
  <si>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</si>
  <si>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</si>
  <si>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</si>
  <si>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</si>
  <si>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</si>
  <si>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</si>
  <si>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</si>
  <si>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</si>
  <si>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ناحيه الاسكندريه- حي عداي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</si>
  <si>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</si>
  <si>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</si>
  <si>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</si>
  <si>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</si>
  <si>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</si>
  <si>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</si>
  <si>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</si>
  <si>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</si>
  <si>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</si>
  <si>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</si>
  <si>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</si>
  <si>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</si>
  <si>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</si>
  <si>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</si>
  <si>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</si>
  <si>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</si>
  <si>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</si>
  <si>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</si>
  <si>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</si>
  <si>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</si>
  <si>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</si>
  <si>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</si>
  <si>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</si>
  <si>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</si>
  <si>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ناحيه السده- حي الري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</si>
  <si>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</si>
  <si>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</si>
  <si>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</si>
  <si>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</si>
  <si>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</si>
  <si>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</si>
  <si>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</si>
  <si>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</si>
  <si>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</si>
  <si>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</si>
  <si>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Al-Qadissiyah-Al Eskandariya</t>
  </si>
  <si>
    <t>ناحيه الاسكندريه- حي القادسيه</t>
  </si>
  <si>
    <t>Hay Al-Rafedain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</si>
  <si>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</si>
  <si>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</si>
  <si>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</si>
  <si>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</si>
  <si>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</si>
  <si>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</si>
  <si>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</si>
  <si>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</si>
  <si>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</si>
  <si>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</si>
  <si>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Hay Alaskary-AlThaghet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</si>
  <si>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</si>
  <si>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</si>
  <si>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</si>
  <si>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</si>
  <si>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</si>
  <si>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</si>
  <si>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</si>
  <si>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</si>
  <si>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</si>
  <si>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</si>
  <si>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</si>
  <si>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</si>
  <si>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</si>
  <si>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</si>
  <si>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</si>
  <si>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IQ-P08122</t>
  </si>
  <si>
    <t>Sadat Al-Ameir</t>
  </si>
  <si>
    <t>IQ-P08132</t>
  </si>
  <si>
    <t>Saddat Al Zahraa</t>
  </si>
  <si>
    <t>IQ-P08134</t>
  </si>
  <si>
    <t>Shara AlSada Alkadeem</t>
  </si>
  <si>
    <t>شارع السده القديم</t>
  </si>
  <si>
    <t>Hashimiya</t>
  </si>
  <si>
    <t>Abo Derbash Al Midhatiyah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</si>
  <si>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</si>
  <si>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</si>
  <si>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</si>
  <si>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</si>
  <si>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</si>
  <si>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</si>
  <si>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</si>
  <si>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</si>
  <si>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</si>
  <si>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Al Hajj Ubaid</t>
  </si>
  <si>
    <t>الحاج عبيد</t>
  </si>
  <si>
    <t>Al Husen-Al Midhatiya</t>
  </si>
  <si>
    <t>Al Madhatiyah-Al Qasabah Al kadimah</t>
  </si>
  <si>
    <t>IQ-P23963</t>
  </si>
  <si>
    <t>Al Madhatiyah-Hay Imam</t>
  </si>
  <si>
    <t>IQ-P23964</t>
  </si>
  <si>
    <t>Al Midhatiyah-Hay Al Zahraa</t>
  </si>
  <si>
    <t>Al Nasser</t>
  </si>
  <si>
    <t>Al Qasim Area-Al Qasabah Al kadima</t>
  </si>
  <si>
    <t>IQ-P23965</t>
  </si>
  <si>
    <t>Al Qasim-Al Askari</t>
  </si>
  <si>
    <t>IQ-P07109</t>
  </si>
  <si>
    <t>Al Qassim-Al Janabeen</t>
  </si>
  <si>
    <t>Al Qassim-Hay Al Fayadheyia</t>
  </si>
  <si>
    <t>Al Qassim-Hay Al Ghadeer</t>
  </si>
  <si>
    <t>Al Qassim-Hay Al Sinaee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</si>
  <si>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</si>
  <si>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</si>
  <si>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</si>
  <si>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</si>
  <si>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</si>
  <si>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</si>
  <si>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Shomaly-Hay Al Oroba</t>
  </si>
  <si>
    <t>Al Shomaly-Hay Al Sada</t>
  </si>
  <si>
    <t>Al Shoumly-Al Jawadia village</t>
  </si>
  <si>
    <t>Al Taleeaa-Al Gamiea wa Al Hussainea</t>
  </si>
  <si>
    <t>Al Taleeaa-Gishir</t>
  </si>
  <si>
    <t>Al Yaseeya</t>
  </si>
  <si>
    <t>الياسيه</t>
  </si>
  <si>
    <t>Al Zabbar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</si>
  <si>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</si>
  <si>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</si>
  <si>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</si>
  <si>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</si>
  <si>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</si>
  <si>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</si>
  <si>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</si>
  <si>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</si>
  <si>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</si>
  <si>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</si>
  <si>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</si>
  <si>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</si>
  <si>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</si>
  <si>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</si>
  <si>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</si>
  <si>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</si>
  <si>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</si>
  <si>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</si>
  <si>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</si>
  <si>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</si>
  <si>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</si>
  <si>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</si>
  <si>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</si>
  <si>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</si>
  <si>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</si>
  <si>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</si>
  <si>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</si>
  <si>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</si>
  <si>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</si>
  <si>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</si>
  <si>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</si>
  <si>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</si>
  <si>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</si>
  <si>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</si>
  <si>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</si>
  <si>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حي الامير-1</t>
  </si>
  <si>
    <t>حي الامير-2</t>
  </si>
  <si>
    <t>حي الامير-3</t>
  </si>
  <si>
    <t>حي الامير-4</t>
  </si>
  <si>
    <t>حي الامير-5</t>
  </si>
  <si>
    <t>Hay Al Intifadheh</t>
  </si>
  <si>
    <t>IQ-P23967</t>
  </si>
  <si>
    <t>Hay Al Jawadain</t>
  </si>
  <si>
    <t>Hay Al Waily</t>
  </si>
  <si>
    <t>حي الوائلي</t>
  </si>
  <si>
    <t>Hay Al Zahraa-Qassim</t>
  </si>
  <si>
    <t>Hay Al- Jamiea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</si>
  <si>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</si>
  <si>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</si>
  <si>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</si>
  <si>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</si>
  <si>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</si>
  <si>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</si>
  <si>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</si>
  <si>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</si>
  <si>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</si>
  <si>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</si>
  <si>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</si>
  <si>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</si>
  <si>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</si>
  <si>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</si>
  <si>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</si>
  <si>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</si>
  <si>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</si>
  <si>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</si>
  <si>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</si>
  <si>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</si>
  <si>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</si>
  <si>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</si>
  <si>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</si>
  <si>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</si>
  <si>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</si>
  <si>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</si>
  <si>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IQ-P07299</t>
  </si>
  <si>
    <t>Hay al-wihdah</t>
  </si>
  <si>
    <t>الوحدة</t>
  </si>
  <si>
    <t>IQ-P07306</t>
  </si>
  <si>
    <t>Hay Al-Zahraa</t>
  </si>
  <si>
    <t>IQ-P07307</t>
  </si>
  <si>
    <t>Hay alosh</t>
  </si>
  <si>
    <t>حي علوش</t>
  </si>
  <si>
    <t>IQ-P07289</t>
  </si>
  <si>
    <t>Hay khirbatt</t>
  </si>
  <si>
    <t>IQ-P07310</t>
  </si>
  <si>
    <t>Hay Um Ayash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</si>
  <si>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</si>
  <si>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</si>
  <si>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</si>
  <si>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</si>
  <si>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</si>
  <si>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</si>
  <si>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</si>
  <si>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</si>
  <si>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</si>
  <si>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</si>
  <si>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</si>
  <si>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</si>
  <si>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</si>
  <si>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</si>
  <si>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</si>
  <si>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</si>
  <si>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</si>
  <si>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</si>
  <si>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</si>
  <si>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</si>
  <si>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</si>
  <si>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</si>
  <si>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</si>
  <si>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</si>
  <si>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</si>
  <si>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</si>
  <si>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</si>
  <si>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</si>
  <si>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</si>
  <si>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</si>
  <si>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</si>
  <si>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</si>
  <si>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</si>
  <si>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</si>
  <si>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</si>
  <si>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</si>
  <si>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</si>
  <si>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</si>
  <si>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</si>
  <si>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</si>
  <si>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</si>
  <si>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البكرلي-1</t>
  </si>
  <si>
    <t>البكرلي-3</t>
  </si>
  <si>
    <t>Al Baqer</t>
  </si>
  <si>
    <t>قرية الباقر</t>
  </si>
  <si>
    <t>IQ-P07438</t>
  </si>
  <si>
    <t>Al Daghaghla-Abu Gharaq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</si>
  <si>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</si>
  <si>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</si>
  <si>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</si>
  <si>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</si>
  <si>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</si>
  <si>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</si>
  <si>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</si>
  <si>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</si>
  <si>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</si>
  <si>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</si>
  <si>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</si>
  <si>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</si>
  <si>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</si>
  <si>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</si>
  <si>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</si>
  <si>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</si>
  <si>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</si>
  <si>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</si>
  <si>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</si>
  <si>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</si>
  <si>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</si>
  <si>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</si>
  <si>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</si>
  <si>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</si>
  <si>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</si>
  <si>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</si>
  <si>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</si>
  <si>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</si>
  <si>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</si>
  <si>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</si>
  <si>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</si>
  <si>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</si>
  <si>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</si>
  <si>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</si>
  <si>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</si>
  <si>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>IQ-P23971</t>
  </si>
  <si>
    <t>Al Kafal-Khan Sayed Nour</t>
  </si>
  <si>
    <t>Al Kafel-7 Nissan</t>
  </si>
  <si>
    <t>Al Kefel-Al Qasaba Al Qadima</t>
  </si>
  <si>
    <t>Al Kifil-Al Emam Al Khidhir</t>
  </si>
  <si>
    <t>Al Kifil-Al Meghadhbia</t>
  </si>
  <si>
    <t>Al Kifil-Hay Al Zahraa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</si>
  <si>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</si>
  <si>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</si>
  <si>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</si>
  <si>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</si>
  <si>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</si>
  <si>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</si>
  <si>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</si>
  <si>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</si>
  <si>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</si>
  <si>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</si>
  <si>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</si>
  <si>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</si>
  <si>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</si>
  <si>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</si>
  <si>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</si>
  <si>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</si>
  <si>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</si>
  <si>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</si>
  <si>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</si>
  <si>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Al Rashediyah</t>
  </si>
  <si>
    <t>الرشيدية</t>
  </si>
  <si>
    <t>Al Sajad Alshimaly</t>
  </si>
  <si>
    <t>السجاد الشمالي</t>
  </si>
  <si>
    <t>Al Sayih</t>
  </si>
  <si>
    <t>Al Shuhadaa</t>
  </si>
  <si>
    <t>Al Taaes</t>
  </si>
  <si>
    <t>التعيس</t>
  </si>
  <si>
    <t>Al Taqa-Abu Gharaq</t>
  </si>
  <si>
    <t>Al Thawra Al Gharbiya</t>
  </si>
  <si>
    <t>IQ-P07465</t>
  </si>
  <si>
    <t>Al Tuhmazya</t>
  </si>
  <si>
    <t>الطهمازيه</t>
  </si>
  <si>
    <t>IQ-P07466</t>
  </si>
  <si>
    <t>Al Wardiyah-Dakhel</t>
  </si>
  <si>
    <t>Al Wardiyah-Kharj</t>
  </si>
  <si>
    <t>Al Yousfya-Abu Gharaq</t>
  </si>
  <si>
    <t>IQ-P07435</t>
  </si>
  <si>
    <t>Al-Askari-Al Mashtal</t>
  </si>
  <si>
    <t>IQ-P07468</t>
  </si>
  <si>
    <t>Al-hamadiyat</t>
  </si>
  <si>
    <t>حماديات</t>
  </si>
  <si>
    <t>IQ-P07495</t>
  </si>
  <si>
    <t>Al-Kifil-Hay Al Ghadeer</t>
  </si>
  <si>
    <t>Al-Kifil-Hay Al Hussain</t>
  </si>
  <si>
    <t>Al-miamrah</t>
  </si>
  <si>
    <t>المعيميره</t>
  </si>
  <si>
    <t>IQ-P07514</t>
  </si>
  <si>
    <t>Al-Muhandiseen 4</t>
  </si>
  <si>
    <t>IQ-P07519</t>
  </si>
  <si>
    <t>Al-muradiyah</t>
  </si>
  <si>
    <t>IQ-P07520</t>
  </si>
  <si>
    <t>Al-nidhal</t>
  </si>
  <si>
    <t>IQ-P07525</t>
  </si>
  <si>
    <t>Al-Nikhela Al-Garbia</t>
  </si>
  <si>
    <t>النخيلة الغربية</t>
  </si>
  <si>
    <t>Al-Rarengya</t>
  </si>
  <si>
    <t>Al-Shawi</t>
  </si>
  <si>
    <t>الشاوي</t>
  </si>
  <si>
    <t>IQ-P07546</t>
  </si>
  <si>
    <t>Al-Thawra Al-Sharqia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</si>
  <si>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</si>
  <si>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</si>
  <si>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</si>
  <si>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</si>
  <si>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</si>
  <si>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</si>
  <si>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</si>
  <si>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</si>
  <si>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</si>
  <si>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</si>
  <si>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</si>
  <si>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</si>
  <si>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</si>
  <si>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</si>
  <si>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</si>
  <si>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</si>
  <si>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</si>
  <si>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</si>
  <si>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</si>
  <si>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</si>
  <si>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</si>
  <si>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</si>
  <si>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</si>
  <si>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</si>
  <si>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</si>
  <si>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</si>
  <si>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</si>
  <si>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</si>
  <si>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</si>
  <si>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</si>
  <si>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</si>
  <si>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</si>
  <si>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</si>
  <si>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</si>
  <si>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</si>
  <si>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</si>
  <si>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</si>
  <si>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</si>
  <si>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</si>
  <si>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</si>
  <si>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</si>
  <si>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</si>
  <si>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Hay Al Jawad</t>
  </si>
  <si>
    <t>حي الجواد</t>
  </si>
  <si>
    <t>Hay Al Karamah 1</t>
  </si>
  <si>
    <t>IQ-P07617</t>
  </si>
  <si>
    <t>Hay Al Karamah 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</si>
  <si>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</si>
  <si>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</si>
  <si>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</si>
  <si>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</si>
  <si>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</si>
  <si>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</si>
  <si>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</si>
  <si>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</si>
  <si>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</si>
  <si>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</si>
  <si>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</si>
  <si>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</si>
  <si>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</si>
  <si>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</si>
  <si>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</si>
  <si>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</si>
  <si>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</si>
  <si>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</si>
  <si>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</si>
  <si>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</si>
  <si>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</si>
  <si>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</si>
  <si>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</si>
  <si>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</si>
  <si>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</si>
  <si>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</si>
  <si>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</si>
  <si>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IQ-P07652</t>
  </si>
  <si>
    <t>Hay Alzahraa</t>
  </si>
  <si>
    <t>Hay Nadir 2</t>
  </si>
  <si>
    <t>نادر 2</t>
  </si>
  <si>
    <t>Hay Shubar</t>
  </si>
  <si>
    <t>حي شبر</t>
  </si>
  <si>
    <t>Hilla Area-Hay Imam</t>
  </si>
  <si>
    <t>Hilla-Al Hummenia</t>
  </si>
  <si>
    <t>الهمينيه</t>
  </si>
  <si>
    <t>Hilla-Al Safeer village</t>
  </si>
  <si>
    <t>قرية السفير</t>
  </si>
  <si>
    <t>Hilla-Al-Muhandiseen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</si>
  <si>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</si>
  <si>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</si>
  <si>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</si>
  <si>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</si>
  <si>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</si>
  <si>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</si>
  <si>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</si>
  <si>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</si>
  <si>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Hilla-Jamaiat Al Moalmeen</t>
  </si>
  <si>
    <t>جمعية المعلمين</t>
  </si>
  <si>
    <t>Hilla-Nader Al Baker</t>
  </si>
  <si>
    <t>Hilla-Nadir-Ali Al Hadi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</si>
  <si>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</si>
  <si>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</si>
  <si>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</si>
  <si>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</si>
  <si>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</si>
  <si>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</si>
  <si>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</si>
  <si>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</si>
  <si>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</si>
  <si>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</si>
  <si>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</si>
  <si>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</si>
  <si>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</si>
  <si>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</si>
  <si>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</si>
  <si>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</si>
  <si>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</si>
  <si>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</si>
  <si>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</si>
  <si>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</si>
  <si>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</si>
  <si>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</si>
  <si>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</si>
  <si>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</si>
  <si>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</si>
  <si>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</si>
  <si>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</si>
  <si>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</si>
  <si>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</si>
  <si>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</si>
  <si>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</si>
  <si>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</si>
  <si>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</si>
  <si>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</si>
  <si>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</si>
  <si>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</si>
  <si>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</si>
  <si>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</si>
  <si>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</si>
  <si>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</si>
  <si>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</si>
  <si>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</si>
  <si>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</si>
  <si>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</si>
  <si>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</si>
  <si>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</si>
  <si>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</si>
  <si>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</si>
  <si>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</si>
  <si>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Akr koof-14</t>
  </si>
  <si>
    <t>IQ-P08163</t>
  </si>
  <si>
    <t>Al Abady</t>
  </si>
  <si>
    <t>العبادي</t>
  </si>
  <si>
    <t>IQ-P08164</t>
  </si>
  <si>
    <t>Al Ayashiyah 9</t>
  </si>
  <si>
    <t>IQ-P08165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</si>
  <si>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</si>
  <si>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</si>
  <si>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</si>
  <si>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</si>
  <si>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</si>
  <si>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</si>
  <si>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</si>
  <si>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</si>
  <si>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</si>
  <si>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</si>
  <si>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</si>
  <si>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</si>
  <si>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</si>
  <si>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النصر والسلام-3000</t>
  </si>
  <si>
    <t>IQ-P08176</t>
  </si>
  <si>
    <t>النصر والسلام-4000</t>
  </si>
  <si>
    <t>IQ-P08177</t>
  </si>
  <si>
    <t>النصر والسلام-7000</t>
  </si>
  <si>
    <t>IQ-P08178</t>
  </si>
  <si>
    <t>النصر والسلام-8000</t>
  </si>
  <si>
    <t>IQ-P08179</t>
  </si>
  <si>
    <t>Al-Nasir Walsalam- 1000</t>
  </si>
  <si>
    <t>النصر والسلام -1000</t>
  </si>
  <si>
    <t>IQ-P08180</t>
  </si>
  <si>
    <t>Al-Nasir Walsalam- 2000</t>
  </si>
  <si>
    <t>النصر والسلام -2000</t>
  </si>
  <si>
    <t>IQ-P08181</t>
  </si>
  <si>
    <t>Al-Nasir Walsalam- 5000</t>
  </si>
  <si>
    <t>النصر والسلام -5000</t>
  </si>
  <si>
    <t>IQ-P08182</t>
  </si>
  <si>
    <t>Al-Nasir Walsalam- 6000</t>
  </si>
  <si>
    <t>النصر والسلام -6000</t>
  </si>
  <si>
    <t>IQ-P08183</t>
  </si>
  <si>
    <t>Al-Resalah</t>
  </si>
  <si>
    <t>الرسالة</t>
  </si>
  <si>
    <t>IQ-P08186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</si>
  <si>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</si>
  <si>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</si>
  <si>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</si>
  <si>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</si>
  <si>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</si>
  <si>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</si>
  <si>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</si>
  <si>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</si>
  <si>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</si>
  <si>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</si>
  <si>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</si>
  <si>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</si>
  <si>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</si>
  <si>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</si>
  <si>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</si>
  <si>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</si>
  <si>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</si>
  <si>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</si>
  <si>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</si>
  <si>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</si>
  <si>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</si>
  <si>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</si>
  <si>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</si>
  <si>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الزيتون</t>
  </si>
  <si>
    <t>IQ-P08202</t>
  </si>
  <si>
    <t>Hay Al Zohor</t>
  </si>
  <si>
    <t>الزهور</t>
  </si>
  <si>
    <t>IQ-P08203</t>
  </si>
  <si>
    <t>IQ-P08206</t>
  </si>
  <si>
    <t>Hay Ashbilia</t>
  </si>
  <si>
    <t>حي اشبيليه</t>
  </si>
  <si>
    <t>IQ-P08207</t>
  </si>
  <si>
    <t>IQ-P08208</t>
  </si>
  <si>
    <t>Hay Sinaa</t>
  </si>
  <si>
    <t>IQ-P08209</t>
  </si>
  <si>
    <t>Hay-Busatan</t>
  </si>
  <si>
    <t>حي البستان</t>
  </si>
  <si>
    <t>Joabh- 3</t>
  </si>
  <si>
    <t>جويبة -3</t>
  </si>
  <si>
    <t>Kadem Al Athab village</t>
  </si>
  <si>
    <t>كاظم العذاب</t>
  </si>
  <si>
    <t>IQ-P08211</t>
  </si>
  <si>
    <t>Khan Dhari Center</t>
  </si>
  <si>
    <t>خان ضاري مركز</t>
  </si>
  <si>
    <t>IQ-P08215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</si>
  <si>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</si>
  <si>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</si>
  <si>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</si>
  <si>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</si>
  <si>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</si>
  <si>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</si>
  <si>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</si>
  <si>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</si>
  <si>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</si>
  <si>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</si>
  <si>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IQ-P08226</t>
  </si>
  <si>
    <t>IQ-P08227</t>
  </si>
  <si>
    <t>Adhamia-314</t>
  </si>
  <si>
    <t>الأعظمية-314</t>
  </si>
  <si>
    <t>IQ-P08225</t>
  </si>
  <si>
    <t>Adhamiya-310</t>
  </si>
  <si>
    <t>IQ-P08229</t>
  </si>
  <si>
    <t>IQ-P08230</t>
  </si>
  <si>
    <t>Al Arakna Village</t>
  </si>
  <si>
    <t>العراكنة</t>
  </si>
  <si>
    <t>Al Badaa village</t>
  </si>
  <si>
    <t>قرية البدعة</t>
  </si>
  <si>
    <t>IQ-P08234</t>
  </si>
  <si>
    <t>IQ-P23973</t>
  </si>
  <si>
    <t>IQ-P08236</t>
  </si>
  <si>
    <t>IQ-P08303</t>
  </si>
  <si>
    <t>Al Basaten Al sadren complex</t>
  </si>
  <si>
    <t>IQ-P08237</t>
  </si>
  <si>
    <t>Al Bayariq village</t>
  </si>
  <si>
    <t>قرية البيارق</t>
  </si>
  <si>
    <t>IQ-P08238</t>
  </si>
  <si>
    <t>Al Biydhaa-321</t>
  </si>
  <si>
    <t>IQ-P08239</t>
  </si>
  <si>
    <t>Al Bu Hayat Village</t>
  </si>
  <si>
    <t>IQ-P08295</t>
  </si>
  <si>
    <t>Al Haj Jasim Village</t>
  </si>
  <si>
    <t>قرية الحاج جاسم</t>
  </si>
  <si>
    <t>Al Haj Sabur Village</t>
  </si>
  <si>
    <t>قرية الحاج صبر</t>
  </si>
  <si>
    <t>الحسينية-221</t>
  </si>
  <si>
    <t>IQ-P08243</t>
  </si>
  <si>
    <t>IQ-P08244</t>
  </si>
  <si>
    <t>الحسينية-202</t>
  </si>
  <si>
    <t>IQ-P08245</t>
  </si>
  <si>
    <t>الحسينية-203</t>
  </si>
  <si>
    <t>IQ-P08246</t>
  </si>
  <si>
    <t>الحسينية-204</t>
  </si>
  <si>
    <t>IQ-P08247</t>
  </si>
  <si>
    <t>الحسينية-205</t>
  </si>
  <si>
    <t>IQ-P08248</t>
  </si>
  <si>
    <t>الحسينية-209</t>
  </si>
  <si>
    <t>IQ-P08250</t>
  </si>
  <si>
    <t>الحسينية-212</t>
  </si>
  <si>
    <t>الحسينية-213</t>
  </si>
  <si>
    <t>IQ-P08251</t>
  </si>
  <si>
    <t>الحسينية-215</t>
  </si>
  <si>
    <t>IQ-P08252</t>
  </si>
  <si>
    <t>الحسينية-216</t>
  </si>
  <si>
    <t>IQ-P08253</t>
  </si>
  <si>
    <t>الحسينية-217</t>
  </si>
  <si>
    <t>IQ-P08254</t>
  </si>
  <si>
    <t>الحسينية-219</t>
  </si>
  <si>
    <t>IQ-P08255</t>
  </si>
  <si>
    <t>الحسينية-227</t>
  </si>
  <si>
    <t>IQ-P08256</t>
  </si>
  <si>
    <t>الحسينية-210</t>
  </si>
  <si>
    <t>IQ-P08263</t>
  </si>
  <si>
    <t>الحسينية-222</t>
  </si>
  <si>
    <t>IQ-P08264</t>
  </si>
  <si>
    <t>الحسينية-201</t>
  </si>
  <si>
    <t>IQ-P08258</t>
  </si>
  <si>
    <t>الحسينية-207</t>
  </si>
  <si>
    <t>IQ-P08259</t>
  </si>
  <si>
    <t>الحسينية -214</t>
  </si>
  <si>
    <t>IQ-P08260</t>
  </si>
  <si>
    <t>الحسينية-223</t>
  </si>
  <si>
    <t>Al Kouther</t>
  </si>
  <si>
    <t>الكوثر</t>
  </si>
  <si>
    <t>Al Maghreb-302</t>
  </si>
  <si>
    <t>IQ-P08267</t>
  </si>
  <si>
    <t>Al Maghreb-304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</si>
  <si>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</si>
  <si>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</si>
  <si>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</si>
  <si>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</si>
  <si>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</si>
  <si>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</si>
  <si>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</si>
  <si>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IQ-P08271</t>
  </si>
  <si>
    <t>Al Qahira-309</t>
  </si>
  <si>
    <t>IQ-P08272</t>
  </si>
  <si>
    <t>Al Qahira-311</t>
  </si>
  <si>
    <t>Al Qahira-313</t>
  </si>
  <si>
    <t>Al Qahira-322</t>
  </si>
  <si>
    <t>IQ-P08273</t>
  </si>
  <si>
    <t>Al Salam</t>
  </si>
  <si>
    <t>الشعب-351</t>
  </si>
  <si>
    <t>IQ-P08282</t>
  </si>
  <si>
    <t>Al Shaab-331</t>
  </si>
  <si>
    <t>الشعب- 331</t>
  </si>
  <si>
    <t>IQ-P08278</t>
  </si>
  <si>
    <t>Al Shaab-333</t>
  </si>
  <si>
    <t>IQ-P08279</t>
  </si>
  <si>
    <t>Al Shaab-339</t>
  </si>
  <si>
    <t>IQ-P08280</t>
  </si>
  <si>
    <t>AL Shab-335</t>
  </si>
  <si>
    <t>الشعب -335</t>
  </si>
  <si>
    <t>AL Shab-337</t>
  </si>
  <si>
    <t>الشعب -337</t>
  </si>
  <si>
    <t>AL Shab-343</t>
  </si>
  <si>
    <t>الشعب -343</t>
  </si>
  <si>
    <t>AL Shab-353</t>
  </si>
  <si>
    <t>الشعب -353</t>
  </si>
  <si>
    <t>AL Shab-357</t>
  </si>
  <si>
    <t>الشعب -357</t>
  </si>
  <si>
    <t>IQ-P08286</t>
  </si>
  <si>
    <t>Al Shamasiyah-316</t>
  </si>
  <si>
    <t>IQ-P08287</t>
  </si>
  <si>
    <t>Al Shamasiyah-318</t>
  </si>
  <si>
    <t>IQ-P08288</t>
  </si>
  <si>
    <t>Al Waha Al Khadhraa Village</t>
  </si>
  <si>
    <t>قرية الواحة الخضراء</t>
  </si>
  <si>
    <t>Al Waziriyah-305</t>
  </si>
  <si>
    <t>IQ-P08294</t>
  </si>
  <si>
    <t>IQ-P08924</t>
  </si>
  <si>
    <t>Al-Nabi Sheit Camp</t>
  </si>
  <si>
    <t>مخيم النبي شيت</t>
  </si>
  <si>
    <t>IQ-P08233</t>
  </si>
  <si>
    <t>Ali Al Faiadh village</t>
  </si>
  <si>
    <t>قرية علي الفياض</t>
  </si>
  <si>
    <t>بوب الشام -361</t>
  </si>
  <si>
    <t>بوب الشام - 363</t>
  </si>
  <si>
    <t>بوب الشام - 365</t>
  </si>
  <si>
    <t>بوب الشام - 367</t>
  </si>
  <si>
    <t>بوب الشام - 388</t>
  </si>
  <si>
    <t>Gumaira Village</t>
  </si>
  <si>
    <t>قرية كميرة</t>
  </si>
  <si>
    <t>Hammed al Hummod village</t>
  </si>
  <si>
    <t>قرية حميد الحمود</t>
  </si>
  <si>
    <t xml:space="preserve">القدس </t>
  </si>
  <si>
    <t>IQ-P08320</t>
  </si>
  <si>
    <t>IQ-P08321</t>
  </si>
  <si>
    <t>حي اور -325</t>
  </si>
  <si>
    <t>الحسينية -211</t>
  </si>
  <si>
    <t>IQ-P08328</t>
  </si>
  <si>
    <t>الحسينية-218</t>
  </si>
  <si>
    <t>IQ-P08329</t>
  </si>
  <si>
    <t>Jowad Al Faiadh Village</t>
  </si>
  <si>
    <t>قرية جواد الفياض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</si>
  <si>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</si>
  <si>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</si>
  <si>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</si>
  <si>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</si>
  <si>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</si>
  <si>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</si>
  <si>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</si>
  <si>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</si>
  <si>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سبع قصور</t>
  </si>
  <si>
    <t>IQ-P23978</t>
  </si>
  <si>
    <t>Taleb Al Ali Village</t>
  </si>
  <si>
    <t>قرية طالب العلي</t>
  </si>
  <si>
    <t>Tarbiya-317</t>
  </si>
  <si>
    <t>التربية -317</t>
  </si>
  <si>
    <t>Tunis-326</t>
  </si>
  <si>
    <t>IQ-P08364</t>
  </si>
  <si>
    <t>Tunis-330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</si>
  <si>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</si>
  <si>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</si>
  <si>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</si>
  <si>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</si>
  <si>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</si>
  <si>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</si>
  <si>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IQ-D044</t>
  </si>
  <si>
    <t>IQ-P08880</t>
  </si>
  <si>
    <t>IQ-P08854</t>
  </si>
  <si>
    <t>IQ-P08855</t>
  </si>
  <si>
    <t>IQ-P08856</t>
  </si>
  <si>
    <t>الأمين -747</t>
  </si>
  <si>
    <t>IQ-P08857</t>
  </si>
  <si>
    <t>Al Atebaa-116</t>
  </si>
  <si>
    <t>Al Atebaa-118</t>
  </si>
  <si>
    <t>Al Atebaa-120</t>
  </si>
  <si>
    <t>Al baladiyat-728</t>
  </si>
  <si>
    <t>Al baladiyat-730</t>
  </si>
  <si>
    <t>Al baladiyat-732</t>
  </si>
  <si>
    <t>Al baladiyat-734</t>
  </si>
  <si>
    <t>Al baladiyat-738</t>
  </si>
  <si>
    <t>IQ-P08860</t>
  </si>
  <si>
    <t>Al Baladiyat-744</t>
  </si>
  <si>
    <t>IQ-P08861</t>
  </si>
  <si>
    <t>Al Baladiyat-746</t>
  </si>
  <si>
    <t>Al Edreesiy-507</t>
  </si>
  <si>
    <t>IQ-P08863</t>
  </si>
  <si>
    <t>IQ-P08866</t>
  </si>
  <si>
    <t>IQ-P08867</t>
  </si>
  <si>
    <t>IQ-P08868</t>
  </si>
  <si>
    <t>IQ-P08872</t>
  </si>
  <si>
    <t>IQ-P08873</t>
  </si>
  <si>
    <t>IQ-P08878</t>
  </si>
  <si>
    <t>Al Kamaliya-765</t>
  </si>
  <si>
    <t>IQ-P08875</t>
  </si>
  <si>
    <t>IQ-P08877</t>
  </si>
  <si>
    <t>الكرادة- 907</t>
  </si>
  <si>
    <t>Al Karada-901</t>
  </si>
  <si>
    <t>IQ-P23974</t>
  </si>
  <si>
    <t>Al Karada-903</t>
  </si>
  <si>
    <t>Al Karada-905</t>
  </si>
  <si>
    <t>IQ-P08879</t>
  </si>
  <si>
    <t>IQ-P08883</t>
  </si>
  <si>
    <t>IQ-P08884</t>
  </si>
  <si>
    <t>IQ-P08885</t>
  </si>
  <si>
    <t>Al Mashtal-729</t>
  </si>
  <si>
    <t>IQ-P08889</t>
  </si>
  <si>
    <t>Al Mashtal-731</t>
  </si>
  <si>
    <t>Al Mashtal-733</t>
  </si>
  <si>
    <t>IQ-P08890</t>
  </si>
  <si>
    <t>Al Mashtal-735</t>
  </si>
  <si>
    <t>IQ-P08891</t>
  </si>
  <si>
    <t>Al Mashtal-751</t>
  </si>
  <si>
    <t>المشتل- 751</t>
  </si>
  <si>
    <t>IQ-P08892</t>
  </si>
  <si>
    <t>Al muthana-710</t>
  </si>
  <si>
    <t>IQ-P08893</t>
  </si>
  <si>
    <t>Al Muthana-712</t>
  </si>
  <si>
    <t>Al Muthana-714</t>
  </si>
  <si>
    <t>IQ-P08894</t>
  </si>
  <si>
    <t>Al Muthana-716</t>
  </si>
  <si>
    <t>IQ-P08895</t>
  </si>
  <si>
    <t>Al Muthana-718</t>
  </si>
  <si>
    <t>Al Nidhal-103</t>
  </si>
  <si>
    <t>IQ-P08897</t>
  </si>
  <si>
    <t>Al Nile-503</t>
  </si>
  <si>
    <t>النيل -503</t>
  </si>
  <si>
    <t>Al Rasheed-104</t>
  </si>
  <si>
    <t>Al Rasheed-108</t>
  </si>
  <si>
    <t>Al Rasheed-112</t>
  </si>
  <si>
    <t>Al Rasheed-114</t>
  </si>
  <si>
    <t>Al Riyadh-910</t>
  </si>
  <si>
    <t>IQ-P08901</t>
  </si>
  <si>
    <t>Al Saadon-101</t>
  </si>
  <si>
    <t>Al Shaikh Omer-125</t>
  </si>
  <si>
    <t>Al Shaikh Omer-131</t>
  </si>
  <si>
    <t>Al Shaikh Omer-137</t>
  </si>
  <si>
    <t>Al Shaikh Omer-145</t>
  </si>
  <si>
    <t>Al Sindabad-979</t>
  </si>
  <si>
    <t>IQ-P08904</t>
  </si>
  <si>
    <t>Al Sindebad-977</t>
  </si>
  <si>
    <t>IQ-P08905</t>
  </si>
  <si>
    <t>Al Sindibad-949</t>
  </si>
  <si>
    <t>IQ-P08906</t>
  </si>
  <si>
    <t>IQ-P08908</t>
  </si>
  <si>
    <t>IQ-P08909</t>
  </si>
  <si>
    <t>Al Ubaidy 760</t>
  </si>
  <si>
    <t>IQ-P08911</t>
  </si>
  <si>
    <t>Al Ubaidy 766</t>
  </si>
  <si>
    <t>Al Ubaidy 768</t>
  </si>
  <si>
    <t>العبيدي 768</t>
  </si>
  <si>
    <t>العبيدي - 756</t>
  </si>
  <si>
    <t>IQ-P08912</t>
  </si>
  <si>
    <t>IQ-P08913</t>
  </si>
  <si>
    <t>Al Wehda-902</t>
  </si>
  <si>
    <t>IQ-P08915</t>
  </si>
  <si>
    <t>Al Wehda-904</t>
  </si>
  <si>
    <t>IQ-P08916</t>
  </si>
  <si>
    <t>Al Wehda-906</t>
  </si>
  <si>
    <t>الوحدة- 906</t>
  </si>
  <si>
    <t>IQ-P08917</t>
  </si>
  <si>
    <t>Al Zaafaranyah-951</t>
  </si>
  <si>
    <t>Al Zaafaranyah-953</t>
  </si>
  <si>
    <t>IQ-P08918</t>
  </si>
  <si>
    <t>Al Zaafaranyah-955</t>
  </si>
  <si>
    <t>IQ-P08852</t>
  </si>
  <si>
    <t>Al Zaafaranyah-959</t>
  </si>
  <si>
    <t>IQ-P08919</t>
  </si>
  <si>
    <t>Al Zaafaranyah-961</t>
  </si>
  <si>
    <t>IQ-P08920</t>
  </si>
  <si>
    <t>Al Zaafaranyah-965</t>
  </si>
  <si>
    <t>IQ-P08921</t>
  </si>
  <si>
    <t>Al Zaafaranyah-969</t>
  </si>
  <si>
    <t>Al Zafaraniyah-957</t>
  </si>
  <si>
    <t>IQ-P08923</t>
  </si>
  <si>
    <t>IQ-P08935</t>
  </si>
  <si>
    <t>IQ-P08936</t>
  </si>
  <si>
    <t>Baghdad Al Jadidah-701</t>
  </si>
  <si>
    <t>IQ-P08946</t>
  </si>
  <si>
    <t>Baghdad Al Jadidah-709</t>
  </si>
  <si>
    <t>بغداد الجديدة -709</t>
  </si>
  <si>
    <t>IQ-P08947</t>
  </si>
  <si>
    <t>Baghdad Al Jadidia-721</t>
  </si>
  <si>
    <t>IQ-P08948</t>
  </si>
  <si>
    <t>Hay Diyala-930</t>
  </si>
  <si>
    <t>IQ-P08972</t>
  </si>
  <si>
    <t>Hay Diyala-962</t>
  </si>
  <si>
    <t>Hay Diyala-964</t>
  </si>
  <si>
    <t>IQ-P08973</t>
  </si>
  <si>
    <t>Hay Diyala-966</t>
  </si>
  <si>
    <t>IQ-P08974</t>
  </si>
  <si>
    <t>Hay Diyala-970</t>
  </si>
  <si>
    <t>حي ديالى- 970</t>
  </si>
  <si>
    <t>IQ-P08975</t>
  </si>
  <si>
    <t>IQ-P08977</t>
  </si>
  <si>
    <t>IQ-P08978</t>
  </si>
  <si>
    <t>IQ-P08979</t>
  </si>
  <si>
    <t>Hay Sumer-702</t>
  </si>
  <si>
    <t>حي سومر -702</t>
  </si>
  <si>
    <t>IQ-P08981</t>
  </si>
  <si>
    <t>Hay Sumer-706</t>
  </si>
  <si>
    <t>حي سومر -706</t>
  </si>
  <si>
    <t>IQ-P08982</t>
  </si>
  <si>
    <t>IQ-P08985</t>
  </si>
  <si>
    <t>IQ-P08990</t>
  </si>
  <si>
    <t>IQ-P08998</t>
  </si>
  <si>
    <t>IQ-P09026</t>
  </si>
  <si>
    <t>IQ-P09027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</si>
  <si>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</si>
  <si>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</si>
  <si>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</si>
  <si>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</si>
  <si>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</si>
  <si>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</si>
  <si>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</si>
  <si>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</si>
  <si>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</si>
  <si>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قرية أحمد الحميد</t>
  </si>
  <si>
    <t>IQ-D040</t>
  </si>
  <si>
    <t>IQ-P08373</t>
  </si>
  <si>
    <t>Al Ateefia-407</t>
  </si>
  <si>
    <t>العطيفية-407</t>
  </si>
  <si>
    <t>العطيفية-409</t>
  </si>
  <si>
    <t xml:space="preserve">قرية عطية </t>
  </si>
  <si>
    <t>IQ-P08376</t>
  </si>
  <si>
    <t>قرية البو طعيس</t>
  </si>
  <si>
    <t>IQ-P08383</t>
  </si>
  <si>
    <t>Al Malahma (Al Sekak) Village</t>
  </si>
  <si>
    <t>قرية الملاحمة (دور السكك)</t>
  </si>
  <si>
    <t>Al Salam-404</t>
  </si>
  <si>
    <t>Al Salam-406</t>
  </si>
  <si>
    <t>Al Salam-410</t>
  </si>
  <si>
    <t>Al Salehen Village</t>
  </si>
  <si>
    <t>قرية الصالحين</t>
  </si>
  <si>
    <t>Al Shehaa Village</t>
  </si>
  <si>
    <t>قرية الشيحة</t>
  </si>
  <si>
    <t>قرية الشيخ عامر</t>
  </si>
  <si>
    <t>قرية عجيل السلطان</t>
  </si>
  <si>
    <t>قرية البطة</t>
  </si>
  <si>
    <t>قرية الحلابسة</t>
  </si>
  <si>
    <t>قرية الرافدين</t>
  </si>
  <si>
    <t>قرية السواعد</t>
  </si>
  <si>
    <t>قرية ألبوعايد</t>
  </si>
  <si>
    <t>قرية عواد الحسين</t>
  </si>
  <si>
    <t>قرية ذيب الضاري</t>
  </si>
  <si>
    <t>قرية فهد الفاضل</t>
  </si>
  <si>
    <t>قرية فيصل عباس</t>
  </si>
  <si>
    <t>قرية نايف الحسن</t>
  </si>
  <si>
    <t>قرية نجاح السهيل</t>
  </si>
  <si>
    <t>قرية رزيج البداع</t>
  </si>
  <si>
    <t>قرية أم نجم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</si>
  <si>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</si>
  <si>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</si>
  <si>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</si>
  <si>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</si>
  <si>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</si>
  <si>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</si>
  <si>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</si>
  <si>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</si>
  <si>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</si>
  <si>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</si>
  <si>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</si>
  <si>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</si>
  <si>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</si>
  <si>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</si>
  <si>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</si>
  <si>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</si>
  <si>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</si>
  <si>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</si>
  <si>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</si>
  <si>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</si>
  <si>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 xml:space="preserve">قرية أبراهيم جعيفص </t>
  </si>
  <si>
    <t>IQ-P08415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</si>
  <si>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</si>
  <si>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</si>
  <si>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</si>
  <si>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</si>
  <si>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</si>
  <si>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</si>
  <si>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</si>
  <si>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</si>
  <si>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</si>
  <si>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</si>
  <si>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</si>
  <si>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</si>
  <si>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</si>
  <si>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</si>
  <si>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 xml:space="preserve">شمال الكاظمية -القادرية </t>
  </si>
  <si>
    <t>شمال الكاظمية -قرية علوان الجاسم</t>
  </si>
  <si>
    <t>شمال الكاظمية -تاجيات شاطئ التاجي</t>
  </si>
  <si>
    <t>Sabea Al Buor (Al Basam)</t>
  </si>
  <si>
    <t>Sabea Al Buor-1000</t>
  </si>
  <si>
    <t>Sabea Al Buor-14000</t>
  </si>
  <si>
    <t>Sabea Al Buor-15000</t>
  </si>
  <si>
    <t>سبع البور- 15000</t>
  </si>
  <si>
    <t>Sabea Al Buor-16000</t>
  </si>
  <si>
    <t>Sabea Al Buor-2000</t>
  </si>
  <si>
    <t>Sabea Al Buor-5000</t>
  </si>
  <si>
    <t>IQ-P08439</t>
  </si>
  <si>
    <t>Sabea Al Buor-6000</t>
  </si>
  <si>
    <t>Sabea Al Buor-8000</t>
  </si>
  <si>
    <t>IQ-P08438</t>
  </si>
  <si>
    <t>IQ-P08437</t>
  </si>
  <si>
    <t>Said Jasim Village</t>
  </si>
  <si>
    <t>قرية سيد جاسم</t>
  </si>
  <si>
    <t>Salam-408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</si>
  <si>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</si>
  <si>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</si>
  <si>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</si>
  <si>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</si>
  <si>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</si>
  <si>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</si>
  <si>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شيخ جنيد- 202</t>
  </si>
  <si>
    <t>IQ-P08632</t>
  </si>
  <si>
    <t xml:space="preserve">الشعلة -450 </t>
  </si>
  <si>
    <t xml:space="preserve">الشعلة -454 </t>
  </si>
  <si>
    <t xml:space="preserve">الشعلة -458 </t>
  </si>
  <si>
    <t xml:space="preserve">الشعلة -460 </t>
  </si>
  <si>
    <t xml:space="preserve">الشعلة -464 </t>
  </si>
  <si>
    <t xml:space="preserve">الشعلة -الدوانم </t>
  </si>
  <si>
    <t>الشعلة -الخطيب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</si>
  <si>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</si>
  <si>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</si>
  <si>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</si>
  <si>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</si>
  <si>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</si>
  <si>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</si>
  <si>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ابو دشير -850</t>
  </si>
  <si>
    <t>IQ-D041</t>
  </si>
  <si>
    <t>Abu Dsheer-852</t>
  </si>
  <si>
    <t>ابو دشير -852</t>
  </si>
  <si>
    <t>Abu Dsheer-854</t>
  </si>
  <si>
    <t>ابو دشير -854</t>
  </si>
  <si>
    <t>Abu Dsheer-856</t>
  </si>
  <si>
    <t>ابو دشير -856</t>
  </si>
  <si>
    <t>IQ-P08460</t>
  </si>
  <si>
    <t>Abu Dsheer-858</t>
  </si>
  <si>
    <t>ابو دشير -858</t>
  </si>
  <si>
    <t>Al Andulus-611</t>
  </si>
  <si>
    <t>Al Andulus-617</t>
  </si>
  <si>
    <t>IQ-P08466</t>
  </si>
  <si>
    <t>IQ-P08468</t>
  </si>
  <si>
    <t>Al Forat-893</t>
  </si>
  <si>
    <t>Al Ghazaliya-649</t>
  </si>
  <si>
    <t>Al Ghazaliya-651</t>
  </si>
  <si>
    <t>الغزاليه -651</t>
  </si>
  <si>
    <t>Al Ghazaliya-653</t>
  </si>
  <si>
    <t>Al Ghazaliya-655</t>
  </si>
  <si>
    <t>الغزاليه -655</t>
  </si>
  <si>
    <t>Al Ghazaliya-659</t>
  </si>
  <si>
    <t>الغزاليه -659</t>
  </si>
  <si>
    <t>Al Ghazaliya-665</t>
  </si>
  <si>
    <t>الغزاليه -665</t>
  </si>
  <si>
    <t>Al Ghazaliya-667</t>
  </si>
  <si>
    <t>الغزاليه -667</t>
  </si>
  <si>
    <t>Al Ghazaliya-681</t>
  </si>
  <si>
    <t>IQ-P08474</t>
  </si>
  <si>
    <t>Al Ghazaliyah-685</t>
  </si>
  <si>
    <t>IQ-P08475</t>
  </si>
  <si>
    <t>الأعلام -831</t>
  </si>
  <si>
    <t>IQ-P08480</t>
  </si>
  <si>
    <t>Al Jameah-629</t>
  </si>
  <si>
    <t>الجامعة -629</t>
  </si>
  <si>
    <t>IQ-P08481</t>
  </si>
  <si>
    <t>Al Jameh-627</t>
  </si>
  <si>
    <t>IQ-P08482</t>
  </si>
  <si>
    <t>Al Jameh-631</t>
  </si>
  <si>
    <t>الجامعة -631</t>
  </si>
  <si>
    <t>Al Jameh-633</t>
  </si>
  <si>
    <t>الجامعة -633</t>
  </si>
  <si>
    <t>IQ-P08483</t>
  </si>
  <si>
    <t>Al Jameh-635</t>
  </si>
  <si>
    <t>الجامعة 635</t>
  </si>
  <si>
    <t>IQ-P08484</t>
  </si>
  <si>
    <t>Al Jazaer-804</t>
  </si>
  <si>
    <t>الجزائر- 804</t>
  </si>
  <si>
    <t>IQ-P08485</t>
  </si>
  <si>
    <t>Al Jazaer-818</t>
  </si>
  <si>
    <t>الجزائر- 818</t>
  </si>
  <si>
    <t>Al Jazaer-820</t>
  </si>
  <si>
    <t>الجزائر -820</t>
  </si>
  <si>
    <t>IQ-P08486</t>
  </si>
  <si>
    <t>Al Jazera-812</t>
  </si>
  <si>
    <t>Al Jazera-814</t>
  </si>
  <si>
    <t>IQ-P08490</t>
  </si>
  <si>
    <t>Al Maalef-843</t>
  </si>
  <si>
    <t>المعالف - 843</t>
  </si>
  <si>
    <t>IQ-P08492</t>
  </si>
  <si>
    <t>IQ-P08497</t>
  </si>
  <si>
    <t>Al Mechanic-834</t>
  </si>
  <si>
    <t>Al Mutanbi-603</t>
  </si>
  <si>
    <t>المتنبي-603</t>
  </si>
  <si>
    <t>Al Mutanbi-605</t>
  </si>
  <si>
    <t>Al Mutanbi-607</t>
  </si>
  <si>
    <t>المتنبي-607</t>
  </si>
  <si>
    <t>Al Mutanbi-615</t>
  </si>
  <si>
    <t>Al Qadissiya-602</t>
  </si>
  <si>
    <t>Al Qadissiya-604</t>
  </si>
  <si>
    <t>IQ-P08499</t>
  </si>
  <si>
    <t>Al Qadissiya-606</t>
  </si>
  <si>
    <t>Al Raie 861</t>
  </si>
  <si>
    <t>الري 861</t>
  </si>
  <si>
    <t>الرسالة -849</t>
  </si>
  <si>
    <t>الرسالة- 853</t>
  </si>
  <si>
    <t>الرسالة -855</t>
  </si>
  <si>
    <t>Al Resala-851</t>
  </si>
  <si>
    <t>الرسالة -851</t>
  </si>
  <si>
    <t>IQ-P08502</t>
  </si>
  <si>
    <t>Al Saydiya-823</t>
  </si>
  <si>
    <t>السيدية- 823</t>
  </si>
  <si>
    <t>IQ-P08504</t>
  </si>
  <si>
    <t>Al Sedea-821</t>
  </si>
  <si>
    <t>Al Sedea-825</t>
  </si>
  <si>
    <t>IQ-P08505</t>
  </si>
  <si>
    <t>Al Shabab-839</t>
  </si>
  <si>
    <t>IQ-P08507</t>
  </si>
  <si>
    <t>Al Shurta-869</t>
  </si>
  <si>
    <t>IQ-P08509</t>
  </si>
  <si>
    <t>Al Shurta-875</t>
  </si>
  <si>
    <t>IQ-P08510</t>
  </si>
  <si>
    <t>IQ-P08513</t>
  </si>
  <si>
    <t>Al Shurtah-867</t>
  </si>
  <si>
    <t>IQ-P08516</t>
  </si>
  <si>
    <t>IQ-P08517</t>
  </si>
  <si>
    <t>Al Yarmok-614</t>
  </si>
  <si>
    <t>Al Yarmouk-608</t>
  </si>
  <si>
    <t>Al Yarmouk-610</t>
  </si>
  <si>
    <t>اليرموك -610</t>
  </si>
  <si>
    <t>IQ-P08519</t>
  </si>
  <si>
    <t>Al Yarmouk-612</t>
  </si>
  <si>
    <t>IQ-P08520</t>
  </si>
  <si>
    <t>Al Yarmouk-616</t>
  </si>
  <si>
    <t>IQ-P08521</t>
  </si>
  <si>
    <t>IQ-P08522</t>
  </si>
  <si>
    <t>Al-Iskan 623</t>
  </si>
  <si>
    <t>Al-Iskan-625</t>
  </si>
  <si>
    <t>Al-Mansour-601</t>
  </si>
  <si>
    <t>Al-Mansour-609</t>
  </si>
  <si>
    <t>مخيم الجامعة</t>
  </si>
  <si>
    <t>مخيم الخضراء</t>
  </si>
  <si>
    <t>منطقة الرضوانية</t>
  </si>
  <si>
    <t>IQ-P08536</t>
  </si>
  <si>
    <t>Albo_Aitha</t>
  </si>
  <si>
    <t>البو عيثا</t>
  </si>
  <si>
    <t>IQ-P08530</t>
  </si>
  <si>
    <t>IQ-P08542</t>
  </si>
  <si>
    <t>IQ-P08543</t>
  </si>
  <si>
    <t>IQ-P08544</t>
  </si>
  <si>
    <t>IQ-P08545</t>
  </si>
  <si>
    <t>IQ-P08547</t>
  </si>
  <si>
    <t>IQ-P08548</t>
  </si>
  <si>
    <t>IQ-P08551</t>
  </si>
  <si>
    <t>عرب جبور</t>
  </si>
  <si>
    <t>IQ-P08558</t>
  </si>
  <si>
    <t>Hateen-620</t>
  </si>
  <si>
    <t>Hateen-622</t>
  </si>
  <si>
    <t>حطين -622</t>
  </si>
  <si>
    <t>IQ-P08569</t>
  </si>
  <si>
    <t>Hay Al Adil-647</t>
  </si>
  <si>
    <t>IQ-P08565</t>
  </si>
  <si>
    <t>Hay Al Adil-657</t>
  </si>
  <si>
    <t>IQ-P08566</t>
  </si>
  <si>
    <t>Hay Al Amel-805</t>
  </si>
  <si>
    <t>حي العامل- 805</t>
  </si>
  <si>
    <t>IQ-P08567</t>
  </si>
  <si>
    <t>Hay Al Amel-811</t>
  </si>
  <si>
    <t>IQ-P08568</t>
  </si>
  <si>
    <t>Hay Al Amil-803</t>
  </si>
  <si>
    <t>IQ-P08570</t>
  </si>
  <si>
    <t>Hay Al Amil-807</t>
  </si>
  <si>
    <t>Hay Al Amil-809</t>
  </si>
  <si>
    <t>Hay Al Amil-813</t>
  </si>
  <si>
    <t>IQ-P08571</t>
  </si>
  <si>
    <t>Hay Al Amil-815</t>
  </si>
  <si>
    <t>Hay al jamiyah-842</t>
  </si>
  <si>
    <t>IQ-P08575</t>
  </si>
  <si>
    <t>Hay Al Jehad-881</t>
  </si>
  <si>
    <t>Hay Al Jehad-883</t>
  </si>
  <si>
    <t>حي الجهاد-883</t>
  </si>
  <si>
    <t>IQ-P08494</t>
  </si>
  <si>
    <t>Hay Al Jehad-887</t>
  </si>
  <si>
    <t>IQ-P08579</t>
  </si>
  <si>
    <t>Hoor Rajab</t>
  </si>
  <si>
    <t>هور رجب</t>
  </si>
  <si>
    <t>IQ-P08586</t>
  </si>
  <si>
    <t>IQ-P08601</t>
  </si>
  <si>
    <t>IQ-P08609</t>
  </si>
  <si>
    <t>Sheikh Maaroof-204</t>
  </si>
  <si>
    <t>IQ-P08631</t>
  </si>
  <si>
    <t>Sheikh Maaroof-208</t>
  </si>
  <si>
    <t>IQ-P08633</t>
  </si>
  <si>
    <t>Shurta Al Masafi-840</t>
  </si>
  <si>
    <t>IQ-P08635</t>
  </si>
  <si>
    <t>Suwaib-871</t>
  </si>
  <si>
    <t>Uwayrij</t>
  </si>
  <si>
    <t>عويريج</t>
  </si>
  <si>
    <t>IQ-P08640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</si>
  <si>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</si>
  <si>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</si>
  <si>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</si>
  <si>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</si>
  <si>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</si>
  <si>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</si>
  <si>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</si>
  <si>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</si>
  <si>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</si>
  <si>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</si>
  <si>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</si>
  <si>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</si>
  <si>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</si>
  <si>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</si>
  <si>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</si>
  <si>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</si>
  <si>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</si>
  <si>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Shaikh Khazaal Village-8</t>
  </si>
  <si>
    <t>Al Wehda-Village 10</t>
  </si>
  <si>
    <t>Al-Hurriyaa Village</t>
  </si>
  <si>
    <t>قرية الحرية</t>
  </si>
  <si>
    <t>العريفية</t>
  </si>
  <si>
    <t>الكرغولية</t>
  </si>
  <si>
    <t>الرياض</t>
  </si>
  <si>
    <t>IQ-P08716</t>
  </si>
  <si>
    <t>الصمدية</t>
  </si>
  <si>
    <t>IQ-P08666</t>
  </si>
  <si>
    <t>التويثة</t>
  </si>
  <si>
    <t>الوردية</t>
  </si>
  <si>
    <t>IQ-P08648</t>
  </si>
  <si>
    <t>عمار بن ياسر</t>
  </si>
  <si>
    <t>جرف النداف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</si>
  <si>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</si>
  <si>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</si>
  <si>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</si>
  <si>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</si>
  <si>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</si>
  <si>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</si>
  <si>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Hay Al Arooba</t>
  </si>
  <si>
    <t>حي العروبة</t>
  </si>
  <si>
    <t>Hay al Jamaiya</t>
  </si>
  <si>
    <t>حي الجمعية</t>
  </si>
  <si>
    <t>IQ-P08677</t>
  </si>
  <si>
    <t xml:space="preserve">Hay al Qadsiya </t>
  </si>
  <si>
    <t>IQ-P08685</t>
  </si>
  <si>
    <t>حي الزهراء</t>
  </si>
  <si>
    <t>IQ-P08683</t>
  </si>
  <si>
    <t>Hay Al-Muntathar</t>
  </si>
  <si>
    <t>IQ-P08684</t>
  </si>
  <si>
    <t>Hay Ali Al kaaby</t>
  </si>
  <si>
    <t>حي علي الكعبي</t>
  </si>
  <si>
    <t>Um Wahab Village</t>
  </si>
  <si>
    <t>قرية أم وهب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</si>
  <si>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</si>
  <si>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</si>
  <si>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</si>
  <si>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</si>
  <si>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</si>
  <si>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</si>
  <si>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</si>
  <si>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</si>
  <si>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</si>
  <si>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>الرشيد -14 تموز</t>
  </si>
  <si>
    <t>Al Kushek Al Ameri</t>
  </si>
  <si>
    <t>مقاطعة الكشك الأميري</t>
  </si>
  <si>
    <t>Al Latefia-Al Qadessia</t>
  </si>
  <si>
    <t>Al Latefia-Al Salam</t>
  </si>
  <si>
    <t>IQ-P08777</t>
  </si>
  <si>
    <t>كيلو 25</t>
  </si>
  <si>
    <t>قرية تل السمر</t>
  </si>
  <si>
    <t>Al Mketmat village</t>
  </si>
  <si>
    <t>مقاطعة مكيطيمات</t>
  </si>
  <si>
    <t>IQ-P08738</t>
  </si>
  <si>
    <t>Al Qaser Al Wsat Area-Hai Al Jameia</t>
  </si>
  <si>
    <t>Al Radhwania Al Sharkia</t>
  </si>
  <si>
    <t>مقاطعة الرضوانية الشرقية</t>
  </si>
  <si>
    <t>العدوانية</t>
  </si>
  <si>
    <t>IQ-P08741</t>
  </si>
  <si>
    <t>IQ-P08744</t>
  </si>
  <si>
    <t>Al sajad Complex</t>
  </si>
  <si>
    <t>مجمع السجاد</t>
  </si>
  <si>
    <t>Al Zahraa Complex</t>
  </si>
  <si>
    <t>مجمع الزهراء</t>
  </si>
  <si>
    <t>IQ-P08786</t>
  </si>
  <si>
    <t>خيمة العراق</t>
  </si>
  <si>
    <t>IQ-P08757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</si>
  <si>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</si>
  <si>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</si>
  <si>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</si>
  <si>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</si>
  <si>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</si>
  <si>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</si>
  <si>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</si>
  <si>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حي الربيع</t>
  </si>
  <si>
    <t>حي السكلات</t>
  </si>
  <si>
    <t>حي الصقور</t>
  </si>
  <si>
    <t>Hay Abu Shamaa</t>
  </si>
  <si>
    <t>IQ-P08725</t>
  </si>
  <si>
    <t xml:space="preserve">Hay Al Alkhmysaat </t>
  </si>
  <si>
    <t>الرشيد- الخميسات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</si>
  <si>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</si>
  <si>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</si>
  <si>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</si>
  <si>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</si>
  <si>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</si>
  <si>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</si>
  <si>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</si>
  <si>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Hay Al-Zaahraa</t>
  </si>
  <si>
    <t>Hay Al-Zayton</t>
  </si>
  <si>
    <t>حي الزيتون</t>
  </si>
  <si>
    <t>Hay Bader</t>
  </si>
  <si>
    <t>حي بدر</t>
  </si>
  <si>
    <t>IQ-P08787</t>
  </si>
  <si>
    <t>Kuwaresh</t>
  </si>
  <si>
    <t>كويريش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</si>
  <si>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</si>
  <si>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</si>
  <si>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</si>
  <si>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</si>
  <si>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</si>
  <si>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</si>
  <si>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</si>
  <si>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</si>
  <si>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</si>
  <si>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</si>
  <si>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</si>
  <si>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</si>
  <si>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</si>
  <si>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</si>
  <si>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</si>
  <si>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Al Farook Quarter-2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</si>
  <si>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</si>
  <si>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</si>
  <si>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</si>
  <si>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</si>
  <si>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</si>
  <si>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</si>
  <si>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</si>
  <si>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</si>
  <si>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</si>
  <si>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</si>
  <si>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IQ-P08523</t>
  </si>
  <si>
    <t>Al-Abayechi-10</t>
  </si>
  <si>
    <t>IQ-P09050</t>
  </si>
  <si>
    <t>Hai Al Hukem Al Mahali</t>
  </si>
  <si>
    <t>حي الحكم المحلي</t>
  </si>
  <si>
    <t>Hai Al Qadessia-1</t>
  </si>
  <si>
    <t>Hai Al Qadessia-2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</si>
  <si>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</si>
  <si>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</si>
  <si>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</si>
  <si>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</si>
  <si>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</si>
  <si>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</si>
  <si>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</si>
  <si>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</si>
  <si>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Thawra1</t>
  </si>
  <si>
    <t>IQ-D046</t>
  </si>
  <si>
    <t>Thawra2</t>
  </si>
  <si>
    <t>IQ-D047</t>
  </si>
  <si>
    <t>الصدر -515</t>
  </si>
  <si>
    <t>الصدر -516</t>
  </si>
  <si>
    <t>IQ-P09082</t>
  </si>
  <si>
    <t>IQ-P09083</t>
  </si>
  <si>
    <t>الصدر -541</t>
  </si>
  <si>
    <t>الصدر 3- 555</t>
  </si>
  <si>
    <t>IQ-P09084</t>
  </si>
  <si>
    <t>الصدر 8- 550</t>
  </si>
  <si>
    <t>IQ-P09078</t>
  </si>
  <si>
    <t>Abu Al-Khaseeb</t>
  </si>
  <si>
    <t>Abo Jawzy</t>
  </si>
  <si>
    <t>IQ-G02</t>
  </si>
  <si>
    <t>IQ-D009</t>
  </si>
  <si>
    <t>IQ-P00559</t>
  </si>
  <si>
    <t>Abu flos</t>
  </si>
  <si>
    <t xml:space="preserve">البصرة -ابو الخصيب -ابو فلوس 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</si>
  <si>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</si>
  <si>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</si>
  <si>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</si>
  <si>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</si>
  <si>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</si>
  <si>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</si>
  <si>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</si>
  <si>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</si>
  <si>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</si>
  <si>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 xml:space="preserve">البصرة -ابو الخصيب -العبدليان </t>
  </si>
  <si>
    <t>IQ-P00581</t>
  </si>
  <si>
    <t>Al-Awjah</t>
  </si>
  <si>
    <t>البصرة -ابو الخصيب -العوجه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</si>
  <si>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</si>
  <si>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</si>
  <si>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</si>
  <si>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</si>
  <si>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</si>
  <si>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</si>
  <si>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</si>
  <si>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</si>
  <si>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</si>
  <si>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</si>
  <si>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</si>
  <si>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</si>
  <si>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</si>
  <si>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</si>
  <si>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</si>
  <si>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</si>
  <si>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</si>
  <si>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</si>
  <si>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</si>
  <si>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</si>
  <si>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</si>
  <si>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</si>
  <si>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</si>
  <si>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</si>
  <si>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</si>
  <si>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</si>
  <si>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</si>
  <si>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</si>
  <si>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</si>
  <si>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</si>
  <si>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</si>
  <si>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</si>
  <si>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</si>
  <si>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</si>
  <si>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 xml:space="preserve">البصرة- ابو الخصيب -باب طويل </t>
  </si>
  <si>
    <t>IQ-P00635</t>
  </si>
  <si>
    <t>Balad Sultan</t>
  </si>
  <si>
    <t>Door Alasmeadh</t>
  </si>
  <si>
    <t>Hamdan</t>
  </si>
  <si>
    <t>IQ-P00655</t>
  </si>
  <si>
    <t>Hay Al Askarye</t>
  </si>
  <si>
    <t xml:space="preserve">الحي العسكري </t>
  </si>
  <si>
    <t>IQ-P00658</t>
  </si>
  <si>
    <t>Kut Al Solhy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</si>
  <si>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</si>
  <si>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</si>
  <si>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</si>
  <si>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</si>
  <si>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</si>
  <si>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</si>
  <si>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</si>
  <si>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</si>
  <si>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</si>
  <si>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</si>
  <si>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</si>
  <si>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</si>
  <si>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</si>
  <si>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</si>
  <si>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</si>
  <si>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</si>
  <si>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</si>
  <si>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</si>
  <si>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</si>
  <si>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</si>
  <si>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</si>
  <si>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</si>
  <si>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</si>
  <si>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</si>
  <si>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</si>
  <si>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</si>
  <si>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</si>
  <si>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</si>
  <si>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</si>
  <si>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</si>
  <si>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</si>
  <si>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</si>
  <si>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</si>
  <si>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</si>
  <si>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</si>
  <si>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</si>
  <si>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</si>
  <si>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Alwan</t>
  </si>
  <si>
    <t>IQ-P01199</t>
  </si>
  <si>
    <t>Badran</t>
  </si>
  <si>
    <t>البصرة -المدينة -البدران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</si>
  <si>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</si>
  <si>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</si>
  <si>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</si>
  <si>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</si>
  <si>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</si>
  <si>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</si>
  <si>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</si>
  <si>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</si>
  <si>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IQ-D013</t>
  </si>
  <si>
    <t>Al Dair-Al Zahra</t>
  </si>
  <si>
    <t>الدير -حي الزهراء</t>
  </si>
  <si>
    <t>Al Jelaa</t>
  </si>
  <si>
    <t>البصره-القرنه-الجلعه</t>
  </si>
  <si>
    <t>Al Sharsh Al Hamdawy</t>
  </si>
  <si>
    <t>Al Thagar-Al-Nekhelat</t>
  </si>
  <si>
    <t>الثغر- النخيلات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</si>
  <si>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</si>
  <si>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</si>
  <si>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</si>
  <si>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</si>
  <si>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</si>
  <si>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</si>
  <si>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</si>
  <si>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</si>
  <si>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</si>
  <si>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</si>
  <si>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</si>
  <si>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</si>
  <si>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</si>
  <si>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</si>
  <si>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</si>
  <si>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</si>
  <si>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</si>
  <si>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</si>
  <si>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Hay Al Hakeem</t>
  </si>
  <si>
    <t xml:space="preserve">حي الحكيم </t>
  </si>
  <si>
    <t>IQ-P01415</t>
  </si>
  <si>
    <t>Hay al-juma_a</t>
  </si>
  <si>
    <t>IQ-P01418</t>
  </si>
  <si>
    <t>Al-Zubair</t>
  </si>
  <si>
    <t xml:space="preserve">البصرة -الزبير -محلة الشمال </t>
  </si>
  <si>
    <t>IQ-D015</t>
  </si>
  <si>
    <t>IQ-P01559</t>
  </si>
  <si>
    <t>Al Dawajin</t>
  </si>
  <si>
    <t>IQ-P23945</t>
  </si>
  <si>
    <t>Al Dirhamiyah 1</t>
  </si>
  <si>
    <t>IQ-P01588</t>
  </si>
  <si>
    <t>Al Mushroaa</t>
  </si>
  <si>
    <t>المشروع</t>
  </si>
  <si>
    <t>Al Petro</t>
  </si>
  <si>
    <t>Al Rumilah Al Shamaliyah</t>
  </si>
  <si>
    <t>Al-dhweihrat</t>
  </si>
  <si>
    <t>الضويهرات</t>
  </si>
  <si>
    <t>IQ-P01564</t>
  </si>
  <si>
    <t>Al-Dur Al-Jahiza</t>
  </si>
  <si>
    <t>IQ-P01565</t>
  </si>
  <si>
    <t>Al-jamhoriyah al-olah</t>
  </si>
  <si>
    <t>البصرة -الزبير -الجمهورية 1</t>
  </si>
  <si>
    <t>IQ-P01566</t>
  </si>
  <si>
    <t>Al-jamhoriyah al-thaniyah</t>
  </si>
  <si>
    <t>الجمهورية 2</t>
  </si>
  <si>
    <t>IQ-P01567</t>
  </si>
  <si>
    <t>Al-Kut</t>
  </si>
  <si>
    <t>IQ-P01659</t>
  </si>
  <si>
    <t>Al-marbed al-kadeem</t>
  </si>
  <si>
    <t xml:space="preserve">المربد القديم </t>
  </si>
  <si>
    <t>IQ-P01570</t>
  </si>
  <si>
    <t>Al-rasheidiyah al-thaniyah</t>
  </si>
  <si>
    <t>البصرة -الزبير -الرشيدية 2</t>
  </si>
  <si>
    <t>IQ-P01575</t>
  </si>
  <si>
    <t>Al-Rasheidiyah Alolh</t>
  </si>
  <si>
    <t>البصرة -الزبير -الرشيدية 1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</si>
  <si>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</si>
  <si>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</si>
  <si>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</si>
  <si>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</si>
  <si>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</si>
  <si>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</si>
  <si>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IQ-P01616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</si>
  <si>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</si>
  <si>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</si>
  <si>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</si>
  <si>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</si>
  <si>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</si>
  <si>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</si>
  <si>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</si>
  <si>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</si>
  <si>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</si>
  <si>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IQ-P01617</t>
  </si>
  <si>
    <t xml:space="preserve">حي الفداء </t>
  </si>
  <si>
    <t>IQ-P01614</t>
  </si>
  <si>
    <t xml:space="preserve">البصرة -الزبير -حي الحسين 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</si>
  <si>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</si>
  <si>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</si>
  <si>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</si>
  <si>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</si>
  <si>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</si>
  <si>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</si>
  <si>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</si>
  <si>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</si>
  <si>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</si>
  <si>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البصرة -الزبير -حي الانصار 1</t>
  </si>
  <si>
    <t>Hay Alansar 2</t>
  </si>
  <si>
    <t>البصرة -الزبير -حي الانصار2</t>
  </si>
  <si>
    <t>Hay Alansar 3</t>
  </si>
  <si>
    <t>البصرة -الزبير -حي الانصار3</t>
  </si>
  <si>
    <t>Hay door al-senaah</t>
  </si>
  <si>
    <t xml:space="preserve">دور الصناعة </t>
  </si>
  <si>
    <t>IQ-P01648</t>
  </si>
  <si>
    <t>khor Al Zubair-Hay AL Hasan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</si>
  <si>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</si>
  <si>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</si>
  <si>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</si>
  <si>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</si>
  <si>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</si>
  <si>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</si>
  <si>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</si>
  <si>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</si>
  <si>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</si>
  <si>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</si>
  <si>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</si>
  <si>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IQ-P01657</t>
  </si>
  <si>
    <t>Safwan-Hay Al Hakim</t>
  </si>
  <si>
    <t>سفوان-حي الحكيم</t>
  </si>
  <si>
    <t>Safwan-Hay Al Risala</t>
  </si>
  <si>
    <t>سفوان -حي الرساله</t>
  </si>
  <si>
    <t>Safwan-Hay Al Tahreer</t>
  </si>
  <si>
    <t>سفوان-حي التحرير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</si>
  <si>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</si>
  <si>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</si>
  <si>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</si>
  <si>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</si>
  <si>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</si>
  <si>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</si>
  <si>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IQ-P00733</t>
  </si>
  <si>
    <t>Abu sukhair</t>
  </si>
  <si>
    <t>ابو صخير</t>
  </si>
  <si>
    <t>IQ-P00736</t>
  </si>
  <si>
    <t>Al Ablah</t>
  </si>
  <si>
    <t>IQ-P00742</t>
  </si>
  <si>
    <t>Al Amn Al Dakhly</t>
  </si>
  <si>
    <t xml:space="preserve">البصرة-الامن الداخلي </t>
  </si>
  <si>
    <t>IQ-P00743</t>
  </si>
  <si>
    <t>Al Andolous</t>
  </si>
  <si>
    <t>IQ-P00745</t>
  </si>
  <si>
    <t>Al Ashar Center</t>
  </si>
  <si>
    <t>مركز العشار</t>
  </si>
  <si>
    <t xml:space="preserve">البصرة -مركز الهارثة </t>
  </si>
  <si>
    <t>IQ-P00754</t>
  </si>
  <si>
    <t>IQ-P00924</t>
  </si>
  <si>
    <t>Al Harthah Almagdah</t>
  </si>
  <si>
    <t>الهارثة الماجدية</t>
  </si>
  <si>
    <t>Al Harthah Hai Al Intesar</t>
  </si>
  <si>
    <t>IQ-P00749</t>
  </si>
  <si>
    <t>Al Jazira-2</t>
  </si>
  <si>
    <t>البصرة -شط العرب -الجزيرة 2</t>
  </si>
  <si>
    <t>IQ-P00767</t>
  </si>
  <si>
    <t>Al Jumhuriya</t>
  </si>
  <si>
    <t>IQ-P00763</t>
  </si>
  <si>
    <t>Al Kaim 1</t>
  </si>
  <si>
    <t>Al Khaleej1</t>
  </si>
  <si>
    <t>IQ-P00911</t>
  </si>
  <si>
    <t>Al Khaleej4</t>
  </si>
  <si>
    <t>البصرة -الجمعيات -حي الخليج 4</t>
  </si>
  <si>
    <t>IQ-P00765</t>
  </si>
  <si>
    <t>المعقل الاحرار</t>
  </si>
  <si>
    <t>Al Maqil- Al-kindi</t>
  </si>
  <si>
    <t>IQ-P00826</t>
  </si>
  <si>
    <t>AL Mowafaqiah</t>
  </si>
  <si>
    <t xml:space="preserve">البصرة -الموفقية </t>
  </si>
  <si>
    <t>IQ-P00773</t>
  </si>
  <si>
    <t>Al Muhallab</t>
  </si>
  <si>
    <t>البصرة- حي المهلب</t>
  </si>
  <si>
    <t xml:space="preserve">البصرة -القبلة -حي البلديات </t>
  </si>
  <si>
    <t>IQ-P00776</t>
  </si>
  <si>
    <t>Al Qibla-Al Shahid Al Sadir</t>
  </si>
  <si>
    <t>AL Qiziza</t>
  </si>
  <si>
    <t>الكزيزه</t>
  </si>
  <si>
    <t>IQ-P00777</t>
  </si>
  <si>
    <t>AL Qiziza Hay AlSalam</t>
  </si>
  <si>
    <t>IQ-P00844</t>
  </si>
  <si>
    <t>Al Sholah</t>
  </si>
  <si>
    <t>الشعله</t>
  </si>
  <si>
    <t>IQ-P00779</t>
  </si>
  <si>
    <t>Al Tameemiya</t>
  </si>
  <si>
    <t>IQ-P00781</t>
  </si>
  <si>
    <t>Al Tuba Wa Al Nakhilah</t>
  </si>
  <si>
    <t>IQ-P23944</t>
  </si>
  <si>
    <t>Al Tuwaysa</t>
  </si>
  <si>
    <t>البصرة -الطويسه</t>
  </si>
  <si>
    <t>IQ-P00783</t>
  </si>
  <si>
    <t>Al-asma_i al-jadeed</t>
  </si>
  <si>
    <t>الاصمعي الجديد</t>
  </si>
  <si>
    <t>IQ-P00792</t>
  </si>
  <si>
    <t>Al-badran</t>
  </si>
  <si>
    <t>البصرة -الهارثة -البدران</t>
  </si>
  <si>
    <t>IQ-P00794</t>
  </si>
  <si>
    <t>Al-Baker &amp; Al-Ahrar</t>
  </si>
  <si>
    <t>البكر والاحرار</t>
  </si>
  <si>
    <t>IQ-P00795</t>
  </si>
  <si>
    <t>Al-bradhia</t>
  </si>
  <si>
    <t>IQ-P00798</t>
  </si>
  <si>
    <t>Al-hakeem</t>
  </si>
  <si>
    <t>IQ-P00812</t>
  </si>
  <si>
    <t>Al-hakemia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</si>
  <si>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</si>
  <si>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</si>
  <si>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</si>
  <si>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</si>
  <si>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</si>
  <si>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</si>
  <si>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</si>
  <si>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</si>
  <si>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</si>
  <si>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</si>
  <si>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</si>
  <si>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</si>
  <si>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</si>
  <si>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</si>
  <si>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 xml:space="preserve">البصرة -المشراق القديم </t>
  </si>
  <si>
    <t>IQ-P00835</t>
  </si>
  <si>
    <t>Al-Mishraq Al-Jadeed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</si>
  <si>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</si>
  <si>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</si>
  <si>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</si>
  <si>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</si>
  <si>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</si>
  <si>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</si>
  <si>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</si>
  <si>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</si>
  <si>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</si>
  <si>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</si>
  <si>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</si>
  <si>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</si>
  <si>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</si>
  <si>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</si>
  <si>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</si>
  <si>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</si>
  <si>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</si>
  <si>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</si>
  <si>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</si>
  <si>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</si>
  <si>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As-safat-Al Qadima</t>
  </si>
  <si>
    <t>IQ-P00861</t>
  </si>
  <si>
    <t>As-saimar</t>
  </si>
  <si>
    <t>السيمر</t>
  </si>
  <si>
    <t>IQ-P00862</t>
  </si>
  <si>
    <t>At-tahseeniya al-jadeda</t>
  </si>
  <si>
    <t>IQ-P00866</t>
  </si>
  <si>
    <t>Basra al qadima-Al Sadoniyah</t>
  </si>
  <si>
    <t>Braiha</t>
  </si>
  <si>
    <t xml:space="preserve">بريهة </t>
  </si>
  <si>
    <t>IQ-P00876</t>
  </si>
  <si>
    <t>Casino Lebnan</t>
  </si>
  <si>
    <t>البصرة -كازينو لبنان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</si>
  <si>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</si>
  <si>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</si>
  <si>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</si>
  <si>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</si>
  <si>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</si>
  <si>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</si>
  <si>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</si>
  <si>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</si>
  <si>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</si>
  <si>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</si>
  <si>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</si>
  <si>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</si>
  <si>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</si>
  <si>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</si>
  <si>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</si>
  <si>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</si>
  <si>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</si>
  <si>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</si>
  <si>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</si>
  <si>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IQ-P00906</t>
  </si>
  <si>
    <t>Hai al-kafa_at</t>
  </si>
  <si>
    <t>IQ-P00909</t>
  </si>
  <si>
    <t>حي الخضراء</t>
  </si>
  <si>
    <t>IQ-P00910</t>
  </si>
  <si>
    <t>IQ-P00912</t>
  </si>
  <si>
    <t>Hai al-khaleej-3</t>
  </si>
  <si>
    <t>IQ-P00913</t>
  </si>
  <si>
    <t>Hai al-mohandesin</t>
  </si>
  <si>
    <t>IQ-P00918</t>
  </si>
  <si>
    <t>Hai al-mu_alemin</t>
  </si>
  <si>
    <t>IQ-P00921</t>
  </si>
  <si>
    <t>Hai az-zahra_a</t>
  </si>
  <si>
    <t>IQ-P00928</t>
  </si>
  <si>
    <t>Hay Al Hussain 4</t>
  </si>
  <si>
    <t>البصرة -الحيانية -حي الحسين 4</t>
  </si>
  <si>
    <t>IQ-P00938</t>
  </si>
  <si>
    <t>Hay AL Hussainyia</t>
  </si>
  <si>
    <t>IQ-P00939</t>
  </si>
  <si>
    <t>Hay Al Jamiah</t>
  </si>
  <si>
    <t>IQ-P00941</t>
  </si>
  <si>
    <t>Hay Al Qaim 2</t>
  </si>
  <si>
    <t>البصرة -القبلة -القائم 2</t>
  </si>
  <si>
    <t>IQ-P00945</t>
  </si>
  <si>
    <t>Hay Al Rasheed</t>
  </si>
  <si>
    <t>IQ-P00946</t>
  </si>
  <si>
    <t>Hay Al Risalah</t>
  </si>
  <si>
    <t>IQ-P00947</t>
  </si>
  <si>
    <t>Hay Al Tamim</t>
  </si>
  <si>
    <t>الحيانية -حي التاميم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</si>
  <si>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</si>
  <si>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</si>
  <si>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</si>
  <si>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</si>
  <si>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</si>
  <si>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</si>
  <si>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</si>
  <si>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</si>
  <si>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البصرة-الحيانية -حي الحسين 3</t>
  </si>
  <si>
    <t>IQ-P00954</t>
  </si>
  <si>
    <t>Hay Al-Zohoor</t>
  </si>
  <si>
    <t>IQ-P00965</t>
  </si>
  <si>
    <t>Hay Tariq</t>
  </si>
  <si>
    <t>IQ-P00967</t>
  </si>
  <si>
    <t>Hmrenan</t>
  </si>
  <si>
    <t>IQ-P00933</t>
  </si>
  <si>
    <t>Ibn Ghazwan</t>
  </si>
  <si>
    <t>IQ-P00975</t>
  </si>
  <si>
    <t>الطويله</t>
  </si>
  <si>
    <t>Karmat Ali</t>
  </si>
  <si>
    <t>IQ-P00978</t>
  </si>
  <si>
    <t>Kut al-hejaj</t>
  </si>
  <si>
    <t>IQ-P00979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</si>
  <si>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</si>
  <si>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</si>
  <si>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</si>
  <si>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</si>
  <si>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</si>
  <si>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</si>
  <si>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حي الخطوة</t>
  </si>
  <si>
    <t xml:space="preserve">مجمع الحسين السكني </t>
  </si>
  <si>
    <t>Mosa Kadhim</t>
  </si>
  <si>
    <t>IQ-P00998</t>
  </si>
  <si>
    <t>Nadhran</t>
  </si>
  <si>
    <t>IQ-P01002</t>
  </si>
  <si>
    <t>Najibiah</t>
  </si>
  <si>
    <t xml:space="preserve">نجيبية </t>
  </si>
  <si>
    <t>IQ-P01005</t>
  </si>
  <si>
    <t>Sabkhat al-arab</t>
  </si>
  <si>
    <t>IQ-P01013</t>
  </si>
  <si>
    <t>Shuqaq al-faw</t>
  </si>
  <si>
    <t>IQ-P01020</t>
  </si>
  <si>
    <t>Um Al Neajj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</si>
  <si>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</si>
  <si>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</si>
  <si>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</si>
  <si>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</si>
  <si>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</si>
  <si>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</si>
  <si>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</si>
  <si>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</si>
  <si>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</si>
  <si>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</si>
  <si>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</si>
  <si>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</si>
  <si>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</si>
  <si>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</si>
  <si>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</si>
  <si>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</si>
  <si>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البصرة -شط العرب -الجزيرة 3</t>
  </si>
  <si>
    <t>IQ-P01468</t>
  </si>
  <si>
    <t>Al Nashwa-Center</t>
  </si>
  <si>
    <t>IQ-P01475</t>
  </si>
  <si>
    <t>Al Nashwa-Mayah Aldhawaen</t>
  </si>
  <si>
    <t>Al Sahel village</t>
  </si>
  <si>
    <t>IQ-P01477</t>
  </si>
  <si>
    <t>Al-Kibasi Kabeer</t>
  </si>
  <si>
    <t xml:space="preserve">البصرة -شط العرب -الكباسي الكبير </t>
  </si>
  <si>
    <t>IQ-P01498</t>
  </si>
  <si>
    <t>Al-Kibasi Saghir</t>
  </si>
  <si>
    <t>البصرة -شط العرب -الكباسي الصغير</t>
  </si>
  <si>
    <t>IQ-P01499</t>
  </si>
  <si>
    <t>As salehiyah</t>
  </si>
  <si>
    <t xml:space="preserve">الصالحية </t>
  </si>
  <si>
    <t>IQ-P01502</t>
  </si>
  <si>
    <t>Bait zair</t>
  </si>
  <si>
    <t>IQ-P01511</t>
  </si>
  <si>
    <t>Hay al-jami_a</t>
  </si>
  <si>
    <t>IQ-P01526</t>
  </si>
  <si>
    <t>Markaz Shat Al-Arab-Al Jazira 4</t>
  </si>
  <si>
    <t>البصرة -شط العرب -الجزيرة 4</t>
  </si>
  <si>
    <t>Shat Al Arab St 13</t>
  </si>
  <si>
    <t>IQ-P01549</t>
  </si>
  <si>
    <t>التنومه شارع 17</t>
  </si>
  <si>
    <t>Street 29</t>
  </si>
  <si>
    <t xml:space="preserve">شارع 29 </t>
  </si>
  <si>
    <t>Street 40</t>
  </si>
  <si>
    <t>Tanuma-Street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</si>
  <si>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</si>
  <si>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</si>
  <si>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</si>
  <si>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</si>
  <si>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</si>
  <si>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</si>
  <si>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</si>
  <si>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</si>
  <si>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</si>
  <si>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</si>
  <si>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</si>
  <si>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</si>
  <si>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</si>
  <si>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</si>
  <si>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</si>
  <si>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</si>
  <si>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</si>
  <si>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</si>
  <si>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</si>
  <si>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</si>
  <si>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</si>
  <si>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</si>
  <si>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</si>
  <si>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</si>
  <si>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</si>
  <si>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</si>
  <si>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</si>
  <si>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</si>
  <si>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</si>
  <si>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</si>
  <si>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</si>
  <si>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</si>
  <si>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</si>
  <si>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</si>
  <si>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</si>
  <si>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</si>
  <si>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</si>
  <si>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</si>
  <si>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</si>
  <si>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</si>
  <si>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</si>
  <si>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</si>
  <si>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</si>
  <si>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</si>
  <si>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</si>
  <si>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</si>
  <si>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</si>
  <si>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</si>
  <si>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</si>
  <si>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</si>
  <si>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</si>
  <si>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</si>
  <si>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</si>
  <si>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</si>
  <si>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</si>
  <si>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</si>
  <si>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</si>
  <si>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</si>
  <si>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</si>
  <si>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</si>
  <si>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</si>
  <si>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</si>
  <si>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</si>
  <si>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</si>
  <si>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</si>
  <si>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</si>
  <si>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</si>
  <si>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</si>
  <si>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</si>
  <si>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</si>
  <si>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</si>
  <si>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</si>
  <si>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</si>
  <si>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</si>
  <si>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</si>
  <si>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</si>
  <si>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</si>
  <si>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</si>
  <si>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</si>
  <si>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</si>
  <si>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</si>
  <si>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</si>
  <si>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</si>
  <si>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</si>
  <si>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</si>
  <si>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</si>
  <si>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</si>
  <si>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</si>
  <si>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</si>
  <si>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</si>
  <si>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</si>
  <si>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</si>
  <si>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</si>
  <si>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</si>
  <si>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</si>
  <si>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</si>
  <si>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</si>
  <si>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</si>
  <si>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</si>
  <si>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</si>
  <si>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</si>
  <si>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</si>
  <si>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</si>
  <si>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</si>
  <si>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</si>
  <si>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</si>
  <si>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</si>
  <si>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</si>
  <si>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</si>
  <si>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</si>
  <si>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</si>
  <si>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كيفيلا</t>
  </si>
  <si>
    <t>IQ-P09214</t>
  </si>
  <si>
    <t>مالتا العليا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</si>
  <si>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</si>
  <si>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</si>
  <si>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</si>
  <si>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</si>
  <si>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</si>
  <si>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</si>
  <si>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</si>
  <si>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</si>
  <si>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</si>
  <si>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</si>
  <si>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</si>
  <si>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</si>
  <si>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</si>
  <si>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</si>
  <si>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</si>
  <si>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</si>
  <si>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</si>
  <si>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</si>
  <si>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</si>
  <si>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</si>
  <si>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</si>
  <si>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</si>
  <si>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</si>
  <si>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</si>
  <si>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</si>
  <si>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</si>
  <si>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</si>
  <si>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</si>
  <si>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</si>
  <si>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</si>
  <si>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</si>
  <si>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</si>
  <si>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</si>
  <si>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</si>
  <si>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</si>
  <si>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</si>
  <si>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</si>
  <si>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</si>
  <si>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</si>
  <si>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</si>
  <si>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</si>
  <si>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</si>
  <si>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</si>
  <si>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</si>
  <si>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</si>
  <si>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</si>
  <si>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</si>
  <si>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</si>
  <si>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</si>
  <si>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</si>
  <si>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</si>
  <si>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</si>
  <si>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</si>
  <si>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</si>
  <si>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</si>
  <si>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</si>
  <si>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</si>
  <si>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</si>
  <si>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</si>
  <si>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</si>
  <si>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</si>
  <si>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</si>
  <si>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</si>
  <si>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</si>
  <si>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</si>
  <si>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</si>
  <si>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</si>
  <si>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</si>
  <si>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مخيم باجت كندالا</t>
  </si>
  <si>
    <t>Bakhitme</t>
  </si>
  <si>
    <t>باختيمي</t>
  </si>
  <si>
    <t>IQ-P09315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</si>
  <si>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</si>
  <si>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</si>
  <si>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</si>
  <si>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</si>
  <si>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</si>
  <si>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</si>
  <si>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</si>
  <si>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</si>
  <si>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</si>
  <si>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</si>
  <si>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</si>
  <si>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</si>
  <si>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معسكر دوميز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</si>
  <si>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</si>
  <si>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</si>
  <si>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</si>
  <si>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</si>
  <si>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</si>
  <si>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</si>
  <si>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</si>
  <si>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</si>
  <si>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</si>
  <si>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</si>
  <si>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</si>
  <si>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</si>
  <si>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</si>
  <si>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</si>
  <si>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</si>
  <si>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</si>
  <si>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</si>
  <si>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</si>
  <si>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</si>
  <si>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</si>
  <si>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</si>
  <si>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</si>
  <si>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</si>
  <si>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مام شفانا قديمة</t>
  </si>
  <si>
    <t>مام شفانا صغيرة</t>
  </si>
  <si>
    <t>دلب</t>
  </si>
  <si>
    <t>Misereek</t>
  </si>
  <si>
    <t>مسيريك</t>
  </si>
  <si>
    <t>IQ-P09437</t>
  </si>
  <si>
    <t>Namrike</t>
  </si>
  <si>
    <t>نمريكي</t>
  </si>
  <si>
    <t>IQ-P09444</t>
  </si>
  <si>
    <t>Qasr Yazddin</t>
  </si>
  <si>
    <t>قسر يزدين</t>
  </si>
  <si>
    <t>IQ-P09460</t>
  </si>
  <si>
    <t>قسريزدين قديمة</t>
  </si>
  <si>
    <t>Ribeybi</t>
  </si>
  <si>
    <t>ربيبي</t>
  </si>
  <si>
    <t>IQ-P09465</t>
  </si>
  <si>
    <t>Seje</t>
  </si>
  <si>
    <t>سيجي</t>
  </si>
  <si>
    <t>IQ-P09476</t>
  </si>
  <si>
    <t>Semel</t>
  </si>
  <si>
    <t>سيميل</t>
  </si>
  <si>
    <t>IQ-P09477</t>
  </si>
  <si>
    <t>Shariya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</si>
  <si>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</si>
  <si>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</si>
  <si>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</si>
  <si>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</si>
  <si>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</si>
  <si>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</si>
  <si>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</si>
  <si>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</si>
  <si>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صوركا قديمة</t>
  </si>
  <si>
    <t>Tanahi</t>
  </si>
  <si>
    <t>تناهي</t>
  </si>
  <si>
    <t>War City</t>
  </si>
  <si>
    <t>وار ستي</t>
  </si>
  <si>
    <t>IQ-P09508</t>
  </si>
  <si>
    <t>زينيا جديدة</t>
  </si>
  <si>
    <t>زينيا قديمة</t>
  </si>
  <si>
    <t>Zakho</t>
  </si>
  <si>
    <t>Abbasiya</t>
  </si>
  <si>
    <t>عباسية</t>
  </si>
  <si>
    <t>IQ-D051</t>
  </si>
  <si>
    <t>IQ-P09518</t>
  </si>
  <si>
    <t>Afirma</t>
  </si>
  <si>
    <t>افرما</t>
  </si>
  <si>
    <t>IQ-P09519</t>
  </si>
  <si>
    <t>Barzan</t>
  </si>
  <si>
    <t>بارزان</t>
  </si>
  <si>
    <t>IQ-P09559</t>
  </si>
  <si>
    <t>Batifa</t>
  </si>
  <si>
    <t>باتيفا</t>
  </si>
  <si>
    <t>IQ-P09563</t>
  </si>
  <si>
    <t>Bedar</t>
  </si>
  <si>
    <t>بيدار</t>
  </si>
  <si>
    <t>IQ-P09569</t>
  </si>
  <si>
    <t>Bersive 1 Camp</t>
  </si>
  <si>
    <t>Bersive 2 Camp</t>
  </si>
  <si>
    <t>Betasi</t>
  </si>
  <si>
    <t>بيتاسي</t>
  </si>
  <si>
    <t>Chamishku Camp</t>
  </si>
  <si>
    <t>Chamkork</t>
  </si>
  <si>
    <t>جم كورك</t>
  </si>
  <si>
    <t>IQ-P09594</t>
  </si>
  <si>
    <t>Chamsirmo</t>
  </si>
  <si>
    <t>جم سيرمو</t>
  </si>
  <si>
    <t>IQ-P09597</t>
  </si>
  <si>
    <t>Dalal City</t>
  </si>
  <si>
    <t>دلال ستي</t>
  </si>
  <si>
    <t>Darhozan Village</t>
  </si>
  <si>
    <t>قرية دار هوزان</t>
  </si>
  <si>
    <t>IQ-P09606</t>
  </si>
  <si>
    <t>Darkar</t>
  </si>
  <si>
    <t>دركار</t>
  </si>
  <si>
    <t>IQ-P09609</t>
  </si>
  <si>
    <t>Dwanza Milan</t>
  </si>
  <si>
    <t>دوانزه ملان</t>
  </si>
  <si>
    <t>FIRQA</t>
  </si>
  <si>
    <t>فرقة</t>
  </si>
  <si>
    <t>IQ-P09637</t>
  </si>
  <si>
    <t>Fishkhaboor</t>
  </si>
  <si>
    <t>فيشخابور</t>
  </si>
  <si>
    <t>IQ-P09636</t>
  </si>
  <si>
    <t>Garak Sindi Village</t>
  </si>
  <si>
    <t>قرية كرك سندي</t>
  </si>
  <si>
    <t>Hassan Ava</t>
  </si>
  <si>
    <t>حسن آفا</t>
  </si>
  <si>
    <t>IQ-P09658</t>
  </si>
  <si>
    <t>Ibrahim Khalil Street</t>
  </si>
  <si>
    <t>شارع ابراهيم خليل</t>
  </si>
  <si>
    <t>Khrababka</t>
  </si>
  <si>
    <t>خرابابكا</t>
  </si>
  <si>
    <t>IQ-P09697</t>
  </si>
  <si>
    <t>Kundeky</t>
  </si>
  <si>
    <t>كوندكي</t>
  </si>
  <si>
    <t>IQ-P09706</t>
  </si>
  <si>
    <t>Mhamadiya</t>
  </si>
  <si>
    <t>مهمدية</t>
  </si>
  <si>
    <t>IQ-P09605</t>
  </si>
  <si>
    <t>Nassara</t>
  </si>
  <si>
    <t>نصارا</t>
  </si>
  <si>
    <t>IQ-P09730</t>
  </si>
  <si>
    <t>Qarawla</t>
  </si>
  <si>
    <t>قرولا</t>
  </si>
  <si>
    <t>IQ-P09742</t>
  </si>
  <si>
    <t>Rikawa Jadidi</t>
  </si>
  <si>
    <t>ركاوا جديد</t>
  </si>
  <si>
    <t>Rizgari</t>
  </si>
  <si>
    <t>رزكاري</t>
  </si>
  <si>
    <t>IQ-P09750</t>
  </si>
  <si>
    <t>Salahaddin</t>
  </si>
  <si>
    <t>صلاح الدين</t>
  </si>
  <si>
    <t>IQ-P09754</t>
  </si>
  <si>
    <t>Shabaniyah</t>
  </si>
  <si>
    <t>شعبانية</t>
  </si>
  <si>
    <t>IQ-P09766</t>
  </si>
  <si>
    <t>Shkafta Mara</t>
  </si>
  <si>
    <t>شكفتا مارا</t>
  </si>
  <si>
    <t>IQ-P09775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</si>
  <si>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</si>
  <si>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</si>
  <si>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</si>
  <si>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</si>
  <si>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</si>
  <si>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</si>
  <si>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</si>
  <si>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</si>
  <si>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</si>
  <si>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</si>
  <si>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</si>
  <si>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</si>
  <si>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</si>
  <si>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</si>
  <si>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</si>
  <si>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</si>
  <si>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</si>
  <si>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</si>
  <si>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</si>
  <si>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</si>
  <si>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الحديد- حي البنوك</t>
  </si>
  <si>
    <t>مركز الخالص</t>
  </si>
  <si>
    <t>IQ-P12409</t>
  </si>
  <si>
    <t>قرية المهندسين الزراعيين</t>
  </si>
  <si>
    <t>قرية الرميلات</t>
  </si>
  <si>
    <t>Al Sadah Al Neeam Village</t>
  </si>
  <si>
    <t>قرية السادة النعيم</t>
  </si>
  <si>
    <t>Al Sindiyah village</t>
  </si>
  <si>
    <t>قرية السندية</t>
  </si>
  <si>
    <t>قرية المكاريين</t>
  </si>
  <si>
    <t>قرية المشروع</t>
  </si>
  <si>
    <t>قرية السادة</t>
  </si>
  <si>
    <t>Albu Bali</t>
  </si>
  <si>
    <t>البوبالي</t>
  </si>
  <si>
    <t>IQ-P12428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</si>
  <si>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</si>
  <si>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</si>
  <si>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</si>
  <si>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</si>
  <si>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</si>
  <si>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</si>
  <si>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</si>
  <si>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</si>
  <si>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قرية عرب تتن</t>
  </si>
  <si>
    <t>قرية داوود السلوم</t>
  </si>
  <si>
    <t>Hawaish Village</t>
  </si>
  <si>
    <t>قرية الحويش</t>
  </si>
  <si>
    <t>IQ-P12454</t>
  </si>
  <si>
    <t>IQ-P12464</t>
  </si>
  <si>
    <t>IQ-P12478</t>
  </si>
  <si>
    <t>Hibhib-Abo Khurda Village</t>
  </si>
  <si>
    <t>الحي العصري</t>
  </si>
  <si>
    <t>Hibhib-Al Hashmya Village</t>
  </si>
  <si>
    <t>Hibhib-Al Lokmanya Village</t>
  </si>
  <si>
    <t>Hibhib-Al Raga Village</t>
  </si>
  <si>
    <t>Hibhib-Al Yarmook Village</t>
  </si>
  <si>
    <t>Hibhib-Hay Al Resala</t>
  </si>
  <si>
    <t>Jadidat Al Shat village</t>
  </si>
  <si>
    <t>IQ-P12481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</si>
  <si>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</si>
  <si>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</si>
  <si>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</si>
  <si>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</si>
  <si>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</si>
  <si>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</si>
  <si>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</si>
  <si>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</si>
  <si>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</si>
  <si>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</si>
  <si>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</si>
  <si>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IQ-D058</t>
  </si>
  <si>
    <t>IQ-P12158</t>
  </si>
  <si>
    <t>حي الدواسر</t>
  </si>
  <si>
    <t>IQ-P12164</t>
  </si>
  <si>
    <t>Al Doryeen Village</t>
  </si>
  <si>
    <t>قرية الدوريين</t>
  </si>
  <si>
    <t>IQ-P12166</t>
  </si>
  <si>
    <t>الكاطون -حي المجمع</t>
  </si>
  <si>
    <t>الكاطون -الرحمة</t>
  </si>
  <si>
    <t>Al Hawidar</t>
  </si>
  <si>
    <t>الهويدر</t>
  </si>
  <si>
    <t>IQ-P12172</t>
  </si>
  <si>
    <t>Al Mafraq</t>
  </si>
  <si>
    <t>المفرق</t>
  </si>
  <si>
    <t>IQ-P12177</t>
  </si>
  <si>
    <t>IQ-P12183</t>
  </si>
  <si>
    <t>قرية السبتية</t>
  </si>
  <si>
    <t>IQ-P12187</t>
  </si>
  <si>
    <t xml:space="preserve">قرية السادة </t>
  </si>
  <si>
    <t>IQ-P12188</t>
  </si>
  <si>
    <t>Al Sadah Village</t>
  </si>
  <si>
    <t>قرية السعادة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</si>
  <si>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</si>
  <si>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</si>
  <si>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</si>
  <si>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</si>
  <si>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</si>
  <si>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</si>
  <si>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</si>
  <si>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</si>
  <si>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Al- Mustafa Qtr</t>
  </si>
  <si>
    <t>حي نهر الحجية</t>
  </si>
  <si>
    <t>IQ-P12203</t>
  </si>
  <si>
    <t>Al-Manjara Village</t>
  </si>
  <si>
    <t>قرية المنجرة</t>
  </si>
  <si>
    <t>IQ-P12206</t>
  </si>
  <si>
    <t>IQ-P12209</t>
  </si>
  <si>
    <t>Al-Sumud Qtr</t>
  </si>
  <si>
    <t>Al-Swamra village</t>
  </si>
  <si>
    <t>IQ-P12219</t>
  </si>
  <si>
    <t>Buhriz-Abdulah Jasim village</t>
  </si>
  <si>
    <t>قرية عبد الله جاسم</t>
  </si>
  <si>
    <t>Buhriz-Al Bwadish village</t>
  </si>
  <si>
    <t>قرية البواديش</t>
  </si>
  <si>
    <t>بهرز- الحي العصري</t>
  </si>
  <si>
    <t>بهرز- حي المصطفى</t>
  </si>
  <si>
    <t>IQ-P12263</t>
  </si>
  <si>
    <t>IQ-P12293</t>
  </si>
  <si>
    <t>Buhriz-Shatib village</t>
  </si>
  <si>
    <t>قرية شطب</t>
  </si>
  <si>
    <t>قرية جبينات</t>
  </si>
  <si>
    <t>IQ-P12244</t>
  </si>
  <si>
    <t xml:space="preserve">قرية الحد الاخضر </t>
  </si>
  <si>
    <t>IQ-P12247</t>
  </si>
  <si>
    <t>Had Mekser</t>
  </si>
  <si>
    <t>حد مكسر</t>
  </si>
  <si>
    <t>IQ-P12249</t>
  </si>
  <si>
    <t>حي الانتصار 1</t>
  </si>
  <si>
    <t>IQ-P12256</t>
  </si>
  <si>
    <t xml:space="preserve">قرية الكرامة </t>
  </si>
  <si>
    <t>IQ-P12257</t>
  </si>
  <si>
    <t>IQ-P12267</t>
  </si>
  <si>
    <t>IQ-P12270</t>
  </si>
  <si>
    <t>حي المعلمين-الشهيد وضاح</t>
  </si>
  <si>
    <t>IQ-P12284</t>
  </si>
  <si>
    <t>Hay Al-Shuhada</t>
  </si>
  <si>
    <t>IQ-P12288</t>
  </si>
  <si>
    <t>حي جرف الملح</t>
  </si>
  <si>
    <t>IQ-P12294</t>
  </si>
  <si>
    <t xml:space="preserve">مركز ناحية كنعان </t>
  </si>
  <si>
    <t>IQ-P12311</t>
  </si>
  <si>
    <t>حي العصري</t>
  </si>
  <si>
    <t>حي الشركة</t>
  </si>
  <si>
    <t>حي دور مندلي</t>
  </si>
  <si>
    <t>قرية فارس طارش</t>
  </si>
  <si>
    <t>قرية قنبر</t>
  </si>
  <si>
    <t>قرية خميس</t>
  </si>
  <si>
    <t>قرية نهر ابراهيم</t>
  </si>
  <si>
    <t>قرية نهر شيخ تميم</t>
  </si>
  <si>
    <t>قرية سيسبانه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</si>
  <si>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</si>
  <si>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</si>
  <si>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</si>
  <si>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</si>
  <si>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</si>
  <si>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</si>
  <si>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</si>
  <si>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</si>
  <si>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</si>
  <si>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</si>
  <si>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</si>
  <si>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</si>
  <si>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</si>
  <si>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</si>
  <si>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</si>
  <si>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</si>
  <si>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</si>
  <si>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</si>
  <si>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</si>
  <si>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</si>
  <si>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</si>
  <si>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</si>
  <si>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</si>
  <si>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</si>
  <si>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</si>
  <si>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</si>
  <si>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</si>
  <si>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</si>
  <si>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</si>
  <si>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</si>
  <si>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</si>
  <si>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</si>
  <si>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</si>
  <si>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</si>
  <si>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</si>
  <si>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</si>
  <si>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</si>
  <si>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</si>
  <si>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</si>
  <si>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</si>
  <si>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</si>
  <si>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</si>
  <si>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قرية الصدرانية</t>
  </si>
  <si>
    <t>IQ-P11893</t>
  </si>
  <si>
    <t>Al-Sawad Village</t>
  </si>
  <si>
    <t>Al-Wasiti Village</t>
  </si>
  <si>
    <t>قرية الوسيطي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</si>
  <si>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</si>
  <si>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</si>
  <si>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</si>
  <si>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</si>
  <si>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</si>
  <si>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</si>
  <si>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</si>
  <si>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</si>
  <si>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</si>
  <si>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</si>
  <si>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</si>
  <si>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IQ-P12035</t>
  </si>
  <si>
    <t>Matar Abuss Village</t>
  </si>
  <si>
    <t>قرية مطرعبوس</t>
  </si>
  <si>
    <t>Naif Ahmad Village</t>
  </si>
  <si>
    <t>قرية نايف احمد</t>
  </si>
  <si>
    <t>قرية دبات</t>
  </si>
  <si>
    <t>IQ-P12085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</si>
  <si>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</si>
  <si>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</si>
  <si>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</si>
  <si>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</si>
  <si>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</si>
  <si>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</si>
  <si>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</si>
  <si>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</si>
  <si>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</si>
  <si>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</si>
  <si>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</si>
  <si>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</si>
  <si>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</si>
  <si>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</si>
  <si>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</si>
  <si>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</si>
  <si>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</si>
  <si>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</si>
  <si>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قرية البشر</t>
  </si>
  <si>
    <t>aldarawsha village</t>
  </si>
  <si>
    <t>قرية الدراوشة</t>
  </si>
  <si>
    <t>قرية عليان</t>
  </si>
  <si>
    <t>Ali Beck village</t>
  </si>
  <si>
    <t>قرية علي بيك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</si>
  <si>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</si>
  <si>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</si>
  <si>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</si>
  <si>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</si>
  <si>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</si>
  <si>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</si>
  <si>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IQ-P12903</t>
  </si>
  <si>
    <t>Bahari Taza Area</t>
  </si>
  <si>
    <t>منطقة بهار تازة</t>
  </si>
  <si>
    <t>Bakaly village</t>
  </si>
  <si>
    <t>قرية بكالي (البجاجيل)</t>
  </si>
  <si>
    <t>حي بختياري</t>
  </si>
  <si>
    <t>Clay Hussein village</t>
  </si>
  <si>
    <t>قرية كلاي حسين</t>
  </si>
  <si>
    <t>darwish village</t>
  </si>
  <si>
    <t>قرية درويش</t>
  </si>
  <si>
    <t>Dora village</t>
  </si>
  <si>
    <t>قرية دورة</t>
  </si>
  <si>
    <t>Hassan Garad Village</t>
  </si>
  <si>
    <t>قرية حسن جراد</t>
  </si>
  <si>
    <t>Hay Al Askari</t>
  </si>
  <si>
    <t>حي عسكري</t>
  </si>
  <si>
    <t>حي إمام عباس</t>
  </si>
  <si>
    <t>Ibrahim bek village</t>
  </si>
  <si>
    <t>قرية ابراهيم بيك</t>
  </si>
  <si>
    <t>IQ-P12759</t>
  </si>
  <si>
    <t>kader bek village</t>
  </si>
  <si>
    <t>قرية قادر بيك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</si>
  <si>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</si>
  <si>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</si>
  <si>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</si>
  <si>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</si>
  <si>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</si>
  <si>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</si>
  <si>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</si>
  <si>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</si>
  <si>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</si>
  <si>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Mekhas Village</t>
  </si>
  <si>
    <t>IQ-P12832</t>
  </si>
  <si>
    <t>Mohammed Abbas village</t>
  </si>
  <si>
    <t>قرية محمد عباس</t>
  </si>
  <si>
    <t>mohammed humeli village</t>
  </si>
  <si>
    <t>قرية محمد هميلي</t>
  </si>
  <si>
    <t>IQ-P12820</t>
  </si>
  <si>
    <t>Nargis village</t>
  </si>
  <si>
    <t>قرية نرجس</t>
  </si>
  <si>
    <t>Qoratu Camp</t>
  </si>
  <si>
    <t>قوارتو كامب</t>
  </si>
  <si>
    <t>Rahamalla Village</t>
  </si>
  <si>
    <t>قرية الرحاملة</t>
  </si>
  <si>
    <t>IQ-P12882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</si>
  <si>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</si>
  <si>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</si>
  <si>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</si>
  <si>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</si>
  <si>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</si>
  <si>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</si>
  <si>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</si>
  <si>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</si>
  <si>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</si>
  <si>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</si>
  <si>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</si>
  <si>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tal abbas village</t>
  </si>
  <si>
    <t>قرية تل عباس (القاية)</t>
  </si>
  <si>
    <t>قرية تل منجل</t>
  </si>
  <si>
    <t>IQ-P12955</t>
  </si>
  <si>
    <t>Totk Village</t>
  </si>
  <si>
    <t>قرية توتك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</si>
  <si>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</si>
  <si>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</si>
  <si>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</si>
  <si>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</si>
  <si>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</si>
  <si>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</si>
  <si>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</si>
  <si>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</si>
  <si>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</si>
  <si>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</si>
  <si>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</si>
  <si>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</si>
  <si>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</si>
  <si>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</si>
  <si>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</si>
  <si>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</si>
  <si>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</si>
  <si>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</si>
  <si>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</si>
  <si>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</si>
  <si>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</si>
  <si>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</si>
  <si>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</si>
  <si>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</si>
  <si>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</si>
  <si>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</si>
  <si>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</si>
  <si>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</si>
  <si>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</si>
  <si>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</si>
  <si>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</si>
  <si>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</si>
  <si>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</si>
  <si>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</si>
  <si>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</si>
  <si>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</si>
  <si>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</si>
  <si>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</si>
  <si>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</si>
  <si>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</si>
  <si>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</si>
  <si>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</si>
  <si>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</si>
  <si>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</si>
  <si>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</si>
  <si>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</si>
  <si>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</si>
  <si>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</si>
  <si>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</si>
  <si>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</si>
  <si>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</si>
  <si>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</si>
  <si>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مجمع اندزياران السكني</t>
  </si>
  <si>
    <t>Ashti(147)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</si>
  <si>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</si>
  <si>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</si>
  <si>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</si>
  <si>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</si>
  <si>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</si>
  <si>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</si>
  <si>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</si>
  <si>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</si>
  <si>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</si>
  <si>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</si>
  <si>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</si>
  <si>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</si>
  <si>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</si>
  <si>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IQ-P13575</t>
  </si>
  <si>
    <t>bahrka al jadeda</t>
  </si>
  <si>
    <t>بحركه الجديده</t>
  </si>
  <si>
    <t>IQ-P13577</t>
  </si>
  <si>
    <t>Bahrka gulan</t>
  </si>
  <si>
    <t>بحركه كولان</t>
  </si>
  <si>
    <t>بيرداود</t>
  </si>
  <si>
    <t>Byaban</t>
  </si>
  <si>
    <t>بيابان</t>
  </si>
  <si>
    <t>Byaban Village</t>
  </si>
  <si>
    <t xml:space="preserve">قريه بيابان </t>
  </si>
  <si>
    <t>Daratu-Brayati</t>
  </si>
  <si>
    <t>داره تو-برايتي</t>
  </si>
  <si>
    <t>Daratu-Nishtiman</t>
  </si>
  <si>
    <t>داره تو- نيشتمان</t>
  </si>
  <si>
    <t>داره تو نوي</t>
  </si>
  <si>
    <t>IQ-P13628</t>
  </si>
  <si>
    <t>Du sara fatah</t>
  </si>
  <si>
    <t>دوسرة فتاح</t>
  </si>
  <si>
    <t>IQ-P13640</t>
  </si>
  <si>
    <t>بوابة اربيل</t>
  </si>
  <si>
    <t>حي الزراعة</t>
  </si>
  <si>
    <t>Erbil-Qushtappa</t>
  </si>
  <si>
    <t>كزنه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</si>
  <si>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</si>
  <si>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</si>
  <si>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</si>
  <si>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</si>
  <si>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</si>
  <si>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</si>
  <si>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</si>
  <si>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</si>
  <si>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</si>
  <si>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</si>
  <si>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</si>
  <si>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</si>
  <si>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Havalan</t>
  </si>
  <si>
    <t>هفالان</t>
  </si>
  <si>
    <t>IQ-P13687</t>
  </si>
  <si>
    <t>Hawler city</t>
  </si>
  <si>
    <t>هولير ستي</t>
  </si>
  <si>
    <t>هوليرنوي</t>
  </si>
  <si>
    <t>Hay Askary</t>
  </si>
  <si>
    <t>IQ-P13689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</si>
  <si>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</si>
  <si>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</si>
  <si>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</si>
  <si>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</si>
  <si>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</si>
  <si>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</si>
  <si>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</si>
  <si>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</si>
  <si>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</si>
  <si>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</si>
  <si>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</si>
  <si>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</si>
  <si>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</si>
  <si>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</si>
  <si>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</si>
  <si>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Kawa Collective</t>
  </si>
  <si>
    <t>مجمع كاوه</t>
  </si>
  <si>
    <t>IQ-P13733</t>
  </si>
  <si>
    <t>Khabat</t>
  </si>
  <si>
    <t>خبات</t>
  </si>
  <si>
    <t>IQ-P13737</t>
  </si>
  <si>
    <t>IQ-P13738</t>
  </si>
  <si>
    <t>Khoragr</t>
  </si>
  <si>
    <t>خوراكر</t>
  </si>
  <si>
    <t>IQ-P13744</t>
  </si>
  <si>
    <t>Kurd Stan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</si>
  <si>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</si>
  <si>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</si>
  <si>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</si>
  <si>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</si>
  <si>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</si>
  <si>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</si>
  <si>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</si>
  <si>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</si>
  <si>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</si>
  <si>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</si>
  <si>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</si>
  <si>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</si>
  <si>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</si>
  <si>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</si>
  <si>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</si>
  <si>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</si>
  <si>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</si>
  <si>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</si>
  <si>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</si>
  <si>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</si>
  <si>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منارة ستي</t>
  </si>
  <si>
    <t>Mustawfi</t>
  </si>
  <si>
    <t>مستوفي</t>
  </si>
  <si>
    <t>IQ-P13791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</si>
  <si>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</si>
  <si>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</si>
  <si>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</si>
  <si>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</si>
  <si>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</si>
  <si>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</si>
  <si>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</si>
  <si>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</si>
  <si>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</si>
  <si>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</si>
  <si>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</si>
  <si>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</si>
  <si>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</si>
  <si>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</si>
  <si>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</si>
  <si>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</si>
  <si>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</si>
  <si>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</si>
  <si>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</si>
  <si>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</si>
  <si>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</si>
  <si>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</si>
  <si>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</si>
  <si>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</si>
  <si>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</si>
  <si>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</si>
  <si>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</si>
  <si>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</si>
  <si>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</si>
  <si>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</si>
  <si>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</si>
  <si>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</si>
  <si>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</si>
  <si>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</si>
  <si>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</si>
  <si>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</si>
  <si>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</si>
  <si>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</si>
  <si>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</si>
  <si>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</si>
  <si>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</si>
  <si>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</si>
  <si>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 xml:space="preserve">قصر رستم- مجمع كرمه </t>
  </si>
  <si>
    <t>Rustm palace center-Mar eilya</t>
  </si>
  <si>
    <t>Rzgari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</si>
  <si>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</si>
  <si>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</si>
  <si>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</si>
  <si>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</si>
  <si>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</si>
  <si>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</si>
  <si>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</si>
  <si>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</si>
  <si>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</si>
  <si>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</si>
  <si>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</si>
  <si>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</si>
  <si>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</si>
  <si>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</si>
  <si>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</si>
  <si>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</si>
  <si>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</si>
  <si>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</si>
  <si>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</si>
  <si>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</si>
  <si>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</si>
  <si>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شاويس</t>
  </si>
  <si>
    <t>IQ-P13888</t>
  </si>
  <si>
    <t>Shiraton</t>
  </si>
  <si>
    <t>شيراتون</t>
  </si>
  <si>
    <t>IQ-P13903</t>
  </si>
  <si>
    <t>شورش (حاكم اوا)</t>
  </si>
  <si>
    <t>شورش (حي اري)</t>
  </si>
  <si>
    <t>شورش (ملايان)</t>
  </si>
  <si>
    <t xml:space="preserve">شورش (صلاح الدين) </t>
  </si>
  <si>
    <t>سيطاقان</t>
  </si>
  <si>
    <t>IQ-P13906</t>
  </si>
  <si>
    <t>سومر</t>
  </si>
  <si>
    <t>IQ-P13917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</si>
  <si>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</si>
  <si>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</si>
  <si>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</si>
  <si>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</si>
  <si>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</si>
  <si>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</si>
  <si>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</si>
  <si>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</si>
  <si>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</si>
  <si>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</si>
  <si>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</si>
  <si>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</si>
  <si>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</si>
  <si>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</si>
  <si>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</si>
  <si>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</si>
  <si>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</si>
  <si>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</si>
  <si>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</si>
  <si>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</si>
  <si>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</si>
  <si>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</si>
  <si>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</si>
  <si>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</si>
  <si>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</si>
  <si>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</si>
  <si>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</si>
  <si>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Camp Sarazan</t>
  </si>
  <si>
    <t>كمب سه ره زان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</si>
  <si>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</si>
  <si>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</si>
  <si>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</si>
  <si>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</si>
  <si>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</si>
  <si>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</si>
  <si>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</si>
  <si>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</si>
  <si>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</si>
  <si>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</si>
  <si>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</si>
  <si>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</si>
  <si>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</si>
  <si>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</si>
  <si>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</si>
  <si>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</si>
  <si>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</si>
  <si>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</si>
  <si>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</si>
  <si>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</si>
  <si>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</si>
  <si>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</si>
  <si>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</si>
  <si>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</si>
  <si>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علي ملا داود</t>
  </si>
  <si>
    <t>IQ-P14163</t>
  </si>
  <si>
    <t>IQ-P14569</t>
  </si>
  <si>
    <t>Debaga stadium Camp</t>
  </si>
  <si>
    <t>كمب ملعب ديبكه</t>
  </si>
  <si>
    <t>Hawera</t>
  </si>
  <si>
    <t>هويرة</t>
  </si>
  <si>
    <t>IQ-P14321</t>
  </si>
  <si>
    <t>حويجكة</t>
  </si>
  <si>
    <t>IQ-P14322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</si>
  <si>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</si>
  <si>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</si>
  <si>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</si>
  <si>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</si>
  <si>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</si>
  <si>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</si>
  <si>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</si>
  <si>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</si>
  <si>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</si>
  <si>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</si>
  <si>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</si>
  <si>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</si>
  <si>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</si>
  <si>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</si>
  <si>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</si>
  <si>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</si>
  <si>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</si>
  <si>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</si>
  <si>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</si>
  <si>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</si>
  <si>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</si>
  <si>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</si>
  <si>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</si>
  <si>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</si>
  <si>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</si>
  <si>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</si>
  <si>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</si>
  <si>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IQ-P14897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</si>
  <si>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</si>
  <si>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</si>
  <si>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</si>
  <si>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</si>
  <si>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</si>
  <si>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</si>
  <si>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</si>
  <si>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</si>
  <si>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</si>
  <si>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</si>
  <si>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</si>
  <si>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</si>
  <si>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</si>
  <si>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</si>
  <si>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</si>
  <si>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لاس</t>
  </si>
  <si>
    <t>IQ-P14999</t>
  </si>
  <si>
    <t>Sabirawa</t>
  </si>
  <si>
    <t>سابيراوه</t>
  </si>
  <si>
    <t>IQ-P15052</t>
  </si>
  <si>
    <t>سفين</t>
  </si>
  <si>
    <t>IQ-P15053</t>
  </si>
  <si>
    <t>IQ-P15060</t>
  </si>
  <si>
    <t>IQ-P15061</t>
  </si>
  <si>
    <t>IQ-P15062</t>
  </si>
  <si>
    <t>IQ-P15069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</si>
  <si>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</si>
  <si>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</si>
  <si>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</si>
  <si>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</si>
  <si>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</si>
  <si>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</si>
  <si>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</si>
  <si>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</si>
  <si>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</si>
  <si>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</si>
  <si>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</si>
  <si>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</si>
  <si>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</si>
  <si>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</si>
  <si>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</si>
  <si>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</si>
  <si>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</si>
  <si>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</si>
  <si>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</si>
  <si>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</si>
  <si>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</si>
  <si>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</si>
  <si>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</si>
  <si>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</si>
  <si>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</si>
  <si>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IQ-P15365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</si>
  <si>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</si>
  <si>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</si>
  <si>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</si>
  <si>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</si>
  <si>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</si>
  <si>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</si>
  <si>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</si>
  <si>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</si>
  <si>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</si>
  <si>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</si>
  <si>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IQ-G12</t>
  </si>
  <si>
    <t>IQ-D070</t>
  </si>
  <si>
    <t>Al Hasawen</t>
  </si>
  <si>
    <t>الحساوين</t>
  </si>
  <si>
    <t>Al Zakareet</t>
  </si>
  <si>
    <t xml:space="preserve">الزكاريط </t>
  </si>
  <si>
    <t>IQ-P15570</t>
  </si>
  <si>
    <t>Al-Darwashah</t>
  </si>
  <si>
    <t>IQ-P15590</t>
  </si>
  <si>
    <t>Albo Hardan</t>
  </si>
  <si>
    <t>البو حردان</t>
  </si>
  <si>
    <t>IQ-P15575</t>
  </si>
  <si>
    <t>Albu Hassan</t>
  </si>
  <si>
    <t xml:space="preserve">البو حسان </t>
  </si>
  <si>
    <t>IQ-P15587</t>
  </si>
  <si>
    <t>Albu Hawa-102</t>
  </si>
  <si>
    <t>IQ-P15588</t>
  </si>
  <si>
    <t>IQ-P15616</t>
  </si>
  <si>
    <t>IQ-P15617</t>
  </si>
  <si>
    <t>Hay Um Al-Rumilah</t>
  </si>
  <si>
    <t>ام رميلة</t>
  </si>
  <si>
    <t>IQ-P15621</t>
  </si>
  <si>
    <t>العين</t>
  </si>
  <si>
    <t>حي الجهاد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</si>
  <si>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</si>
  <si>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</si>
  <si>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</si>
  <si>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</si>
  <si>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</si>
  <si>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</si>
  <si>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</si>
  <si>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</si>
  <si>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</si>
  <si>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</si>
  <si>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</si>
  <si>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</si>
  <si>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</si>
  <si>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</si>
  <si>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</si>
  <si>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</si>
  <si>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</si>
  <si>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</si>
  <si>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</si>
  <si>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</si>
  <si>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</si>
  <si>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</si>
  <si>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</si>
  <si>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</si>
  <si>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</si>
  <si>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</si>
  <si>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</si>
  <si>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</si>
  <si>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</si>
  <si>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</si>
  <si>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</si>
  <si>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</si>
  <si>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</si>
  <si>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دور الحجر</t>
  </si>
  <si>
    <t>emlbege(hay al salam)</t>
  </si>
  <si>
    <t>املبيج(حي السلام)</t>
  </si>
  <si>
    <t>Hay Al Askari-Mahalla 113</t>
  </si>
  <si>
    <t>حي العسكري -محله 113</t>
  </si>
  <si>
    <t>IQ-P15847</t>
  </si>
  <si>
    <t>Hay Al Zeraa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</si>
  <si>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</si>
  <si>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</si>
  <si>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</si>
  <si>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</si>
  <si>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</si>
  <si>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</si>
  <si>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</si>
  <si>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</si>
  <si>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</si>
  <si>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</si>
  <si>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</si>
  <si>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</si>
  <si>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</si>
  <si>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</si>
  <si>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</si>
  <si>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</si>
  <si>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</si>
  <si>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</si>
  <si>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</si>
  <si>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</si>
  <si>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</si>
  <si>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</si>
  <si>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</si>
  <si>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</si>
  <si>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</si>
  <si>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</si>
  <si>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</si>
  <si>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</si>
  <si>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</si>
  <si>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</si>
  <si>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</si>
  <si>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</si>
  <si>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</si>
  <si>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</si>
  <si>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</si>
  <si>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</si>
  <si>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</si>
  <si>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</si>
  <si>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</si>
  <si>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</si>
  <si>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</si>
  <si>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</si>
  <si>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</si>
  <si>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</si>
  <si>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</si>
  <si>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</si>
  <si>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</si>
  <si>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</si>
  <si>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</si>
  <si>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</si>
  <si>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</si>
  <si>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</si>
  <si>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</si>
  <si>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</si>
  <si>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</si>
  <si>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</si>
  <si>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</si>
  <si>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</si>
  <si>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</si>
  <si>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</si>
  <si>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</si>
  <si>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</si>
  <si>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</si>
  <si>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</si>
  <si>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</si>
  <si>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</si>
  <si>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</si>
  <si>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</si>
  <si>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</si>
  <si>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</si>
  <si>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</si>
  <si>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</si>
  <si>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</si>
  <si>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</si>
  <si>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</si>
  <si>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</si>
  <si>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</si>
  <si>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</si>
  <si>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</si>
  <si>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</si>
  <si>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</si>
  <si>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</si>
  <si>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</si>
  <si>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</si>
  <si>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</si>
  <si>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</si>
  <si>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</si>
  <si>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</si>
  <si>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</si>
  <si>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</si>
  <si>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حي سومر1</t>
  </si>
  <si>
    <t>الامام المنتظر</t>
  </si>
  <si>
    <t>الرافدين 2</t>
  </si>
  <si>
    <t>حي المؤمنين</t>
  </si>
  <si>
    <t>IQ-P16244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</si>
  <si>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</si>
  <si>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</si>
  <si>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</si>
  <si>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</si>
  <si>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</si>
  <si>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</si>
  <si>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</si>
  <si>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</si>
  <si>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</si>
  <si>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Al Jarya</t>
  </si>
  <si>
    <t>الجرية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</si>
  <si>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</si>
  <si>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</si>
  <si>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</si>
  <si>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</si>
  <si>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</si>
  <si>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</si>
  <si>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</si>
  <si>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</si>
  <si>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</si>
  <si>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</si>
  <si>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</si>
  <si>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</si>
  <si>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</si>
  <si>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</si>
  <si>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</si>
  <si>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</si>
  <si>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</si>
  <si>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</si>
  <si>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</si>
  <si>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</si>
  <si>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</si>
  <si>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</si>
  <si>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</si>
  <si>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</si>
  <si>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</si>
  <si>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</si>
  <si>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</si>
  <si>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</si>
  <si>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</si>
  <si>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</si>
  <si>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</si>
  <si>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</si>
  <si>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</si>
  <si>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</si>
  <si>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</si>
  <si>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</si>
  <si>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</si>
  <si>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</si>
  <si>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</si>
  <si>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</si>
  <si>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</si>
  <si>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</si>
  <si>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</si>
  <si>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</si>
  <si>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</si>
  <si>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</si>
  <si>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</si>
  <si>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Al Wand Al Zehafat</t>
  </si>
  <si>
    <t>الوند الزحيفات</t>
  </si>
  <si>
    <t>Al Yarmook 4</t>
  </si>
  <si>
    <t>اليرموك 4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</si>
  <si>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</si>
  <si>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</si>
  <si>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</si>
  <si>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</si>
  <si>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</si>
  <si>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</si>
  <si>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</si>
  <si>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</si>
  <si>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</si>
  <si>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</si>
  <si>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</si>
  <si>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</si>
  <si>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</si>
  <si>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</si>
  <si>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البوبيات -الودي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</si>
  <si>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</si>
  <si>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</si>
  <si>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</si>
  <si>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</si>
  <si>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</si>
  <si>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</si>
  <si>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</si>
  <si>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</si>
  <si>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</si>
  <si>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</si>
  <si>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</si>
  <si>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</si>
  <si>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</si>
  <si>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الفرات 4 (دور الهلال)</t>
  </si>
  <si>
    <t>Al-hurr-Al Amen 2</t>
  </si>
  <si>
    <t>الامين 2</t>
  </si>
  <si>
    <t>الانوار</t>
  </si>
  <si>
    <t>الحر الصغير</t>
  </si>
  <si>
    <t>العطيشي</t>
  </si>
  <si>
    <t>Al-hussainyh-Hay Al-Abas</t>
  </si>
  <si>
    <t>IQ-P16205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</si>
  <si>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</si>
  <si>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</si>
  <si>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</si>
  <si>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</si>
  <si>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</si>
  <si>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</si>
  <si>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</si>
  <si>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</si>
  <si>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</si>
  <si>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</si>
  <si>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</si>
  <si>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</si>
  <si>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</si>
  <si>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</si>
  <si>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</si>
  <si>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</si>
  <si>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</si>
  <si>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</si>
  <si>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</si>
  <si>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</si>
  <si>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Al-Shareiah</t>
  </si>
  <si>
    <t>الشريعة</t>
  </si>
  <si>
    <t>IQ-P16124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</si>
  <si>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</si>
  <si>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</si>
  <si>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</si>
  <si>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</si>
  <si>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</si>
  <si>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</si>
  <si>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</si>
  <si>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IQ-P16127</t>
  </si>
  <si>
    <t>التعليب</t>
  </si>
  <si>
    <t>IQ-P16128</t>
  </si>
  <si>
    <t>Al-Taqa 18</t>
  </si>
  <si>
    <t>الطاقه 18</t>
  </si>
  <si>
    <t>IQ-P16130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</si>
  <si>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</si>
  <si>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</si>
  <si>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</si>
  <si>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</si>
  <si>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</si>
  <si>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</si>
  <si>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</si>
  <si>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</si>
  <si>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</si>
  <si>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</si>
  <si>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</si>
  <si>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</si>
  <si>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</si>
  <si>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</si>
  <si>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</si>
  <si>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</si>
  <si>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</si>
  <si>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</si>
  <si>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</si>
  <si>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</si>
  <si>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</si>
  <si>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</si>
  <si>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</si>
  <si>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</si>
  <si>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</si>
  <si>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</si>
  <si>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</si>
  <si>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</si>
  <si>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</si>
  <si>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</si>
  <si>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</si>
  <si>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</si>
  <si>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</si>
  <si>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</si>
  <si>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</si>
  <si>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</si>
  <si>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</si>
  <si>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</si>
  <si>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</si>
  <si>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</si>
  <si>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</si>
  <si>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</si>
  <si>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</si>
  <si>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</si>
  <si>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</si>
  <si>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</si>
  <si>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</si>
  <si>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</si>
  <si>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</si>
  <si>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</si>
  <si>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</si>
  <si>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</si>
  <si>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</si>
  <si>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</si>
  <si>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</si>
  <si>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</si>
  <si>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</si>
  <si>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</si>
  <si>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</si>
  <si>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</si>
  <si>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</si>
  <si>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</si>
  <si>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</si>
  <si>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</si>
  <si>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</si>
  <si>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IQ-P16197</t>
  </si>
  <si>
    <t>Hay Al Shorta</t>
  </si>
  <si>
    <t>IQ-P16203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</si>
  <si>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</si>
  <si>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</si>
  <si>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</si>
  <si>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</si>
  <si>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</si>
  <si>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</si>
  <si>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</si>
  <si>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</si>
  <si>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</si>
  <si>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</si>
  <si>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</si>
  <si>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</si>
  <si>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</si>
  <si>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</si>
  <si>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</si>
  <si>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</si>
  <si>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</si>
  <si>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</si>
  <si>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</si>
  <si>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</si>
  <si>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</si>
  <si>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</si>
  <si>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</si>
  <si>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</si>
  <si>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</si>
  <si>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</si>
  <si>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</si>
  <si>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</si>
  <si>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</si>
  <si>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</si>
  <si>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</si>
  <si>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</si>
  <si>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</si>
  <si>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</si>
  <si>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</si>
  <si>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</si>
  <si>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</si>
  <si>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</si>
  <si>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</si>
  <si>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</si>
  <si>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</si>
  <si>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</si>
  <si>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</si>
  <si>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</si>
  <si>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</si>
  <si>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</si>
  <si>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</si>
  <si>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</si>
  <si>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</si>
  <si>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</si>
  <si>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</si>
  <si>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</si>
  <si>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</si>
  <si>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</si>
  <si>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</si>
  <si>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</si>
  <si>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</si>
  <si>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</si>
  <si>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</si>
  <si>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</si>
  <si>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</si>
  <si>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</si>
  <si>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</si>
  <si>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</si>
  <si>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</si>
  <si>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</si>
  <si>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</si>
  <si>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</si>
  <si>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</si>
  <si>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</si>
  <si>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</si>
  <si>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الثورة2</t>
  </si>
  <si>
    <t>الثورة1</t>
  </si>
  <si>
    <t>IQ-P16112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</si>
  <si>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</si>
  <si>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</si>
  <si>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</si>
  <si>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</si>
  <si>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</si>
  <si>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</si>
  <si>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</si>
  <si>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</si>
  <si>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</si>
  <si>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</si>
  <si>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</si>
  <si>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</si>
  <si>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</si>
  <si>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</si>
  <si>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</si>
  <si>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</si>
  <si>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</si>
  <si>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</si>
  <si>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</si>
  <si>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</si>
  <si>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</si>
  <si>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</si>
  <si>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</si>
  <si>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</si>
  <si>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</si>
  <si>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</si>
  <si>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</si>
  <si>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</si>
  <si>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الهادي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</si>
  <si>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</si>
  <si>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</si>
  <si>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</si>
  <si>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</si>
  <si>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</si>
  <si>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</si>
  <si>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</si>
  <si>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</si>
  <si>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</si>
  <si>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</si>
  <si>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</si>
  <si>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</si>
  <si>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</si>
  <si>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</si>
  <si>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</si>
  <si>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</si>
  <si>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</si>
  <si>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</si>
  <si>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</si>
  <si>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</si>
  <si>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</si>
  <si>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</si>
  <si>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</si>
  <si>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</si>
  <si>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</si>
  <si>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</si>
  <si>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</si>
  <si>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</si>
  <si>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</si>
  <si>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تجاوز ملحق الاطباء</t>
  </si>
  <si>
    <t>تجاوز الاحرار</t>
  </si>
  <si>
    <t>تجاوز المؤمنين</t>
  </si>
  <si>
    <t>IQ-P16329</t>
  </si>
  <si>
    <t>تجاوز النصر</t>
  </si>
  <si>
    <t xml:space="preserve">مدينة الزائرين ام البنين </t>
  </si>
  <si>
    <t>IQ-P16330</t>
  </si>
  <si>
    <t>Um Al Banen Village</t>
  </si>
  <si>
    <t>قرية ام البنين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</si>
  <si>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</si>
  <si>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</si>
  <si>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</si>
  <si>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</si>
  <si>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</si>
  <si>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</si>
  <si>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</si>
  <si>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</si>
  <si>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</si>
  <si>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</si>
  <si>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</si>
  <si>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</si>
  <si>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</si>
  <si>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</si>
  <si>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</si>
  <si>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</si>
  <si>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</si>
  <si>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</si>
  <si>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</si>
  <si>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</si>
  <si>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</si>
  <si>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</si>
  <si>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</si>
  <si>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</si>
  <si>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</si>
  <si>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</si>
  <si>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</si>
  <si>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</si>
  <si>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</si>
  <si>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</si>
  <si>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</si>
  <si>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</si>
  <si>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</si>
  <si>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</si>
  <si>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</si>
  <si>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</si>
  <si>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</si>
  <si>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</si>
  <si>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</si>
  <si>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</si>
  <si>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</si>
  <si>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</si>
  <si>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</si>
  <si>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</si>
  <si>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</si>
  <si>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</si>
  <si>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</si>
  <si>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</si>
  <si>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</si>
  <si>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</si>
  <si>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</si>
  <si>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</si>
  <si>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</si>
  <si>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</si>
  <si>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</si>
  <si>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</si>
  <si>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</si>
  <si>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</si>
  <si>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</si>
  <si>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</si>
  <si>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</si>
  <si>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</si>
  <si>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</si>
  <si>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</si>
  <si>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</si>
  <si>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</si>
  <si>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</si>
  <si>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</si>
  <si>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</si>
  <si>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</si>
  <si>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</si>
  <si>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</si>
  <si>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</si>
  <si>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</si>
  <si>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</si>
  <si>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</si>
  <si>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</si>
  <si>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</si>
  <si>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</si>
  <si>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</si>
  <si>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</si>
  <si>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</si>
  <si>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</si>
  <si>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</si>
  <si>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</si>
  <si>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</si>
  <si>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</si>
  <si>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</si>
  <si>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</si>
  <si>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</si>
  <si>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</si>
  <si>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</si>
  <si>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</si>
  <si>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</si>
  <si>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</si>
  <si>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</si>
  <si>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</si>
  <si>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</si>
  <si>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</si>
  <si>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</si>
  <si>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</si>
  <si>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</si>
  <si>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</si>
  <si>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</si>
  <si>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</si>
  <si>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</si>
  <si>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</si>
  <si>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</si>
  <si>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</si>
  <si>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</si>
  <si>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</si>
  <si>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</si>
  <si>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</si>
  <si>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</si>
  <si>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</si>
  <si>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</si>
  <si>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</si>
  <si>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</si>
  <si>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</si>
  <si>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</si>
  <si>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</si>
  <si>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</si>
  <si>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</si>
  <si>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تازة- قرية القادسية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</si>
  <si>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</si>
  <si>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</si>
  <si>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</si>
  <si>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</si>
  <si>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</si>
  <si>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</si>
  <si>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</si>
  <si>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</si>
  <si>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</si>
  <si>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</si>
  <si>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</si>
  <si>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</si>
  <si>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</si>
  <si>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</si>
  <si>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</si>
  <si>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</si>
  <si>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</si>
  <si>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</si>
  <si>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</si>
  <si>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</si>
  <si>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</si>
  <si>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</si>
  <si>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</si>
  <si>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</si>
  <si>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</si>
  <si>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</si>
  <si>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</si>
  <si>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</si>
  <si>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</si>
  <si>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</si>
  <si>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</si>
  <si>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</si>
  <si>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</si>
  <si>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</si>
  <si>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</si>
  <si>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</si>
  <si>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</si>
  <si>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</si>
  <si>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</si>
  <si>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</si>
  <si>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</si>
  <si>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</si>
  <si>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</si>
  <si>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</si>
  <si>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IQ-P17373</t>
  </si>
  <si>
    <t>Al Takhi Village</t>
  </si>
  <si>
    <t>قرية تأخي</t>
  </si>
  <si>
    <t>Al-Qadisssiya (Rabareen)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</si>
  <si>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</si>
  <si>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</si>
  <si>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</si>
  <si>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</si>
  <si>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</si>
  <si>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</si>
  <si>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</si>
  <si>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</si>
  <si>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</si>
  <si>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</si>
  <si>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</si>
  <si>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</si>
  <si>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</si>
  <si>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</si>
  <si>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</si>
  <si>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</si>
  <si>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</si>
  <si>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</si>
  <si>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</si>
  <si>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</si>
  <si>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</si>
  <si>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</si>
  <si>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</si>
  <si>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</si>
  <si>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</si>
  <si>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</si>
  <si>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</si>
  <si>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</si>
  <si>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</si>
  <si>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</si>
  <si>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</si>
  <si>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</si>
  <si>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</si>
  <si>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</si>
  <si>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</si>
  <si>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</si>
  <si>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</si>
  <si>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</si>
  <si>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</si>
  <si>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</si>
  <si>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</si>
  <si>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</si>
  <si>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</si>
  <si>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</si>
  <si>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</si>
  <si>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</si>
  <si>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</si>
  <si>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</si>
  <si>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</si>
  <si>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</si>
  <si>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</si>
  <si>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</si>
  <si>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</si>
  <si>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</si>
  <si>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</si>
  <si>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</si>
  <si>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</si>
  <si>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</si>
  <si>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</si>
  <si>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</si>
  <si>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</si>
  <si>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</si>
  <si>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</si>
  <si>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</si>
  <si>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</si>
  <si>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</si>
  <si>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</si>
  <si>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</si>
  <si>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</si>
  <si>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Qara tappa</t>
  </si>
  <si>
    <t>قرية قره تبه</t>
  </si>
  <si>
    <t>IQ-P17770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</si>
  <si>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</si>
  <si>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</si>
  <si>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</si>
  <si>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</si>
  <si>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</si>
  <si>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</si>
  <si>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</si>
  <si>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</si>
  <si>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</si>
  <si>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</si>
  <si>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</si>
  <si>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</si>
  <si>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</si>
  <si>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</si>
  <si>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</si>
  <si>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</si>
  <si>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</si>
  <si>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</si>
  <si>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</si>
  <si>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</si>
  <si>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</si>
  <si>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</si>
  <si>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</si>
  <si>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</si>
  <si>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</si>
  <si>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</si>
  <si>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</si>
  <si>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</si>
  <si>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</si>
  <si>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</si>
  <si>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</si>
  <si>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</si>
  <si>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</si>
  <si>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</si>
  <si>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</si>
  <si>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</si>
  <si>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</si>
  <si>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</si>
  <si>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</si>
  <si>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</si>
  <si>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</si>
  <si>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</si>
  <si>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</si>
  <si>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</si>
  <si>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</si>
  <si>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Sader Al karima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</si>
  <si>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</si>
  <si>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</si>
  <si>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</si>
  <si>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</si>
  <si>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</si>
  <si>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</si>
  <si>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</si>
  <si>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IQ-D080</t>
  </si>
  <si>
    <t>IQ-P18707</t>
  </si>
  <si>
    <t>Hay al markaz</t>
  </si>
  <si>
    <t>IQ-P18796</t>
  </si>
  <si>
    <t>Hay Al-Qasim</t>
  </si>
  <si>
    <t>حي القاسم</t>
  </si>
  <si>
    <t>Al-Mejar Al-Kabir</t>
  </si>
  <si>
    <t>Abu AlAla Village</t>
  </si>
  <si>
    <t>قرية ابو العلا</t>
  </si>
  <si>
    <t>IQ-D081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</si>
  <si>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</si>
  <si>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</si>
  <si>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</si>
  <si>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</si>
  <si>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</si>
  <si>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</si>
  <si>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</si>
  <si>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</si>
  <si>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</si>
  <si>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</si>
  <si>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</si>
  <si>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</si>
  <si>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</si>
  <si>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</si>
  <si>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</si>
  <si>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Hay Al-Hasan Al-Askarey</t>
  </si>
  <si>
    <t>IQ-P18999</t>
  </si>
  <si>
    <t>Hay Al-Hussain</t>
  </si>
  <si>
    <t>Hay Al-Hussain-Al Adil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</si>
  <si>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</si>
  <si>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</si>
  <si>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</si>
  <si>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</si>
  <si>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</si>
  <si>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</si>
  <si>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</si>
  <si>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</si>
  <si>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</si>
  <si>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</si>
  <si>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</si>
  <si>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</si>
  <si>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</si>
  <si>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</si>
  <si>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</si>
  <si>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</si>
  <si>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</si>
  <si>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</si>
  <si>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IQ-P17991</t>
  </si>
  <si>
    <t>Hay Al Sadir</t>
  </si>
  <si>
    <t>IQ-P17996</t>
  </si>
  <si>
    <t>IQ-P17998</t>
  </si>
  <si>
    <t>Hay Al-Mualmin-Ali Al Sharqi</t>
  </si>
  <si>
    <t>IQ-P18000</t>
  </si>
  <si>
    <t>Hay al-qalah</t>
  </si>
  <si>
    <t>حي القلعه</t>
  </si>
  <si>
    <t>IQ-P18002</t>
  </si>
  <si>
    <t>IQ-P18003</t>
  </si>
  <si>
    <t>Hay al-zahraa</t>
  </si>
  <si>
    <t>IQ-P18005</t>
  </si>
  <si>
    <t>Najadiya</t>
  </si>
  <si>
    <t>حي النجيديه</t>
  </si>
  <si>
    <t>IQ-P18030</t>
  </si>
  <si>
    <t>Amara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</si>
  <si>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</si>
  <si>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</si>
  <si>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</si>
  <si>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</si>
  <si>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</si>
  <si>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</si>
  <si>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</si>
  <si>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</si>
  <si>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</si>
  <si>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</si>
  <si>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</si>
  <si>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</si>
  <si>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</si>
  <si>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</si>
  <si>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</si>
  <si>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</si>
  <si>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</si>
  <si>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</si>
  <si>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</si>
  <si>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</si>
  <si>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</si>
  <si>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</si>
  <si>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</si>
  <si>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</si>
  <si>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</si>
  <si>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حي القاهره</t>
  </si>
  <si>
    <t>IQ-P18272</t>
  </si>
  <si>
    <t>حي الوحده</t>
  </si>
  <si>
    <t>IQ-P18283</t>
  </si>
  <si>
    <t>Hay Al Baqer</t>
  </si>
  <si>
    <t>حي الباقر</t>
  </si>
  <si>
    <t>Hay Al Hussain-Al Kumayt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</si>
  <si>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</si>
  <si>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</si>
  <si>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</si>
  <si>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</si>
  <si>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</si>
  <si>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</si>
  <si>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</si>
  <si>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</si>
  <si>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</si>
  <si>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</si>
  <si>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</si>
  <si>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</si>
  <si>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</si>
  <si>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</si>
  <si>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</si>
  <si>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</si>
  <si>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</si>
  <si>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</si>
  <si>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</si>
  <si>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IQ-P18277</t>
  </si>
  <si>
    <t>Hay Al Shuhada-Al Komait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</si>
  <si>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</si>
  <si>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</si>
  <si>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</si>
  <si>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</si>
  <si>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</si>
  <si>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</si>
  <si>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</si>
  <si>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</si>
  <si>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</si>
  <si>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</si>
  <si>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</si>
  <si>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</si>
  <si>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</si>
  <si>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</si>
  <si>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</si>
  <si>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</si>
  <si>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</si>
  <si>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</si>
  <si>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</si>
  <si>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</si>
  <si>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</si>
  <si>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</si>
  <si>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</si>
  <si>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</si>
  <si>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</si>
  <si>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</si>
  <si>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</si>
  <si>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</si>
  <si>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</si>
  <si>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</si>
  <si>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</si>
  <si>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</si>
  <si>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</si>
  <si>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</si>
  <si>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</si>
  <si>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</si>
  <si>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</si>
  <si>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</si>
  <si>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</si>
  <si>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</si>
  <si>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</si>
  <si>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</si>
  <si>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</si>
  <si>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</si>
  <si>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</si>
  <si>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</si>
  <si>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</si>
  <si>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</si>
  <si>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</si>
  <si>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</si>
  <si>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</si>
  <si>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</si>
  <si>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Hay aleskan</t>
  </si>
  <si>
    <t>IQ-P18295</t>
  </si>
  <si>
    <t>Hay Awasha</t>
  </si>
  <si>
    <t>حي عواشه</t>
  </si>
  <si>
    <t>IQ-P18340</t>
  </si>
  <si>
    <t>Hay Dijlah-Al Kumayt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</si>
  <si>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</si>
  <si>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</si>
  <si>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</si>
  <si>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</si>
  <si>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</si>
  <si>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</si>
  <si>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</si>
  <si>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</si>
  <si>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</si>
  <si>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</si>
  <si>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</si>
  <si>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</si>
  <si>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</si>
  <si>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</si>
  <si>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</si>
  <si>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</si>
  <si>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</si>
  <si>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</si>
  <si>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</si>
  <si>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</si>
  <si>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</si>
  <si>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</si>
  <si>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</si>
  <si>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</si>
  <si>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</si>
  <si>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</si>
  <si>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</si>
  <si>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</si>
  <si>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</si>
  <si>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Al-Uroba</t>
  </si>
  <si>
    <t>IQ-P19149</t>
  </si>
  <si>
    <t>Hay Al-Zahraa-Qalat Saleh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</si>
  <si>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</si>
  <si>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</si>
  <si>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</si>
  <si>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</si>
  <si>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</si>
  <si>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</si>
  <si>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</si>
  <si>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</si>
  <si>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</si>
  <si>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</si>
  <si>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</si>
  <si>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</si>
  <si>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</si>
  <si>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</si>
  <si>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</si>
  <si>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</si>
  <si>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</si>
  <si>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</si>
  <si>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</si>
  <si>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</si>
  <si>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</si>
  <si>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</si>
  <si>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</si>
  <si>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</si>
  <si>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</si>
  <si>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</si>
  <si>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</si>
  <si>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</si>
  <si>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</si>
  <si>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</si>
  <si>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</si>
  <si>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</si>
  <si>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</si>
  <si>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</si>
  <si>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</si>
  <si>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</si>
  <si>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</si>
  <si>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</si>
  <si>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</si>
  <si>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</si>
  <si>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</si>
  <si>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</si>
  <si>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</si>
  <si>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</si>
  <si>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</si>
  <si>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</si>
  <si>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</si>
  <si>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</si>
  <si>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Al Warkaa- Al hymamra</t>
  </si>
  <si>
    <t>الوركاء- الحمامرة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</si>
  <si>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</si>
  <si>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</si>
  <si>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</si>
  <si>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</si>
  <si>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</si>
  <si>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</si>
  <si>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</si>
  <si>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</si>
  <si>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</si>
  <si>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</si>
  <si>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</si>
  <si>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</si>
  <si>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</si>
  <si>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</si>
  <si>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</si>
  <si>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</si>
  <si>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</si>
  <si>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</si>
  <si>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</si>
  <si>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</si>
  <si>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</si>
  <si>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</si>
  <si>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</si>
  <si>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</si>
  <si>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</si>
  <si>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</si>
  <si>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</si>
  <si>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</si>
  <si>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</si>
  <si>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</si>
  <si>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</si>
  <si>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</si>
  <si>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</si>
  <si>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</si>
  <si>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</si>
  <si>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</si>
  <si>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</si>
  <si>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</si>
  <si>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</si>
  <si>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</si>
  <si>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</si>
  <si>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</si>
  <si>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</si>
  <si>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</si>
  <si>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</si>
  <si>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</si>
  <si>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</si>
  <si>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</si>
  <si>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</si>
  <si>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</si>
  <si>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</si>
  <si>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</si>
  <si>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</si>
  <si>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</si>
  <si>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</si>
  <si>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</si>
  <si>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</si>
  <si>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</si>
  <si>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</si>
  <si>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</si>
  <si>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</si>
  <si>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</si>
  <si>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</si>
  <si>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</si>
  <si>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</si>
  <si>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</si>
  <si>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Hay Al-Sadir</t>
  </si>
  <si>
    <t>IQ-P02471</t>
  </si>
  <si>
    <t>Hay Alhussein</t>
  </si>
  <si>
    <t>IQ-P02464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</si>
  <si>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</si>
  <si>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</si>
  <si>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</si>
  <si>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</si>
  <si>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</si>
  <si>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</si>
  <si>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</si>
  <si>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</si>
  <si>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</si>
  <si>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</si>
  <si>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</si>
  <si>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</si>
  <si>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</si>
  <si>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</si>
  <si>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</si>
  <si>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</si>
  <si>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</si>
  <si>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</si>
  <si>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</si>
  <si>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</si>
  <si>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</si>
  <si>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</si>
  <si>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</si>
  <si>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</si>
  <si>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</si>
  <si>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</si>
  <si>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</si>
  <si>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</si>
  <si>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IQ-D098</t>
  </si>
  <si>
    <t>Al Abassiyah-Al Resalah 3</t>
  </si>
  <si>
    <t>العباسية حي الرسالة الثالثة</t>
  </si>
  <si>
    <t>Al Abassiyah-Al-Adal</t>
  </si>
  <si>
    <t>Al Abassiyah-Al-Zaidi</t>
  </si>
  <si>
    <t>Al Abassiyah-Hay Al muntadher</t>
  </si>
  <si>
    <t>IQ-P22527</t>
  </si>
  <si>
    <t>Al Abassiyah-Hay Al Resalah 2</t>
  </si>
  <si>
    <t>العباسية حي الرسالة الثانية</t>
  </si>
  <si>
    <t>Al Abassiyah-Mamal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</si>
  <si>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</si>
  <si>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</si>
  <si>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</si>
  <si>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</si>
  <si>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</si>
  <si>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</si>
  <si>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</si>
  <si>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</si>
  <si>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</si>
  <si>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</si>
  <si>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</si>
  <si>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</si>
  <si>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</si>
  <si>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</si>
  <si>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</si>
  <si>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</si>
  <si>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</si>
  <si>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</si>
  <si>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</si>
  <si>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</si>
  <si>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</si>
  <si>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</si>
  <si>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</si>
  <si>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</si>
  <si>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</si>
  <si>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</si>
  <si>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</si>
  <si>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</si>
  <si>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</si>
  <si>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</si>
  <si>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IQ-P22499</t>
  </si>
  <si>
    <t>Hay alfurat</t>
  </si>
  <si>
    <t>حي الفرات</t>
  </si>
  <si>
    <t>IQ-P22509</t>
  </si>
  <si>
    <t>Hay Askary-Mutanabi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</si>
  <si>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</si>
  <si>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</si>
  <si>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</si>
  <si>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</si>
  <si>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</si>
  <si>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</si>
  <si>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</si>
  <si>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</si>
  <si>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</si>
  <si>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</si>
  <si>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</si>
  <si>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</si>
  <si>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</si>
  <si>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</si>
  <si>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</si>
  <si>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</si>
  <si>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</si>
  <si>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</si>
  <si>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</si>
  <si>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</si>
  <si>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</si>
  <si>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</si>
  <si>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</si>
  <si>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</si>
  <si>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</si>
  <si>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</si>
  <si>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</si>
  <si>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</si>
  <si>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</si>
  <si>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</si>
  <si>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</si>
  <si>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</si>
  <si>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</si>
  <si>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</si>
  <si>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</si>
  <si>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IQ-P22933</t>
  </si>
  <si>
    <t>IQ-P22935</t>
  </si>
  <si>
    <t>IQ-P22936</t>
  </si>
  <si>
    <t>IQ-P22937</t>
  </si>
  <si>
    <t>IQ-P22938</t>
  </si>
  <si>
    <t>AL JEDAIDA</t>
  </si>
  <si>
    <t>الجديدة 4</t>
  </si>
  <si>
    <t>IQ-P22939</t>
  </si>
  <si>
    <t>Al Noor</t>
  </si>
  <si>
    <t>النور</t>
  </si>
  <si>
    <t>IQ-P22952</t>
  </si>
  <si>
    <t>Al Quds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</si>
  <si>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</si>
  <si>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</si>
  <si>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</si>
  <si>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</si>
  <si>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</si>
  <si>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</si>
  <si>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</si>
  <si>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</si>
  <si>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</si>
  <si>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</si>
  <si>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</si>
  <si>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</si>
  <si>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</si>
  <si>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</si>
  <si>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</si>
  <si>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</si>
  <si>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</si>
  <si>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</si>
  <si>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</si>
  <si>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</si>
  <si>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</si>
  <si>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</si>
  <si>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</si>
  <si>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</si>
  <si>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</si>
  <si>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</si>
  <si>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</si>
  <si>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</si>
  <si>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</si>
  <si>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</si>
  <si>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</si>
  <si>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</si>
  <si>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</si>
  <si>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</si>
  <si>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</si>
  <si>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</si>
  <si>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</si>
  <si>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</si>
  <si>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</si>
  <si>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IQ-P23041</t>
  </si>
  <si>
    <t>IQ-P23047</t>
  </si>
  <si>
    <t>Hay Al imam Ali Al mualmien</t>
  </si>
  <si>
    <t>حي الامام علي والمعلمين</t>
  </si>
  <si>
    <t>IQ-P23048</t>
  </si>
  <si>
    <t>IQ-P23049</t>
  </si>
  <si>
    <t>IQ-P23050</t>
  </si>
  <si>
    <t>IQ-P23051</t>
  </si>
  <si>
    <t>IQ-P23052</t>
  </si>
  <si>
    <t>Hay Al qadissiyah</t>
  </si>
  <si>
    <t>Hay Al Rahma</t>
  </si>
  <si>
    <t>حي الرحمة</t>
  </si>
  <si>
    <t>IQ-P23057</t>
  </si>
  <si>
    <t>IQ-P23059</t>
  </si>
  <si>
    <t>IQ-P23062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</si>
  <si>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</si>
  <si>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</si>
  <si>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</si>
  <si>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</si>
  <si>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</si>
  <si>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</si>
  <si>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</si>
  <si>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</si>
  <si>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</si>
  <si>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IQ-P23068</t>
  </si>
  <si>
    <t>IQ-P23101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</si>
  <si>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</si>
  <si>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</si>
  <si>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</si>
  <si>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</si>
  <si>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</si>
  <si>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</si>
  <si>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</si>
  <si>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IQ-P23081</t>
  </si>
  <si>
    <t>IQ-P23082</t>
  </si>
  <si>
    <t>IQ-P23083</t>
  </si>
  <si>
    <t>IQ-P23084</t>
  </si>
  <si>
    <t>IQ-P23085</t>
  </si>
  <si>
    <t>IQ-P23086</t>
  </si>
  <si>
    <t>IQ-P23094</t>
  </si>
  <si>
    <t>Hay alsalam 131</t>
  </si>
  <si>
    <t>حي السلام 131</t>
  </si>
  <si>
    <t>IQ-P23109</t>
  </si>
  <si>
    <t>IQ-P23112</t>
  </si>
  <si>
    <t>IQ-P23113</t>
  </si>
  <si>
    <t>Hay Tabok</t>
  </si>
  <si>
    <t>حي تبوك</t>
  </si>
  <si>
    <t>Madhlum Village</t>
  </si>
  <si>
    <t>قرية مظلوم</t>
  </si>
  <si>
    <t>Shareet Noor-Tabook</t>
  </si>
  <si>
    <t>شريط نور -تبوك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</si>
  <si>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</si>
  <si>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</si>
  <si>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</si>
  <si>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</si>
  <si>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</si>
  <si>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</si>
  <si>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</si>
  <si>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</si>
  <si>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</si>
  <si>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</si>
  <si>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</si>
  <si>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</si>
  <si>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</si>
  <si>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</si>
  <si>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</si>
  <si>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</si>
  <si>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</si>
  <si>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</si>
  <si>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</si>
  <si>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</si>
  <si>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</si>
  <si>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</si>
  <si>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</si>
  <si>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</si>
  <si>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</si>
  <si>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</si>
  <si>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</si>
  <si>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</si>
  <si>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</si>
  <si>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</si>
  <si>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</si>
  <si>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</si>
  <si>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</si>
  <si>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</si>
  <si>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</si>
  <si>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</si>
  <si>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</si>
  <si>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</si>
  <si>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</si>
  <si>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</si>
  <si>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</si>
  <si>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</si>
  <si>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</si>
  <si>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</si>
  <si>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</si>
  <si>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</si>
  <si>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</si>
  <si>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</si>
  <si>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</si>
  <si>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</si>
  <si>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</si>
  <si>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</si>
  <si>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</si>
  <si>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</si>
  <si>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</si>
  <si>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</si>
  <si>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</si>
  <si>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</si>
  <si>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</si>
  <si>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</si>
  <si>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</si>
  <si>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</si>
  <si>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</si>
  <si>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</si>
  <si>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</si>
  <si>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</si>
  <si>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</si>
  <si>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</si>
  <si>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</si>
  <si>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</si>
  <si>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</si>
  <si>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</si>
  <si>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</si>
  <si>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</si>
  <si>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</si>
  <si>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</si>
  <si>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</si>
  <si>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</si>
  <si>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</si>
  <si>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</si>
  <si>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مخيم ايسيان</t>
  </si>
  <si>
    <t>لالش</t>
  </si>
  <si>
    <t>IQ-P20364</t>
  </si>
  <si>
    <t>Kalakchi</t>
  </si>
  <si>
    <t>كلكجي</t>
  </si>
  <si>
    <t>IQ-P20400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</si>
  <si>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</si>
  <si>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</si>
  <si>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</si>
  <si>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</si>
  <si>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</si>
  <si>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</si>
  <si>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</si>
  <si>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</si>
  <si>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</si>
  <si>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</si>
  <si>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</si>
  <si>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</si>
  <si>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</si>
  <si>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</si>
  <si>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</si>
  <si>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</si>
  <si>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</si>
  <si>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</si>
  <si>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</si>
  <si>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</si>
  <si>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</si>
  <si>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</si>
  <si>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</si>
  <si>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</si>
  <si>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</si>
  <si>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</si>
  <si>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</si>
  <si>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</si>
  <si>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</si>
  <si>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</si>
  <si>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</si>
  <si>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</si>
  <si>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</si>
  <si>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</si>
  <si>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</si>
  <si>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</si>
  <si>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حي الجزائر</t>
  </si>
  <si>
    <t>IQ-P19942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</si>
  <si>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</si>
  <si>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</si>
  <si>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</si>
  <si>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</si>
  <si>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</si>
  <si>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</si>
  <si>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</si>
  <si>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</si>
  <si>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</si>
  <si>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</si>
  <si>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</si>
  <si>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</si>
  <si>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</si>
  <si>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</si>
  <si>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</si>
  <si>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</si>
  <si>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</si>
  <si>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</si>
  <si>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</si>
  <si>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</si>
  <si>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</si>
  <si>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</si>
  <si>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</si>
  <si>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</si>
  <si>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</si>
  <si>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</si>
  <si>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</si>
  <si>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</si>
  <si>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</si>
  <si>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</si>
  <si>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</si>
  <si>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</si>
  <si>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</si>
  <si>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</si>
  <si>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</si>
  <si>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</si>
  <si>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</si>
  <si>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</si>
  <si>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</si>
  <si>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</si>
  <si>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</si>
  <si>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</si>
  <si>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</si>
  <si>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</si>
  <si>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</si>
  <si>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</si>
  <si>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</si>
  <si>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</si>
  <si>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</si>
  <si>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</si>
  <si>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</si>
  <si>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</si>
  <si>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</si>
  <si>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</si>
  <si>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</si>
  <si>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</si>
  <si>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</si>
  <si>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</si>
  <si>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</si>
  <si>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</si>
  <si>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</si>
  <si>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</si>
  <si>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</si>
  <si>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</si>
  <si>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</si>
  <si>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</si>
  <si>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</si>
  <si>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</si>
  <si>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</si>
  <si>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</si>
  <si>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</si>
  <si>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</si>
  <si>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</si>
  <si>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</si>
  <si>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</si>
  <si>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</si>
  <si>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</si>
  <si>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</si>
  <si>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</si>
  <si>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</si>
  <si>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</si>
  <si>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</si>
  <si>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</si>
  <si>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</si>
  <si>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</si>
  <si>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</si>
  <si>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</si>
  <si>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</si>
  <si>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</si>
  <si>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</si>
  <si>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</si>
  <si>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</si>
  <si>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</si>
  <si>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</si>
  <si>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</si>
  <si>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</si>
  <si>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</si>
  <si>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</si>
  <si>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</si>
  <si>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</si>
  <si>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</si>
  <si>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</si>
  <si>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</si>
  <si>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</si>
  <si>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</si>
  <si>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</si>
  <si>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</si>
  <si>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</si>
  <si>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</si>
  <si>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</si>
  <si>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</si>
  <si>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</si>
  <si>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</si>
  <si>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</si>
  <si>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</si>
  <si>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</si>
  <si>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</si>
  <si>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</si>
  <si>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</si>
  <si>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</si>
  <si>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</si>
  <si>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</si>
  <si>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</si>
  <si>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</si>
  <si>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</si>
  <si>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</si>
  <si>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</si>
  <si>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</si>
  <si>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</si>
  <si>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</si>
  <si>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</si>
  <si>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</si>
  <si>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</si>
  <si>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</si>
  <si>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</si>
  <si>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</si>
  <si>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</si>
  <si>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</si>
  <si>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</si>
  <si>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</si>
  <si>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</si>
  <si>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HAY- SUMMER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</si>
  <si>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</si>
  <si>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</si>
  <si>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</si>
  <si>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</si>
  <si>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</si>
  <si>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</si>
  <si>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</si>
  <si>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</si>
  <si>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</si>
  <si>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</si>
  <si>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</si>
  <si>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</si>
  <si>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</si>
  <si>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</si>
  <si>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</si>
  <si>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</si>
  <si>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</si>
  <si>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</si>
  <si>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</si>
  <si>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</si>
  <si>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</si>
  <si>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</si>
  <si>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</si>
  <si>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</si>
  <si>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</si>
  <si>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</si>
  <si>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</si>
  <si>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</si>
  <si>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</si>
  <si>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</si>
  <si>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</si>
  <si>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</si>
  <si>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</si>
  <si>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</si>
  <si>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</si>
  <si>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</si>
  <si>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</si>
  <si>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</si>
  <si>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</si>
  <si>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</si>
  <si>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</si>
  <si>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</si>
  <si>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</si>
  <si>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</si>
  <si>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</si>
  <si>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</si>
  <si>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</si>
  <si>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</si>
  <si>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</si>
  <si>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</si>
  <si>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</si>
  <si>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</si>
  <si>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</si>
  <si>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</si>
  <si>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</si>
  <si>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</si>
  <si>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</si>
  <si>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</si>
  <si>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</si>
  <si>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</si>
  <si>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</si>
  <si>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</si>
  <si>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</si>
  <si>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</si>
  <si>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</si>
  <si>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</si>
  <si>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</si>
  <si>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</si>
  <si>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</si>
  <si>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</si>
  <si>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</si>
  <si>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</si>
  <si>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</si>
  <si>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</si>
  <si>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</si>
  <si>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</si>
  <si>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</si>
  <si>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</si>
  <si>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</si>
  <si>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</si>
  <si>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</si>
  <si>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</si>
  <si>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</si>
  <si>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</si>
  <si>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</si>
  <si>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</si>
  <si>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</si>
  <si>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</si>
  <si>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</si>
  <si>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</si>
  <si>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</si>
  <si>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</si>
  <si>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</si>
  <si>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</si>
  <si>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</si>
  <si>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</si>
  <si>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</si>
  <si>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</si>
  <si>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</si>
  <si>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</si>
  <si>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</si>
  <si>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</si>
  <si>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</si>
  <si>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</si>
  <si>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</si>
  <si>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</si>
  <si>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</si>
  <si>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</si>
  <si>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</si>
  <si>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</si>
  <si>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</si>
  <si>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</si>
  <si>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</si>
  <si>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</si>
  <si>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</si>
  <si>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</si>
  <si>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</si>
  <si>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</si>
  <si>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</si>
  <si>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</si>
  <si>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</si>
  <si>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</si>
  <si>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</si>
  <si>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</si>
  <si>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</si>
  <si>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</si>
  <si>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</si>
  <si>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</si>
  <si>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</si>
  <si>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</si>
  <si>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</si>
  <si>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</si>
  <si>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</si>
  <si>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</si>
  <si>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</si>
  <si>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</si>
  <si>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</si>
  <si>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</si>
  <si>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</si>
  <si>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</si>
  <si>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</si>
  <si>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</si>
  <si>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</si>
  <si>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</si>
  <si>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</si>
  <si>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</si>
  <si>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</si>
  <si>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</si>
  <si>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</si>
  <si>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</si>
  <si>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</si>
  <si>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</si>
  <si>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</si>
  <si>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</si>
  <si>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</si>
  <si>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</si>
  <si>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</si>
  <si>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</si>
  <si>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Markaz Talafar</t>
  </si>
  <si>
    <t>مركز تلعفر</t>
  </si>
  <si>
    <t>IQ-P20883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</si>
  <si>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</si>
  <si>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</si>
  <si>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</si>
  <si>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</si>
  <si>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</si>
  <si>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</si>
  <si>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</si>
  <si>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</si>
  <si>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IQ-P20872</t>
  </si>
  <si>
    <t>Tal Alsimn Village</t>
  </si>
  <si>
    <t>قرية تل السمن</t>
  </si>
  <si>
    <t>قرية تل حيال</t>
  </si>
  <si>
    <t>IQ-P20881</t>
  </si>
  <si>
    <t>Tal Khidr</t>
  </si>
  <si>
    <t>تل خضر</t>
  </si>
  <si>
    <t>IQ-P20874</t>
  </si>
  <si>
    <t>قرية تل طلب</t>
  </si>
  <si>
    <t>قرية تل وردان</t>
  </si>
  <si>
    <t>Telafar-Hay Al Salam</t>
  </si>
  <si>
    <t>Twayem</t>
  </si>
  <si>
    <t>تويم</t>
  </si>
  <si>
    <t>عوينات</t>
  </si>
  <si>
    <t>مجمع دوميز</t>
  </si>
  <si>
    <t>Tilkaif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</si>
  <si>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</si>
  <si>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</si>
  <si>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</si>
  <si>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</si>
  <si>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</si>
  <si>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</si>
  <si>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</si>
  <si>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</si>
  <si>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</si>
  <si>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</si>
  <si>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</si>
  <si>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</si>
  <si>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</si>
  <si>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</si>
  <si>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</si>
  <si>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</si>
  <si>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</si>
  <si>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</si>
  <si>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</si>
  <si>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</si>
  <si>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بيروزواة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</si>
  <si>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</si>
  <si>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</si>
  <si>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</si>
  <si>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</si>
  <si>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</si>
  <si>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</si>
  <si>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</si>
  <si>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</si>
  <si>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</si>
  <si>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</si>
  <si>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</si>
  <si>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</si>
  <si>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</si>
  <si>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</si>
  <si>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</si>
  <si>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</si>
  <si>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</si>
  <si>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</si>
  <si>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</si>
  <si>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</si>
  <si>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</si>
  <si>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</si>
  <si>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</si>
  <si>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</si>
  <si>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</si>
  <si>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</si>
  <si>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</si>
  <si>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</si>
  <si>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</si>
  <si>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</si>
  <si>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</si>
  <si>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</si>
  <si>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</si>
  <si>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</si>
  <si>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</si>
  <si>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</si>
  <si>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</si>
  <si>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النصيرية</t>
  </si>
  <si>
    <t>IQ-P21005</t>
  </si>
  <si>
    <t>Pabera Complex</t>
  </si>
  <si>
    <t>مجمع بابيرة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</si>
  <si>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</si>
  <si>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</si>
  <si>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</si>
  <si>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</si>
  <si>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</si>
  <si>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</si>
  <si>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</si>
  <si>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</si>
  <si>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</si>
  <si>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</si>
  <si>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</si>
  <si>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</si>
  <si>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</si>
  <si>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IQ-P21042</t>
  </si>
  <si>
    <t>منارة</t>
  </si>
  <si>
    <t>IQ-P20992</t>
  </si>
  <si>
    <t>تل عدس</t>
  </si>
  <si>
    <t>IQ-P21035</t>
  </si>
  <si>
    <t>Afaq</t>
  </si>
  <si>
    <t>IQ-G04</t>
  </si>
  <si>
    <t>IQ-D020</t>
  </si>
  <si>
    <t>IQ-P02629</t>
  </si>
  <si>
    <t>Al Atawah Village</t>
  </si>
  <si>
    <t>IQ-P02553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</si>
  <si>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</si>
  <si>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</si>
  <si>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</si>
  <si>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</si>
  <si>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</si>
  <si>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</si>
  <si>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</si>
  <si>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</si>
  <si>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</si>
  <si>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</si>
  <si>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</si>
  <si>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</si>
  <si>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</si>
  <si>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</si>
  <si>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</si>
  <si>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</si>
  <si>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</si>
  <si>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</si>
  <si>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</si>
  <si>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</si>
  <si>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</si>
  <si>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</si>
  <si>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</si>
  <si>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</si>
  <si>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</si>
  <si>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</si>
  <si>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</si>
  <si>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</si>
  <si>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</si>
  <si>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</si>
  <si>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</si>
  <si>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</si>
  <si>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</si>
  <si>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</si>
  <si>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</si>
  <si>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</si>
  <si>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</si>
  <si>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</si>
  <si>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</si>
  <si>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</si>
  <si>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</si>
  <si>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</si>
  <si>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</si>
  <si>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حي السلام- منطقة التجاوز</t>
  </si>
  <si>
    <t>IQ-P02721</t>
  </si>
  <si>
    <t>Hay Al-Waili</t>
  </si>
  <si>
    <t>IQ-P02723</t>
  </si>
  <si>
    <t>Hay Wajaan</t>
  </si>
  <si>
    <t>حي وجعان</t>
  </si>
  <si>
    <t>IQ-P02725</t>
  </si>
  <si>
    <t>Mantaket Al-Agaba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</si>
  <si>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</si>
  <si>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</si>
  <si>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</si>
  <si>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</si>
  <si>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</si>
  <si>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</si>
  <si>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</si>
  <si>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</si>
  <si>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</si>
  <si>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</si>
  <si>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</si>
  <si>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</si>
  <si>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</si>
  <si>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</si>
  <si>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</si>
  <si>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</si>
  <si>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</si>
  <si>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</si>
  <si>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</si>
  <si>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</si>
  <si>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</si>
  <si>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</si>
  <si>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</si>
  <si>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</si>
  <si>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</si>
  <si>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</si>
  <si>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</si>
  <si>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</si>
  <si>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</si>
  <si>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</si>
  <si>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</si>
  <si>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</si>
  <si>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</si>
  <si>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</si>
  <si>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</si>
  <si>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</si>
  <si>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</si>
  <si>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</si>
  <si>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</si>
  <si>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</si>
  <si>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</si>
  <si>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</si>
  <si>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</si>
  <si>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</si>
  <si>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</si>
  <si>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IQ-P03873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</si>
  <si>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</si>
  <si>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</si>
  <si>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</si>
  <si>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</si>
  <si>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</si>
  <si>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</si>
  <si>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</si>
  <si>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</si>
  <si>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</si>
  <si>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</si>
  <si>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</si>
  <si>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</si>
  <si>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</si>
  <si>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</si>
  <si>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</si>
  <si>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</si>
  <si>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</si>
  <si>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</si>
  <si>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</si>
  <si>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</si>
  <si>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</si>
  <si>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</si>
  <si>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</si>
  <si>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</si>
  <si>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</si>
  <si>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</si>
  <si>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</si>
  <si>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</si>
  <si>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</si>
  <si>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</si>
  <si>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</si>
  <si>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</si>
  <si>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حي الوحدة الثانية</t>
  </si>
  <si>
    <t>IQ-P02847</t>
  </si>
  <si>
    <t>حي الوحده الثالثه</t>
  </si>
  <si>
    <t>IQ-P02848</t>
  </si>
  <si>
    <t>Al- Dorees village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</si>
  <si>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</si>
  <si>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</si>
  <si>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</si>
  <si>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</si>
  <si>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</si>
  <si>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</si>
  <si>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</si>
  <si>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</si>
  <si>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</si>
  <si>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</si>
  <si>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</si>
  <si>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</si>
  <si>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</si>
  <si>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</si>
  <si>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</si>
  <si>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</si>
  <si>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</si>
  <si>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</si>
  <si>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</si>
  <si>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</si>
  <si>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</si>
  <si>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</si>
  <si>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</si>
  <si>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</si>
  <si>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منطقة الجذع</t>
  </si>
  <si>
    <t>قرية الخليفة</t>
  </si>
  <si>
    <t>IQ-P02989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</si>
  <si>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</si>
  <si>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</si>
  <si>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</si>
  <si>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</si>
  <si>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</si>
  <si>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</si>
  <si>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</si>
  <si>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</si>
  <si>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</si>
  <si>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</si>
  <si>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</si>
  <si>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</si>
  <si>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</si>
  <si>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</si>
  <si>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</si>
  <si>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</si>
  <si>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 alhaiwaniya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</si>
  <si>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</si>
  <si>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</si>
  <si>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</si>
  <si>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</si>
  <si>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</si>
  <si>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</si>
  <si>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</si>
  <si>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</si>
  <si>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</si>
  <si>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</si>
  <si>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</si>
  <si>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</si>
  <si>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</si>
  <si>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</si>
  <si>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</si>
  <si>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</si>
  <si>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</si>
  <si>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IQ-P03143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</si>
  <si>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</si>
  <si>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</si>
  <si>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</si>
  <si>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</si>
  <si>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</si>
  <si>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</si>
  <si>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</si>
  <si>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</si>
  <si>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</si>
  <si>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</si>
  <si>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</si>
  <si>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</si>
  <si>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</si>
  <si>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</si>
  <si>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</si>
  <si>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</si>
  <si>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</si>
  <si>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</si>
  <si>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</si>
  <si>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</si>
  <si>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</si>
  <si>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</si>
  <si>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</si>
  <si>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</si>
  <si>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</si>
  <si>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</si>
  <si>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</si>
  <si>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</si>
  <si>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</si>
  <si>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IQ-P03159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</si>
  <si>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</si>
  <si>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</si>
  <si>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</si>
  <si>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</si>
  <si>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</si>
  <si>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</si>
  <si>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</si>
  <si>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</si>
  <si>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</si>
  <si>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</si>
  <si>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</si>
  <si>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</si>
  <si>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</si>
  <si>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</si>
  <si>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</si>
  <si>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</si>
  <si>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</si>
  <si>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</si>
  <si>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</si>
  <si>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</si>
  <si>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</si>
  <si>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</si>
  <si>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</si>
  <si>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</si>
  <si>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</si>
  <si>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</si>
  <si>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</si>
  <si>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</si>
  <si>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</si>
  <si>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</si>
  <si>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</si>
  <si>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</si>
  <si>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Sader Al- Daghara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</si>
  <si>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</si>
  <si>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</si>
  <si>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</si>
  <si>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</si>
  <si>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</si>
  <si>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</si>
  <si>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</si>
  <si>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</si>
  <si>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</si>
  <si>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</si>
  <si>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</si>
  <si>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</si>
  <si>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</si>
  <si>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</si>
  <si>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</si>
  <si>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</si>
  <si>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IQ-D022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</si>
  <si>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</si>
  <si>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</si>
  <si>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</si>
  <si>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</si>
  <si>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</si>
  <si>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</si>
  <si>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</si>
  <si>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</si>
  <si>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</si>
  <si>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</si>
  <si>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</si>
  <si>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</si>
  <si>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</si>
  <si>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</si>
  <si>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</si>
  <si>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</si>
  <si>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</si>
  <si>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</si>
  <si>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</si>
  <si>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</si>
  <si>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</si>
  <si>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</si>
  <si>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</si>
  <si>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</si>
  <si>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</si>
  <si>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</si>
  <si>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</si>
  <si>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</si>
  <si>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</si>
  <si>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</si>
  <si>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</si>
  <si>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</si>
  <si>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</si>
  <si>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</si>
  <si>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</si>
  <si>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</si>
  <si>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IQ-P23466</t>
  </si>
  <si>
    <t>Hay Al Wihda Mahala 102</t>
  </si>
  <si>
    <t>محلة 102</t>
  </si>
  <si>
    <t>Hay al Zahraa 204</t>
  </si>
  <si>
    <t>IQ-P23469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</si>
  <si>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</si>
  <si>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</si>
  <si>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</si>
  <si>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</si>
  <si>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</si>
  <si>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</si>
  <si>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</si>
  <si>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</si>
  <si>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</si>
  <si>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IQ-D106</t>
  </si>
  <si>
    <t>Al Fajir village (Al Tasni)</t>
  </si>
  <si>
    <t>IQ-P23583</t>
  </si>
  <si>
    <t>Al Jumiala village</t>
  </si>
  <si>
    <t>IQ-P23587</t>
  </si>
  <si>
    <t>Al Khadraniyah</t>
  </si>
  <si>
    <t>IQ-P23588</t>
  </si>
  <si>
    <t>Al Khanuga village</t>
  </si>
  <si>
    <t>IQ-P23589</t>
  </si>
  <si>
    <t>Baaja</t>
  </si>
  <si>
    <t>IQ-P23603</t>
  </si>
  <si>
    <t>IQ-P23607</t>
  </si>
  <si>
    <t>Hay Al Qasbah</t>
  </si>
  <si>
    <t>IQ-P23608</t>
  </si>
  <si>
    <t>Hay Al Ziraa</t>
  </si>
  <si>
    <t>IQ-P23998</t>
  </si>
  <si>
    <t>Huriyah al jazerah-Al- Aboud</t>
  </si>
  <si>
    <t>IQ-P23614</t>
  </si>
  <si>
    <t>Qaryat Al Sabkha</t>
  </si>
  <si>
    <t>IQ-P23628</t>
  </si>
  <si>
    <t>Tal Al Jumiala area</t>
  </si>
  <si>
    <t xml:space="preserve">تل بعاجة 1 وتل اجميلة </t>
  </si>
  <si>
    <t>IQ-P23640</t>
  </si>
  <si>
    <t>Baiji</t>
  </si>
  <si>
    <t>قرية المزرعة</t>
  </si>
  <si>
    <t>IQ-D101</t>
  </si>
  <si>
    <t>IQ-P23206</t>
  </si>
  <si>
    <t>Al Mushhaq Village</t>
  </si>
  <si>
    <t>IQ-P23996</t>
  </si>
  <si>
    <t>Al Namel Village</t>
  </si>
  <si>
    <t>IQ-P23997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</si>
  <si>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</si>
  <si>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</si>
  <si>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</si>
  <si>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</si>
  <si>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</si>
  <si>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</si>
  <si>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</si>
  <si>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</si>
  <si>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</si>
  <si>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</si>
  <si>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</si>
  <si>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</si>
  <si>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</si>
  <si>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</si>
  <si>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</si>
  <si>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</si>
  <si>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</si>
  <si>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</si>
  <si>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</si>
  <si>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IQ-P23344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</si>
  <si>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</si>
  <si>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</si>
  <si>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</si>
  <si>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</si>
  <si>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</si>
  <si>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</si>
  <si>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</si>
  <si>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</si>
  <si>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</si>
  <si>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</si>
  <si>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</si>
  <si>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IQ-P23380</t>
  </si>
  <si>
    <t>Samarra</t>
  </si>
  <si>
    <t>IQ-D105</t>
  </si>
  <si>
    <t>Al Armushia (Mahala 332)</t>
  </si>
  <si>
    <t>IQ-P23482</t>
  </si>
  <si>
    <t>Al Jibariya Mahala 316</t>
  </si>
  <si>
    <t>IQ-P23484</t>
  </si>
  <si>
    <t>Al Jubairiyah Al Thalitha</t>
  </si>
  <si>
    <t>IQ-P23485</t>
  </si>
  <si>
    <t>Al Mahalla Al Gharbiah</t>
  </si>
  <si>
    <t>المحلة الغربية</t>
  </si>
  <si>
    <t>Al Qala-Mahal 201</t>
  </si>
  <si>
    <t>IQ-P23486</t>
  </si>
  <si>
    <t>Al Sayoya-Mahala 1</t>
  </si>
  <si>
    <t>IQ-P23489</t>
  </si>
  <si>
    <t>IQ-P23495</t>
  </si>
  <si>
    <t>Al-Efraz area</t>
  </si>
  <si>
    <t>IQ-P23506</t>
  </si>
  <si>
    <t>Al-Hewaish area</t>
  </si>
  <si>
    <t>IQ-P23508</t>
  </si>
  <si>
    <t>Al-Jamiaa Area</t>
  </si>
  <si>
    <t>IQ-P23509</t>
  </si>
  <si>
    <t>Al-Shuhadaa-Mahalla 324</t>
  </si>
  <si>
    <t>IQ-P23525</t>
  </si>
  <si>
    <t>Al-Sikak-111</t>
  </si>
  <si>
    <t>IQ-P23526</t>
  </si>
  <si>
    <t>Al_Jazera</t>
  </si>
  <si>
    <t>IQ-P23494</t>
  </si>
  <si>
    <t>Hay Al Baladiya-104</t>
  </si>
  <si>
    <t>م ق سامراء حي ابن سينا محلة 104</t>
  </si>
  <si>
    <t>IQ-P23540</t>
  </si>
  <si>
    <t>Hay Al Dhubbat-Mahalla 334</t>
  </si>
  <si>
    <t>IQ-P23541</t>
  </si>
  <si>
    <t>Hay Al Dubhat-Mahalla 336</t>
  </si>
  <si>
    <t>IQ-P23542</t>
  </si>
  <si>
    <t>Hay Al Gatol-Albu Nisan</t>
  </si>
  <si>
    <t>Hay Al Hady 101</t>
  </si>
  <si>
    <t>IQ-P23543</t>
  </si>
  <si>
    <t>Hay Al imam-103</t>
  </si>
  <si>
    <t>IQ-P23544</t>
  </si>
  <si>
    <t>Hay Al Mulmeen-109</t>
  </si>
  <si>
    <t>IQ-P23546</t>
  </si>
  <si>
    <t>Hay Al Mutasim-mahala 105</t>
  </si>
  <si>
    <t>IQ-P23547</t>
  </si>
  <si>
    <t>Hay Al Muthanna-Mahalla 312</t>
  </si>
  <si>
    <t>IQ-P23548</t>
  </si>
  <si>
    <t>Hay Al Rasheed-Mahalla 326</t>
  </si>
  <si>
    <t>IQ-P23549</t>
  </si>
  <si>
    <t>Hay Al Wathiq-Mahala 314</t>
  </si>
  <si>
    <t>IQ-P23552</t>
  </si>
  <si>
    <t>Hay Al Zuhoor (Al qala 4) Mahala 202</t>
  </si>
  <si>
    <t>IQ-P23553</t>
  </si>
  <si>
    <t>Hay Al-Khathraa Mahala 322</t>
  </si>
  <si>
    <t>IQ-P23555</t>
  </si>
  <si>
    <t>Hay Al-Ziraa (Sharqiyah) 113</t>
  </si>
  <si>
    <t>IQ-P23557</t>
  </si>
  <si>
    <t>Hay Albu Rahman</t>
  </si>
  <si>
    <t>حي البو رحمن</t>
  </si>
  <si>
    <t>Hay Alqadisiya-320</t>
  </si>
  <si>
    <t>IQ-P23556</t>
  </si>
  <si>
    <t>Hay Salah Al-Din (Mahala 302)</t>
  </si>
  <si>
    <t>IQ-P23559</t>
  </si>
  <si>
    <t>Tikrit</t>
  </si>
  <si>
    <t>Al Ahad Al Jadid village</t>
  </si>
  <si>
    <t>IQ-D108</t>
  </si>
  <si>
    <t>IQ-P23661</t>
  </si>
  <si>
    <t>IQ-P23663</t>
  </si>
  <si>
    <t>Al Hamra village</t>
  </si>
  <si>
    <t>Al Haweja village-AlAbady</t>
  </si>
  <si>
    <t>Al khuzamiya Village</t>
  </si>
  <si>
    <t>IQ-P23674</t>
  </si>
  <si>
    <t>IQ-P23681</t>
  </si>
  <si>
    <t>Al Shaheed Abdulla village</t>
  </si>
  <si>
    <t>Al-Karama village</t>
  </si>
  <si>
    <t>قرية الكرامة</t>
  </si>
  <si>
    <t>IQ-P23706</t>
  </si>
  <si>
    <t>قرية الصافية</t>
  </si>
  <si>
    <t>IQ-P23711</t>
  </si>
  <si>
    <t>Al-Shahama Village</t>
  </si>
  <si>
    <t>IQ-P23712</t>
  </si>
  <si>
    <t>IQ-P23714</t>
  </si>
  <si>
    <t>Awajealah Quarter</t>
  </si>
  <si>
    <t>حي عويجيلية -م(27-الخرجة والعالي)</t>
  </si>
  <si>
    <t>IQ-P23999</t>
  </si>
  <si>
    <t>Ellmeabdi Al Shemaliya Village</t>
  </si>
  <si>
    <t>IQ-P23801</t>
  </si>
  <si>
    <t>قرية حماد شهاب</t>
  </si>
  <si>
    <t>IQ-P23720</t>
  </si>
  <si>
    <t>IQ-P23655</t>
  </si>
  <si>
    <t>Hay Al Asry Al Jadid-404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</si>
  <si>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</si>
  <si>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</si>
  <si>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</si>
  <si>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</si>
  <si>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</si>
  <si>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</si>
  <si>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IQ-P23736</t>
  </si>
  <si>
    <t>IQ-P23747</t>
  </si>
  <si>
    <t>IQ-P23723</t>
  </si>
  <si>
    <t>IQ-P23729</t>
  </si>
  <si>
    <t>IQ-P23739</t>
  </si>
  <si>
    <t>Hay Al-Quthat</t>
  </si>
  <si>
    <t>حي القضاة</t>
  </si>
  <si>
    <t>Hay Al-Sikak</t>
  </si>
  <si>
    <t>IQ-P23758</t>
  </si>
  <si>
    <t>Hay Al-Wihda</t>
  </si>
  <si>
    <t>IQ-P23753</t>
  </si>
  <si>
    <t>IQ-P23730</t>
  </si>
  <si>
    <t>Hay Alkahrbaa</t>
  </si>
  <si>
    <t>حي الكهرباء</t>
  </si>
  <si>
    <t>Hay Alqalaa</t>
  </si>
  <si>
    <t>IQ-P23743</t>
  </si>
  <si>
    <t>حي التجنيد</t>
  </si>
  <si>
    <t>IQ-P23749</t>
  </si>
  <si>
    <t>Hay Alziraa</t>
  </si>
  <si>
    <t>IQ-P23762</t>
  </si>
  <si>
    <t>Mahalla Al muwadafeen</t>
  </si>
  <si>
    <t>IQ-P23786</t>
  </si>
  <si>
    <t>Qaryat Erbaidha</t>
  </si>
  <si>
    <t>IQ-P23789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</si>
  <si>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</si>
  <si>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</si>
  <si>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</si>
  <si>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</si>
  <si>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</si>
  <si>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</si>
  <si>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</si>
  <si>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</si>
  <si>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</si>
  <si>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</si>
  <si>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</si>
  <si>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</si>
  <si>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</si>
  <si>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</si>
  <si>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</si>
  <si>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</si>
  <si>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</si>
  <si>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</si>
  <si>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</si>
  <si>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</si>
  <si>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</si>
  <si>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</si>
  <si>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</si>
  <si>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</si>
  <si>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</si>
  <si>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</si>
  <si>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</si>
  <si>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</si>
  <si>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</si>
  <si>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</si>
  <si>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</si>
  <si>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</si>
  <si>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</si>
  <si>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</si>
  <si>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</si>
  <si>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</si>
  <si>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</si>
  <si>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</si>
  <si>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</si>
  <si>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</si>
  <si>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</si>
  <si>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</si>
  <si>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</si>
  <si>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</si>
  <si>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</si>
  <si>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</si>
  <si>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</si>
  <si>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</si>
  <si>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</si>
  <si>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</si>
  <si>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</si>
  <si>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</si>
  <si>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</si>
  <si>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</si>
  <si>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</si>
  <si>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</si>
  <si>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Chamchamal-Rizgari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</si>
  <si>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</si>
  <si>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</si>
  <si>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</si>
  <si>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</si>
  <si>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</si>
  <si>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</si>
  <si>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</si>
  <si>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</si>
  <si>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</si>
  <si>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</si>
  <si>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</si>
  <si>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</si>
  <si>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</si>
  <si>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</si>
  <si>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</si>
  <si>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</si>
  <si>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</si>
  <si>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</si>
  <si>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</si>
  <si>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</si>
  <si>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</si>
  <si>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</si>
  <si>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</si>
  <si>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</si>
  <si>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</si>
  <si>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</si>
  <si>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</si>
  <si>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</si>
  <si>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</si>
  <si>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</si>
  <si>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</si>
  <si>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</si>
  <si>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</si>
  <si>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</si>
  <si>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</si>
  <si>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</si>
  <si>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Takya-Azadi</t>
  </si>
  <si>
    <t>Takya-Rizgari</t>
  </si>
  <si>
    <t>Takya-Sharawny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</si>
  <si>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</si>
  <si>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</si>
  <si>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</si>
  <si>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</si>
  <si>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</si>
  <si>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</si>
  <si>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</si>
  <si>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</si>
  <si>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</si>
  <si>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</si>
  <si>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</si>
  <si>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</si>
  <si>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</si>
  <si>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</si>
  <si>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</si>
  <si>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</si>
  <si>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</si>
  <si>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</si>
  <si>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</si>
  <si>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</si>
  <si>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</si>
  <si>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</si>
  <si>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</si>
  <si>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</si>
  <si>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</si>
  <si>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</si>
  <si>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</si>
  <si>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</si>
  <si>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</si>
  <si>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</si>
  <si>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</si>
  <si>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</si>
  <si>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</si>
  <si>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</si>
  <si>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</si>
  <si>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</si>
  <si>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</si>
  <si>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</si>
  <si>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</si>
  <si>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</si>
  <si>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</si>
  <si>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</si>
  <si>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</si>
  <si>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</si>
  <si>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</si>
  <si>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</si>
  <si>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</si>
  <si>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</si>
  <si>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</si>
  <si>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</si>
  <si>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</si>
  <si>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</si>
  <si>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</si>
  <si>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</si>
  <si>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</si>
  <si>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</si>
  <si>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</si>
  <si>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</si>
  <si>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</si>
  <si>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</si>
  <si>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</si>
  <si>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</si>
  <si>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</si>
  <si>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</si>
  <si>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</si>
  <si>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</si>
  <si>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</si>
  <si>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</si>
  <si>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</si>
  <si>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</si>
  <si>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</si>
  <si>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</si>
  <si>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</si>
  <si>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</si>
  <si>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</si>
  <si>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</si>
  <si>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</si>
  <si>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</si>
  <si>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IQ-P04941</t>
  </si>
  <si>
    <t>Bakhtyari</t>
  </si>
  <si>
    <t>بختيارى</t>
  </si>
  <si>
    <t>IQ-P06185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</si>
  <si>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</si>
  <si>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</si>
  <si>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</si>
  <si>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</si>
  <si>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</si>
  <si>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</si>
  <si>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</si>
  <si>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</si>
  <si>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</si>
  <si>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</si>
  <si>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</si>
  <si>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</si>
  <si>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</si>
  <si>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</si>
  <si>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</si>
  <si>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</si>
  <si>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</si>
  <si>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</si>
  <si>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IQ-P05056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</si>
  <si>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</si>
  <si>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</si>
  <si>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</si>
  <si>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</si>
  <si>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</si>
  <si>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</si>
  <si>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</si>
  <si>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</si>
  <si>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</si>
  <si>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</si>
  <si>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</si>
  <si>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</si>
  <si>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Mamostaian</t>
  </si>
  <si>
    <t>IQ-P04961</t>
  </si>
  <si>
    <t>IQ-P06416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</si>
  <si>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</si>
  <si>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</si>
  <si>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</si>
  <si>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</si>
  <si>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</si>
  <si>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</si>
  <si>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</si>
  <si>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</si>
  <si>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</si>
  <si>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</si>
  <si>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</si>
  <si>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</si>
  <si>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</si>
  <si>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</si>
  <si>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</si>
  <si>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</si>
  <si>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</si>
  <si>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</si>
  <si>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</si>
  <si>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</si>
  <si>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</si>
  <si>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</si>
  <si>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</si>
  <si>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IQ-P06525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</si>
  <si>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</si>
  <si>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</si>
  <si>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</si>
  <si>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</si>
  <si>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</si>
  <si>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</si>
  <si>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</si>
  <si>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</si>
  <si>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</si>
  <si>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</si>
  <si>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</si>
  <si>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</si>
  <si>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</si>
  <si>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</si>
  <si>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</si>
  <si>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</si>
  <si>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</si>
  <si>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</si>
  <si>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</si>
  <si>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</si>
  <si>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</si>
  <si>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</si>
  <si>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</si>
  <si>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</si>
  <si>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</si>
  <si>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</si>
  <si>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</si>
  <si>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</si>
  <si>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</si>
  <si>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</si>
  <si>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IQ-P05340</t>
  </si>
  <si>
    <t>Kalar-Rizgari</t>
  </si>
  <si>
    <t>IQ-P05361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</si>
  <si>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</si>
  <si>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</si>
  <si>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</si>
  <si>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</si>
  <si>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</si>
  <si>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</si>
  <si>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</si>
  <si>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</si>
  <si>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</si>
  <si>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</si>
  <si>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</si>
  <si>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</si>
  <si>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</si>
  <si>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</si>
  <si>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</si>
  <si>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</si>
  <si>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</si>
  <si>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</si>
  <si>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</si>
  <si>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</si>
  <si>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</si>
  <si>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</si>
  <si>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</si>
  <si>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</si>
  <si>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</si>
  <si>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</si>
  <si>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</si>
  <si>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Sangasar</t>
  </si>
  <si>
    <t>سنكسر</t>
  </si>
  <si>
    <t>IQ-P05892</t>
  </si>
  <si>
    <t>Rania</t>
  </si>
  <si>
    <t>كولين ستي</t>
  </si>
  <si>
    <t>IQ-D031</t>
  </si>
  <si>
    <t>قنديل</t>
  </si>
  <si>
    <t>روزهلات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</si>
  <si>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</si>
  <si>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</si>
  <si>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</si>
  <si>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</si>
  <si>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</si>
  <si>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</si>
  <si>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</si>
  <si>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</si>
  <si>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</si>
  <si>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</si>
  <si>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</si>
  <si>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</si>
  <si>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</si>
  <si>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Yakiati</t>
  </si>
  <si>
    <t>يكيتي</t>
  </si>
  <si>
    <t>Sharbazher</t>
  </si>
  <si>
    <t>IQ-D032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</si>
  <si>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</si>
  <si>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</si>
  <si>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</si>
  <si>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</si>
  <si>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</si>
  <si>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</si>
  <si>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</si>
  <si>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</si>
  <si>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</si>
  <si>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</si>
  <si>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</si>
  <si>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</si>
  <si>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</si>
  <si>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</si>
  <si>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</si>
  <si>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</si>
  <si>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</si>
  <si>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اللاهى</t>
  </si>
  <si>
    <t>IQ-P06615</t>
  </si>
  <si>
    <t>Aqari</t>
  </si>
  <si>
    <t>عقارى</t>
  </si>
  <si>
    <t>IQ-P06620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</si>
  <si>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</si>
  <si>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</si>
  <si>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</si>
  <si>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</si>
  <si>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</si>
  <si>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</si>
  <si>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</si>
  <si>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</si>
  <si>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</si>
  <si>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Awbara</t>
  </si>
  <si>
    <t>اوبارة</t>
  </si>
  <si>
    <t>IQ-P06641</t>
  </si>
  <si>
    <t>IQ-P06643</t>
  </si>
  <si>
    <t>Azadi-Bazyan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</si>
  <si>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</si>
  <si>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</si>
  <si>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</si>
  <si>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</si>
  <si>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</si>
  <si>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</si>
  <si>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</si>
  <si>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Bakrajo-Sardawa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</si>
  <si>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</si>
  <si>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</si>
  <si>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</si>
  <si>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</si>
  <si>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</si>
  <si>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</si>
  <si>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</si>
  <si>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</si>
  <si>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</si>
  <si>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</si>
  <si>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Bardaqaraman-Sharawani</t>
  </si>
  <si>
    <t>Barez City</t>
  </si>
  <si>
    <t>بريز ستى</t>
  </si>
  <si>
    <t>IQ-P06669</t>
  </si>
  <si>
    <t>IQ-P06767</t>
  </si>
  <si>
    <t>Bazian-Surgrma</t>
  </si>
  <si>
    <t>سركرما</t>
  </si>
  <si>
    <t>IQ-P07022</t>
  </si>
  <si>
    <t>bekas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</si>
  <si>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</si>
  <si>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</si>
  <si>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</si>
  <si>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</si>
  <si>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</si>
  <si>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</si>
  <si>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</si>
  <si>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</si>
  <si>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</si>
  <si>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</si>
  <si>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</si>
  <si>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</si>
  <si>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</si>
  <si>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</si>
  <si>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</si>
  <si>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</si>
  <si>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</si>
  <si>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</si>
  <si>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</si>
  <si>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</si>
  <si>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</si>
  <si>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</si>
  <si>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</si>
  <si>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</si>
  <si>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</si>
  <si>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</si>
  <si>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</si>
  <si>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</si>
  <si>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</si>
  <si>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</si>
  <si>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</si>
  <si>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</si>
  <si>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</si>
  <si>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</si>
  <si>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</si>
  <si>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</si>
  <si>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</si>
  <si>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</si>
  <si>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</si>
  <si>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</si>
  <si>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</si>
  <si>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</si>
  <si>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</si>
  <si>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</si>
  <si>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</si>
  <si>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</si>
  <si>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</si>
  <si>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</si>
  <si>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</si>
  <si>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</si>
  <si>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</si>
  <si>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</si>
  <si>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</si>
  <si>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</si>
  <si>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</si>
  <si>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</si>
  <si>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</si>
  <si>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</si>
  <si>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</si>
  <si>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</si>
  <si>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</si>
  <si>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</si>
  <si>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</si>
  <si>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</si>
  <si>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</si>
  <si>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</si>
  <si>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</si>
  <si>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</si>
  <si>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</si>
  <si>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</si>
  <si>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</si>
  <si>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</si>
  <si>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</si>
  <si>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</si>
  <si>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</si>
  <si>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</si>
  <si>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</si>
  <si>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</si>
  <si>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</si>
  <si>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</si>
  <si>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</si>
  <si>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</si>
  <si>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</si>
  <si>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</si>
  <si>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</si>
  <si>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</si>
  <si>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</si>
  <si>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</si>
  <si>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</si>
  <si>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</si>
  <si>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</si>
  <si>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</si>
  <si>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</si>
  <si>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</si>
  <si>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</si>
  <si>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</si>
  <si>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</si>
  <si>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</si>
  <si>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</si>
  <si>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</si>
  <si>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</si>
  <si>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</si>
  <si>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</si>
  <si>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</si>
  <si>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</si>
  <si>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</si>
  <si>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</si>
  <si>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</si>
  <si>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</si>
  <si>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</si>
  <si>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</si>
  <si>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</si>
  <si>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</si>
  <si>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</si>
  <si>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</si>
  <si>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</si>
  <si>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</si>
  <si>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</si>
  <si>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</si>
  <si>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</si>
  <si>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</si>
  <si>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</si>
  <si>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</si>
  <si>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</si>
  <si>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</si>
  <si>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</si>
  <si>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</si>
  <si>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</si>
  <si>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</si>
  <si>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</si>
  <si>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</si>
  <si>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</si>
  <si>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</si>
  <si>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</si>
  <si>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</si>
  <si>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</si>
  <si>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</si>
  <si>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IQ-P06955</t>
  </si>
  <si>
    <t>Raparin-Bawa Mrda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</si>
  <si>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</si>
  <si>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</si>
  <si>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</si>
  <si>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</si>
  <si>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</si>
  <si>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</si>
  <si>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</si>
  <si>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</si>
  <si>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</si>
  <si>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</si>
  <si>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</si>
  <si>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</si>
  <si>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</si>
  <si>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</si>
  <si>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</si>
  <si>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</si>
  <si>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</si>
  <si>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</si>
  <si>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</si>
  <si>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</si>
  <si>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</si>
  <si>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</si>
  <si>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</si>
  <si>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</si>
  <si>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</si>
  <si>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</si>
  <si>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</si>
  <si>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</si>
  <si>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</si>
  <si>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</si>
  <si>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</si>
  <si>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</si>
  <si>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</si>
  <si>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</si>
  <si>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</si>
  <si>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</si>
  <si>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</si>
  <si>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</si>
  <si>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</si>
  <si>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</si>
  <si>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</si>
  <si>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</si>
  <si>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</si>
  <si>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</si>
  <si>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</si>
  <si>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</si>
  <si>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</si>
  <si>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</si>
  <si>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</si>
  <si>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</si>
  <si>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</si>
  <si>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</si>
  <si>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</si>
  <si>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</si>
  <si>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</si>
  <si>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</si>
  <si>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</si>
  <si>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</si>
  <si>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</si>
  <si>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</si>
  <si>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</si>
  <si>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</si>
  <si>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</si>
  <si>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</si>
  <si>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</si>
  <si>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</si>
  <si>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</si>
  <si>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</si>
  <si>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</si>
  <si>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</si>
  <si>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</si>
  <si>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</si>
  <si>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</si>
  <si>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</si>
  <si>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</si>
  <si>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</si>
  <si>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</si>
  <si>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Chibayish</t>
  </si>
  <si>
    <t>جبايش</t>
  </si>
  <si>
    <t>IQ-P10332</t>
  </si>
  <si>
    <t>Al-Rifa'i</t>
  </si>
  <si>
    <t>Al-Moalemen</t>
  </si>
  <si>
    <t>IQ-D054</t>
  </si>
  <si>
    <t>IQ-P10980</t>
  </si>
  <si>
    <t>An Nasr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</si>
  <si>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</si>
  <si>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</si>
  <si>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</si>
  <si>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</si>
  <si>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</si>
  <si>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</si>
  <si>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</si>
  <si>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</si>
  <si>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</si>
  <si>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</si>
  <si>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</si>
  <si>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</si>
  <si>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</si>
  <si>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</si>
  <si>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</si>
  <si>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</si>
  <si>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</si>
  <si>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</si>
  <si>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</si>
  <si>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</si>
  <si>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</si>
  <si>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</si>
  <si>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</si>
  <si>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</si>
  <si>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</si>
  <si>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</si>
  <si>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</si>
  <si>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</si>
  <si>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</si>
  <si>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</si>
  <si>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</si>
  <si>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</si>
  <si>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</si>
  <si>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</si>
  <si>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</si>
  <si>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</si>
  <si>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</si>
  <si>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</si>
  <si>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</si>
  <si>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</si>
  <si>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</si>
  <si>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</si>
  <si>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</si>
  <si>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</si>
  <si>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</si>
  <si>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</si>
  <si>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</si>
  <si>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</si>
  <si>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</si>
  <si>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</si>
  <si>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</si>
  <si>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</si>
  <si>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</si>
  <si>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</si>
  <si>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</si>
  <si>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</si>
  <si>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</si>
  <si>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</si>
  <si>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</si>
  <si>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</si>
  <si>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</si>
  <si>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</si>
  <si>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</si>
  <si>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</si>
  <si>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</si>
  <si>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</si>
  <si>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</si>
  <si>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</si>
  <si>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</si>
  <si>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</si>
  <si>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</si>
  <si>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</si>
  <si>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</si>
  <si>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</si>
  <si>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</si>
  <si>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</si>
  <si>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</si>
  <si>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</si>
  <si>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</si>
  <si>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</si>
  <si>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</si>
  <si>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</si>
  <si>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</si>
  <si>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</si>
  <si>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</si>
  <si>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</si>
  <si>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</si>
  <si>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</si>
  <si>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</si>
  <si>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</si>
  <si>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</si>
  <si>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</si>
  <si>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</si>
  <si>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</si>
  <si>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</si>
  <si>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</si>
  <si>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</si>
  <si>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</si>
  <si>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</si>
  <si>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</si>
  <si>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</si>
  <si>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</si>
  <si>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</si>
  <si>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</si>
  <si>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</si>
  <si>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</si>
  <si>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</si>
  <si>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</si>
  <si>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</si>
  <si>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</si>
  <si>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</si>
  <si>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</si>
  <si>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</si>
  <si>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</si>
  <si>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</si>
  <si>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</si>
  <si>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</si>
  <si>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</si>
  <si>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</si>
  <si>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Hey Al- 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</si>
  <si>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</si>
  <si>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</si>
  <si>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</si>
  <si>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</si>
  <si>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</si>
  <si>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</si>
  <si>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</si>
  <si>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</si>
  <si>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</si>
  <si>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</si>
  <si>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</si>
  <si>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</si>
  <si>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</si>
  <si>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</si>
  <si>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</si>
  <si>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</si>
  <si>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</si>
  <si>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</si>
  <si>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</si>
  <si>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</si>
  <si>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</si>
  <si>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</si>
  <si>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</si>
  <si>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Syied Dakhil-Al-hay al-askary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</si>
  <si>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</si>
  <si>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</si>
  <si>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</si>
  <si>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</si>
  <si>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</si>
  <si>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</si>
  <si>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</si>
  <si>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</si>
  <si>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</si>
  <si>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</si>
  <si>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</si>
  <si>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</si>
  <si>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</si>
  <si>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</si>
  <si>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</si>
  <si>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</si>
  <si>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</si>
  <si>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</si>
  <si>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</si>
  <si>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</si>
  <si>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</si>
  <si>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</si>
  <si>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</si>
  <si>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</si>
  <si>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</si>
  <si>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</si>
  <si>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</si>
  <si>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</si>
  <si>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</si>
  <si>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</si>
  <si>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</si>
  <si>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</si>
  <si>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</si>
  <si>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</si>
  <si>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</si>
  <si>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</si>
  <si>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</si>
  <si>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</si>
  <si>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</si>
  <si>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</si>
  <si>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</si>
  <si>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</si>
  <si>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</si>
  <si>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</si>
  <si>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</si>
  <si>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</si>
  <si>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IQ-P21061</t>
  </si>
  <si>
    <t>Al Sadoniyah</t>
  </si>
  <si>
    <t>السعدونية</t>
  </si>
  <si>
    <t>Al-Azezia 150 area</t>
  </si>
  <si>
    <t>العزيزية 150</t>
  </si>
  <si>
    <t xml:space="preserve">مركز الدبوني </t>
  </si>
  <si>
    <t>IQ-P21066</t>
  </si>
  <si>
    <t>Al-Dair al-Aala</t>
  </si>
  <si>
    <t>الدير الاعلى</t>
  </si>
  <si>
    <t>IQ-P21067</t>
  </si>
  <si>
    <t>الدير الاعلى الثانية</t>
  </si>
  <si>
    <t>Al-Hardan Village</t>
  </si>
  <si>
    <t>قرية الحردان</t>
  </si>
  <si>
    <t>حي الخماس الثانية</t>
  </si>
  <si>
    <t>حي الخماس الثالثة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</si>
  <si>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</si>
  <si>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</si>
  <si>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</si>
  <si>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</si>
  <si>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</si>
  <si>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</si>
  <si>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</si>
  <si>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</si>
  <si>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</si>
  <si>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</si>
  <si>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</si>
  <si>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</si>
  <si>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</si>
  <si>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</si>
  <si>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</si>
  <si>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الشريف الرضي</t>
  </si>
  <si>
    <t>Al-Tanmeya</t>
  </si>
  <si>
    <t>التنمية</t>
  </si>
  <si>
    <t>IQ-P21089</t>
  </si>
  <si>
    <t>Bader Al-Kubra</t>
  </si>
  <si>
    <t>بدر الكبرى</t>
  </si>
  <si>
    <t>قرية حربي وحمور</t>
  </si>
  <si>
    <t>IQ-P21120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</si>
  <si>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</si>
  <si>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</si>
  <si>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</si>
  <si>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</si>
  <si>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</si>
  <si>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</si>
  <si>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</si>
  <si>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</si>
  <si>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</si>
  <si>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</si>
  <si>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</si>
  <si>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</si>
  <si>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</si>
  <si>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</si>
  <si>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</si>
  <si>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</si>
  <si>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</si>
  <si>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</si>
  <si>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</si>
  <si>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</si>
  <si>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</si>
  <si>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</si>
  <si>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</si>
  <si>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</si>
  <si>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</si>
  <si>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</si>
  <si>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</si>
  <si>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</si>
  <si>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</si>
  <si>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 xml:space="preserve">ناحية البشائر </t>
  </si>
  <si>
    <t>IQ-D094</t>
  </si>
  <si>
    <t>IQ-P21319</t>
  </si>
  <si>
    <t>Al Bashaer-Al-Muntadhar Village</t>
  </si>
  <si>
    <t>ناحية البشائر- قرية المنتظر</t>
  </si>
  <si>
    <t>Al Bashaer-Al-Qudis 1</t>
  </si>
  <si>
    <t>Al Bashaer-Al-Qudis 2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</si>
  <si>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</si>
  <si>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</si>
  <si>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</si>
  <si>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</si>
  <si>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</si>
  <si>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</si>
  <si>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</si>
  <si>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حي الأمام الصادق</t>
  </si>
  <si>
    <t>IQ-P21499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</si>
  <si>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</si>
  <si>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</si>
  <si>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</si>
  <si>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</si>
  <si>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</si>
  <si>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</si>
  <si>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</si>
  <si>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</si>
  <si>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ناحية البشائر- قرية الأمام الصادق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</si>
  <si>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</si>
  <si>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</si>
  <si>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</si>
  <si>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</si>
  <si>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</si>
  <si>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</si>
  <si>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</si>
  <si>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IQ-P21502</t>
  </si>
  <si>
    <t>Hay Emam Ali</t>
  </si>
  <si>
    <t>حي الامام علي</t>
  </si>
  <si>
    <t>Al-Na'maniya</t>
  </si>
  <si>
    <t>IQ-D096</t>
  </si>
  <si>
    <t>قرية الحكيم</t>
  </si>
  <si>
    <t>قرية البقرتين</t>
  </si>
  <si>
    <t>IQ-P22076</t>
  </si>
  <si>
    <t>حي الأمام الرضا</t>
  </si>
  <si>
    <t>Al-Shomali Road-Shadhi Al-Gherbi</t>
  </si>
  <si>
    <t>Al-Shomali Road-Shadhi Al-Sharki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</si>
  <si>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</si>
  <si>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</si>
  <si>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</si>
  <si>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</si>
  <si>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</si>
  <si>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</si>
  <si>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</si>
  <si>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</si>
  <si>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</si>
  <si>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</si>
  <si>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</si>
  <si>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</si>
  <si>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</si>
  <si>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</si>
  <si>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قرية الجسر</t>
  </si>
  <si>
    <t>IQ-P22190</t>
  </si>
  <si>
    <t>حي المغرب</t>
  </si>
  <si>
    <t>IQ-P22197</t>
  </si>
  <si>
    <t>IQ-P22256</t>
  </si>
  <si>
    <t>قرية الصدور</t>
  </si>
  <si>
    <t>Hai Al-Askari-5 Dunam</t>
  </si>
  <si>
    <t>Hay Al-Furat</t>
  </si>
  <si>
    <t>IQ-P22259</t>
  </si>
  <si>
    <t>IQ-P22271</t>
  </si>
  <si>
    <t>مركز الصويرة</t>
  </si>
  <si>
    <t>Osama Bin Zaid Village</t>
  </si>
  <si>
    <t>قرية اسامة بن زيد</t>
  </si>
  <si>
    <t>IQ-P22168</t>
  </si>
  <si>
    <t>قرية الرجيبية</t>
  </si>
  <si>
    <t>IQ-P22310</t>
  </si>
  <si>
    <t>قطاع دجلة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</si>
  <si>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</si>
  <si>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</si>
  <si>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</si>
  <si>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</si>
  <si>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</si>
  <si>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</si>
  <si>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حي الأمام الحسين</t>
  </si>
  <si>
    <t>IQ-P21253</t>
  </si>
  <si>
    <t>Al-Shuhadaa Village</t>
  </si>
  <si>
    <t>قرية الشهداء</t>
  </si>
  <si>
    <t>قرية دهنوك</t>
  </si>
  <si>
    <t>IQ-P21251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</si>
  <si>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</si>
  <si>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</si>
  <si>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</si>
  <si>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</si>
  <si>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</si>
  <si>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</si>
  <si>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</si>
  <si>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</si>
  <si>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</si>
  <si>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</si>
  <si>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</si>
  <si>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</si>
  <si>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</si>
  <si>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</si>
  <si>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</si>
  <si>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</si>
  <si>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</si>
  <si>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</si>
  <si>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</si>
  <si>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</si>
  <si>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</si>
  <si>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Maimoon</t>
  </si>
  <si>
    <t>الميمون</t>
  </si>
  <si>
    <t>IQ-P21632</t>
  </si>
  <si>
    <t>المنطقة القديمة</t>
  </si>
  <si>
    <t>Al Muhandseen-Al Amarat Al Sakaniyah</t>
  </si>
  <si>
    <t>IQ-P21637</t>
  </si>
  <si>
    <t>Al Nahalat</t>
  </si>
  <si>
    <t>النحالات</t>
  </si>
  <si>
    <t>العروبة الاولى</t>
  </si>
  <si>
    <t>IQ-P21645</t>
  </si>
  <si>
    <t>IQ-P21652</t>
  </si>
  <si>
    <t>حي العباسية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</si>
  <si>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</si>
  <si>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</si>
  <si>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</si>
  <si>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</si>
  <si>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</si>
  <si>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</si>
  <si>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Al-Dujaily-Al-Zahra 1</t>
  </si>
  <si>
    <t>Al-Dujaily-Hai Al-Hussein</t>
  </si>
  <si>
    <t>العزة الجديدة</t>
  </si>
  <si>
    <t>العزة القديمة</t>
  </si>
  <si>
    <t>Al-Hassan Al-Askari Al-Thania</t>
  </si>
  <si>
    <t>الحسن العسكري الثانيه</t>
  </si>
  <si>
    <t>حي الحوراء الثالثة</t>
  </si>
  <si>
    <t>IQ-P23991</t>
  </si>
  <si>
    <t>قرية الجباب</t>
  </si>
  <si>
    <t>IQ-P21698</t>
  </si>
  <si>
    <t>الجهاد الزهراء</t>
  </si>
  <si>
    <t>Al-Jihad-Al-Sajad</t>
  </si>
  <si>
    <t>حي الخورنق</t>
  </si>
  <si>
    <t>IQ-P21703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</si>
  <si>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</si>
  <si>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</si>
  <si>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</si>
  <si>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</si>
  <si>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</si>
  <si>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الشهداء الثالثة</t>
  </si>
  <si>
    <t>الشهداء الرابعة</t>
  </si>
  <si>
    <t>العمارات المتميزين</t>
  </si>
  <si>
    <t>Al-Wafdin Al-Sadrain</t>
  </si>
  <si>
    <t>الوافدين الصدرين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</si>
  <si>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</si>
  <si>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</si>
  <si>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</si>
  <si>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</si>
  <si>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</si>
  <si>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انوار الصدر</t>
  </si>
  <si>
    <t>IQ-P21743</t>
  </si>
  <si>
    <t>Damook 150</t>
  </si>
  <si>
    <t>داموك 150</t>
  </si>
  <si>
    <t>IQ-P21770</t>
  </si>
  <si>
    <t>Damook Al-Dhbat</t>
  </si>
  <si>
    <t>داموك الضباط</t>
  </si>
  <si>
    <t>داموك الحرية</t>
  </si>
  <si>
    <t>IQ-P21769</t>
  </si>
  <si>
    <t>دور العمال</t>
  </si>
  <si>
    <t>IQ-P21774</t>
  </si>
  <si>
    <t>حي الامام علي الثانيه</t>
  </si>
  <si>
    <t>الحقوقيين</t>
  </si>
  <si>
    <t>IQ-P21820</t>
  </si>
  <si>
    <t>Hay Al Jawadeen Al-Thalitha</t>
  </si>
  <si>
    <t>حي الجوادين الثالثه</t>
  </si>
  <si>
    <t>حي الجوادين الاولى</t>
  </si>
  <si>
    <t>IQ-P23992</t>
  </si>
  <si>
    <t>الجهاد -الثقلين</t>
  </si>
  <si>
    <t>IQ-P21825</t>
  </si>
  <si>
    <t>Hay Al Wehda</t>
  </si>
  <si>
    <t>IQ-P21826</t>
  </si>
  <si>
    <t>Hay Al Zahraa 1</t>
  </si>
  <si>
    <t>الزهراء الاولى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</si>
  <si>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</si>
  <si>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</si>
  <si>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</si>
  <si>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</si>
  <si>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</si>
  <si>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</si>
  <si>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</si>
  <si>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الجهاد -الزنابرة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</si>
  <si>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</si>
  <si>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</si>
  <si>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</si>
  <si>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</si>
  <si>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</si>
  <si>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</si>
  <si>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</si>
  <si>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</si>
  <si>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</si>
  <si>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</si>
  <si>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</si>
  <si>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</si>
  <si>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</si>
  <si>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</si>
  <si>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</si>
  <si>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Husaibah Al-Sharqiah</t>
  </si>
  <si>
    <t>Hay Ur-327</t>
  </si>
  <si>
    <t>khor Al Zubair-Hay Al Baqer Al Ula</t>
  </si>
  <si>
    <t>Umm Qasr-Door Al-Moaneaa 1-Street 10</t>
  </si>
  <si>
    <t>Umm Qasr-Door Al-Moaneaa 1-Street 11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</si>
  <si>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</si>
  <si>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</si>
  <si>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</si>
  <si>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</si>
  <si>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</si>
  <si>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</si>
  <si>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</si>
  <si>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</si>
  <si>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</si>
  <si>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</si>
  <si>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</si>
  <si>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</si>
  <si>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bani arkab village</t>
  </si>
  <si>
    <t>habib Abdullah village</t>
  </si>
  <si>
    <t>Quramin village</t>
  </si>
  <si>
    <t>Al Qala (Hay khanaqa)</t>
  </si>
  <si>
    <t>Baharka Camp</t>
  </si>
  <si>
    <t>Bahrka center</t>
  </si>
  <si>
    <t>Harsham (Al Bohoth Al Zirayah) Camp</t>
  </si>
  <si>
    <t>Debaga (Shuhadaa Al Emarat) Camp</t>
  </si>
  <si>
    <t>Sarmidan-1(Ashti)</t>
  </si>
  <si>
    <t>Sarmidan-2(Azadi)</t>
  </si>
  <si>
    <t>Sarmidan-3(Ashti)</t>
  </si>
  <si>
    <t>Khalifan(center)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</si>
  <si>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</si>
  <si>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</si>
  <si>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</si>
  <si>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</si>
  <si>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</si>
  <si>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</si>
  <si>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</si>
  <si>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</si>
  <si>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</si>
  <si>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</si>
  <si>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</si>
  <si>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Sahel Hamad Village</t>
  </si>
  <si>
    <t>Tal Ismair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</si>
  <si>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</si>
  <si>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</si>
  <si>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</si>
  <si>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</si>
  <si>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</si>
  <si>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</si>
  <si>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</si>
  <si>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</si>
  <si>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</si>
  <si>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</si>
  <si>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</si>
  <si>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</si>
  <si>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</si>
  <si>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 Hussein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</si>
  <si>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</si>
  <si>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</si>
  <si>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</si>
  <si>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</si>
  <si>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</si>
  <si>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</si>
  <si>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</si>
  <si>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</si>
  <si>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jamal Village</t>
  </si>
  <si>
    <t>Al-Jabaar village</t>
  </si>
  <si>
    <t>al-khalifa village</t>
  </si>
  <si>
    <t>Albo Hasan village</t>
  </si>
  <si>
    <t>Hay Al Ghadir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</si>
  <si>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</si>
  <si>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</si>
  <si>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</si>
  <si>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</si>
  <si>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</si>
  <si>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</si>
  <si>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</si>
  <si>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Um tibashi village</t>
  </si>
  <si>
    <t>Al Asriyah Village</t>
  </si>
  <si>
    <t>Al-suraa village</t>
  </si>
  <si>
    <t>Ali Al-Salman Village</t>
  </si>
  <si>
    <t>Hay Al saray</t>
  </si>
  <si>
    <t>Al Mahzam village</t>
  </si>
  <si>
    <t>Al Zallayah village</t>
  </si>
  <si>
    <t>Hay Al sinay-Al samad</t>
  </si>
  <si>
    <t>Barzinja Camp</t>
  </si>
  <si>
    <t>Tazade Camp</t>
  </si>
  <si>
    <t>Arbat IDP Camp</t>
  </si>
  <si>
    <t>Ashti IDP Camp</t>
  </si>
  <si>
    <t>Imam Rudha</t>
  </si>
  <si>
    <t>Hay Al-Ameer-Al Niel</t>
  </si>
  <si>
    <t>Al Hamiyah Al Sheab Village</t>
  </si>
  <si>
    <t>Al-Askari-Al Wesiya</t>
  </si>
  <si>
    <t>Al Basaten-346</t>
  </si>
  <si>
    <t>Al Basaten-348</t>
  </si>
  <si>
    <t>Al Biydhaa-323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</si>
  <si>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</si>
  <si>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</si>
  <si>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</si>
  <si>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</si>
  <si>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</si>
  <si>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</si>
  <si>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</si>
  <si>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</si>
  <si>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</si>
  <si>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</si>
  <si>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</si>
  <si>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</si>
  <si>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</si>
  <si>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</si>
  <si>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</si>
  <si>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</si>
  <si>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</si>
  <si>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</si>
  <si>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</si>
  <si>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</si>
  <si>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</si>
  <si>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</si>
  <si>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</si>
  <si>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</si>
  <si>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</si>
  <si>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</si>
  <si>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</si>
  <si>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</si>
  <si>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</si>
  <si>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</si>
  <si>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</si>
  <si>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Maalef-837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</si>
  <si>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</si>
  <si>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</si>
  <si>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</si>
  <si>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</si>
  <si>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</si>
  <si>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</si>
  <si>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</si>
  <si>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</si>
  <si>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</si>
  <si>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</si>
  <si>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Uwayrij Camp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</si>
  <si>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</si>
  <si>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</si>
  <si>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</si>
  <si>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</si>
  <si>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</si>
  <si>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</si>
  <si>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</si>
  <si>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</si>
  <si>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</si>
  <si>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Safwan-Hay Al Zahra</t>
  </si>
  <si>
    <t>Umm Qasr-Al- hindiyah Al-Janobia</t>
  </si>
  <si>
    <t>Umm Qasr-Door Al-Moaneaa 2</t>
  </si>
  <si>
    <t>Umm Qasr-Hay Al-Qaeda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</si>
  <si>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</si>
  <si>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</si>
  <si>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</si>
  <si>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</si>
  <si>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</si>
  <si>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</si>
  <si>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</si>
  <si>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</si>
  <si>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</si>
  <si>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Darkar Camp</t>
  </si>
  <si>
    <t>مخيم دركار</t>
  </si>
  <si>
    <t>Agha and Khalifa</t>
  </si>
  <si>
    <t>Al Wand 2 Camp</t>
  </si>
  <si>
    <t>Hay mameel al qeer</t>
  </si>
  <si>
    <t>Hay El Al Iman-4</t>
  </si>
  <si>
    <t>Al Warkaa- Hay Al Zahra</t>
  </si>
  <si>
    <t>Al Sharagia</t>
  </si>
  <si>
    <t>village All Abs</t>
  </si>
  <si>
    <t>Karsur vilage</t>
  </si>
  <si>
    <t>Mushah vilage</t>
  </si>
  <si>
    <t>Rajm hassn vilage</t>
  </si>
  <si>
    <t>Al Mazraa Village</t>
  </si>
  <si>
    <t>Mahalla Makeshfa</t>
  </si>
  <si>
    <t>Al-Umarat-Al-Mutamaizeen</t>
  </si>
  <si>
    <t>Door al-hendiya</t>
  </si>
  <si>
    <t xml:space="preserve">دور الهندية </t>
  </si>
  <si>
    <t>IQ-P00880</t>
  </si>
  <si>
    <t>Diraboon</t>
  </si>
  <si>
    <t>Hay Al Entesar</t>
  </si>
  <si>
    <t>Hay Al Jmhoori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</si>
  <si>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</si>
  <si>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</si>
  <si>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</si>
  <si>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</si>
  <si>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</si>
  <si>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</si>
  <si>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</si>
  <si>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</si>
  <si>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</si>
  <si>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</si>
  <si>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</si>
  <si>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</si>
  <si>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</si>
  <si>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</si>
  <si>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</si>
  <si>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</si>
  <si>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</si>
  <si>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</si>
  <si>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</si>
  <si>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</si>
  <si>
    <t>Al Mansoory</t>
  </si>
  <si>
    <t>المنصوري</t>
  </si>
  <si>
    <t>IQ-P08479</t>
  </si>
  <si>
    <t>Al Dair- Al-sharamkha</t>
  </si>
  <si>
    <t>Hai al-hussain-1</t>
  </si>
  <si>
    <t>IQ-P00940</t>
  </si>
  <si>
    <t>IQ-P23679</t>
  </si>
  <si>
    <t>Al-Muskarat</t>
  </si>
  <si>
    <t>منطقة المعسكرات</t>
  </si>
  <si>
    <t>Hay al Zahraa</t>
  </si>
  <si>
    <t>IQ-P11491</t>
  </si>
  <si>
    <t>Albo-Mustafa</t>
  </si>
  <si>
    <t>Hay Al Moatnen 1</t>
  </si>
  <si>
    <t>حي المواطنين 1</t>
  </si>
  <si>
    <t>Hay Al Ameer-1</t>
  </si>
  <si>
    <t>Hay Al Ameer-2</t>
  </si>
  <si>
    <t>Hay Al Ameer-3</t>
  </si>
  <si>
    <t>Hay Al Ameer-4</t>
  </si>
  <si>
    <t>Hay Al Ameer-5</t>
  </si>
  <si>
    <t>Al Bakraly-1</t>
  </si>
  <si>
    <t>Al Bakraly-3</t>
  </si>
  <si>
    <t>Al-Nasir Walsalam-3000</t>
  </si>
  <si>
    <t>Al-Nasir Walsalam-4000</t>
  </si>
  <si>
    <t>Al-Nasir Walsalam-7000</t>
  </si>
  <si>
    <t>Al-Nasir Walsalam-8000</t>
  </si>
  <si>
    <t>Khernabat-South</t>
  </si>
  <si>
    <t>Al Fudhiliyah-753</t>
  </si>
  <si>
    <t>Al Karada-907</t>
  </si>
  <si>
    <t>Al Ilam-831</t>
  </si>
  <si>
    <t>Al-Rasheed-14 Tamoz</t>
  </si>
  <si>
    <t>Nadeem-1 Village</t>
  </si>
  <si>
    <t>Nadeem-2 Village</t>
  </si>
  <si>
    <t>Al-Shemal Area</t>
  </si>
  <si>
    <t>Umm Qasr-Door Al-Moaneaa 1-Street 6</t>
  </si>
  <si>
    <t>Shatt Al-Arab-Tanoma-17 St</t>
  </si>
  <si>
    <t>Al Malfood village-Al Musharh</t>
  </si>
  <si>
    <t>Hay al-qaherah</t>
  </si>
  <si>
    <t>Hay al-wehdah</t>
  </si>
  <si>
    <t>Al-Taamem-2</t>
  </si>
  <si>
    <t>albedaa</t>
  </si>
  <si>
    <t xml:space="preserve">البدعة </t>
  </si>
  <si>
    <t>IQ-P11236</t>
  </si>
  <si>
    <t>Al-Jameiah-1</t>
  </si>
  <si>
    <t>Al-Zahra-Al-Jihad</t>
  </si>
  <si>
    <t>جبلة-مدينة الباقر</t>
  </si>
  <si>
    <t>ناحية الامام-حي الامير</t>
  </si>
  <si>
    <t>ناحية الامام-حي الحكيم</t>
  </si>
  <si>
    <t>ناحيه الامام-حي الزهراء</t>
  </si>
  <si>
    <t>ناحية الامام-القصبة القديمة</t>
  </si>
  <si>
    <t>ناحية الامام-الشهيد الصدر</t>
  </si>
  <si>
    <t>ناحيه النيل-الطابه</t>
  </si>
  <si>
    <t>Alammar village- Al Neel</t>
  </si>
  <si>
    <t>ناحيه النيل-قريه العمار</t>
  </si>
  <si>
    <t>البدع-حي العسكري</t>
  </si>
  <si>
    <t>AlRashead village- Al Neel</t>
  </si>
  <si>
    <t>ناحيه النيل-قريه الراشد</t>
  </si>
  <si>
    <t>Alshalab village- Al Neel</t>
  </si>
  <si>
    <t>ناحيه النيل-قريه الشلب</t>
  </si>
  <si>
    <t>جبلة-حي الوحده</t>
  </si>
  <si>
    <t>حي الامير-النيل</t>
  </si>
  <si>
    <t>جبلة-الامام</t>
  </si>
  <si>
    <t>جبلة-الحميري</t>
  </si>
  <si>
    <t>جبله-حي الحريه</t>
  </si>
  <si>
    <t>جبله-حي رحيمه</t>
  </si>
  <si>
    <t>khalf alsharkhy village- Al Neel</t>
  </si>
  <si>
    <t>ناحيه النيل-قريه خليف الشرقي</t>
  </si>
  <si>
    <t>ناحية الامام-الصباغية</t>
  </si>
  <si>
    <t>الحامية-قرية ال عامر</t>
  </si>
  <si>
    <t>الحامية-قرية ال شهاب</t>
  </si>
  <si>
    <t>الحامية-المتقاعدين 2</t>
  </si>
  <si>
    <t>الحامية-قرية عويف</t>
  </si>
  <si>
    <t>ناحية الاسكندرية-مويلحة</t>
  </si>
  <si>
    <t>السدة-الريف الزاهر</t>
  </si>
  <si>
    <t>ناحيه السده-ام الحمام</t>
  </si>
  <si>
    <t>ناحية الاسكندريه-الانتصار</t>
  </si>
  <si>
    <t>Albo Hamdan</t>
  </si>
  <si>
    <t>البو حمدان</t>
  </si>
  <si>
    <t>IQ-P07948</t>
  </si>
  <si>
    <t>ناحيه السده-قريه الشجيريه</t>
  </si>
  <si>
    <t>ناحيه الاسكندريه-حي الرافدين</t>
  </si>
  <si>
    <t>ناحيه الاسكندريه-حي العسكري</t>
  </si>
  <si>
    <t>حي العسكري-الضغط</t>
  </si>
  <si>
    <t>السدة-حي الامير</t>
  </si>
  <si>
    <t>ناحية السده-حي الزهراء</t>
  </si>
  <si>
    <t>ناحية المدحتية-ابو درباش</t>
  </si>
  <si>
    <t>ناحية القاسم-الدروع</t>
  </si>
  <si>
    <t>ناحية المدحتية-الحصين</t>
  </si>
  <si>
    <t>ناحية المدحتيه-القصبة القديمة</t>
  </si>
  <si>
    <t>ناحية المدحتية-حي الامام</t>
  </si>
  <si>
    <t>ناحية المدحتية-حي الزهراء</t>
  </si>
  <si>
    <t>ناحية الشوملي-النصر</t>
  </si>
  <si>
    <t>ناحية القاسم-القصبة القديمة</t>
  </si>
  <si>
    <t>ناحية القاسم-العسكري</t>
  </si>
  <si>
    <t>ناحية القاسم-حي الجنابيين</t>
  </si>
  <si>
    <t>ناحية القاسم-حي الفياضية</t>
  </si>
  <si>
    <t>ناحية القاسم-حي الغدير</t>
  </si>
  <si>
    <t>ناحية القاسم-حي الصناعي</t>
  </si>
  <si>
    <t>ناحية الشوملي-حي العروبه</t>
  </si>
  <si>
    <t>ناحية الشوملي-حي الساده</t>
  </si>
  <si>
    <t>ناحية الشوملي-قرية الجواديه</t>
  </si>
  <si>
    <t>ناحية الطليعة-الجمعية والحسينية</t>
  </si>
  <si>
    <t>ناحية الطليعة-كشر</t>
  </si>
  <si>
    <t>ناحية الشوملي-الزبار</t>
  </si>
  <si>
    <t>ناحية المدحتية-قرية البو عبدالله</t>
  </si>
  <si>
    <t>مركز القضاء-الانتفاضه</t>
  </si>
  <si>
    <t>حي الزهراء-القاسم</t>
  </si>
  <si>
    <t>ناحية الشوملي-التحدي</t>
  </si>
  <si>
    <t>مركز القضاء-حي الزهراء</t>
  </si>
  <si>
    <t>ناحية القاسم-خرباط</t>
  </si>
  <si>
    <t>ناحية القاسم-ام عياش</t>
  </si>
  <si>
    <t>ناحية ابي غرق-الدغاغله</t>
  </si>
  <si>
    <t>ناحية ابي غرق-الحمام</t>
  </si>
  <si>
    <t>ناحية الكفل-الشهابية</t>
  </si>
  <si>
    <t>ناحية الكفل-خان سيد نور</t>
  </si>
  <si>
    <t>ناحية الكفل-7 نيسان</t>
  </si>
  <si>
    <t>ناحية الكفل-القصبة القديمة</t>
  </si>
  <si>
    <t>الكفل-الامام الخضر</t>
  </si>
  <si>
    <t>ناحية الكفل-المغضبيه</t>
  </si>
  <si>
    <t>الكفل-حي الزهراء</t>
  </si>
  <si>
    <t>ناحية ابي غرق-قرية عوفي</t>
  </si>
  <si>
    <t>ناحية ابي غرق-السايح</t>
  </si>
  <si>
    <t>ناحية ابي غرق-الطاقة</t>
  </si>
  <si>
    <t>مركز المدينة-الثورة الغربية</t>
  </si>
  <si>
    <t>الوردية-داخل</t>
  </si>
  <si>
    <t>الوردية-خارج</t>
  </si>
  <si>
    <t>ناحية ابي غرق-اليوسفيه</t>
  </si>
  <si>
    <t>العسكري-المشتل</t>
  </si>
  <si>
    <t>العسكري-الويسية</t>
  </si>
  <si>
    <t>حي الحسين-الكفل</t>
  </si>
  <si>
    <t>حي المهندسين-4</t>
  </si>
  <si>
    <t>الكفل-المرادية</t>
  </si>
  <si>
    <t>ناحية ابي غرق-قرية النضال</t>
  </si>
  <si>
    <t>ناحية الكفل-الرارنجية</t>
  </si>
  <si>
    <t>مركز القضاء-الثورة الشرقية</t>
  </si>
  <si>
    <t>ناحية ابي غرق-حي الحسين</t>
  </si>
  <si>
    <t>مركز المدينة-حي الكرامة -1</t>
  </si>
  <si>
    <t>مركز المدينة-حي الكرامة -3</t>
  </si>
  <si>
    <t>مركز الحله-حي الزهراء</t>
  </si>
  <si>
    <t>ناحية ابي غرق-حي الزهراء</t>
  </si>
  <si>
    <t>منطقة الحلة-حي الأمام</t>
  </si>
  <si>
    <t>حي المهندسين-3</t>
  </si>
  <si>
    <t>حي المهندسين-1</t>
  </si>
  <si>
    <t>نادر-الباقر</t>
  </si>
  <si>
    <t>نادر-علي الهادي</t>
  </si>
  <si>
    <t>ناحية ابي غرق-محيزم 2</t>
  </si>
  <si>
    <t>كص سويلم-المجمع السكني</t>
  </si>
  <si>
    <t>ناحية ابي غرق-زغيب العرب</t>
  </si>
  <si>
    <t>عكركوف (14)</t>
  </si>
  <si>
    <t>العياشية-9</t>
  </si>
  <si>
    <t>Al-Amal camp</t>
  </si>
  <si>
    <t>حي الشهداء-خان ضاري</t>
  </si>
  <si>
    <t>الشهداء-المركز</t>
  </si>
  <si>
    <t>خرنابات الشمالية</t>
  </si>
  <si>
    <t>الاعظمية-308</t>
  </si>
  <si>
    <t>الاعظمية-312</t>
  </si>
  <si>
    <t>الاعظمية-310</t>
  </si>
  <si>
    <t>البساتين-مجمع الصدرين</t>
  </si>
  <si>
    <t>البساتين-346</t>
  </si>
  <si>
    <t>البساتين-348</t>
  </si>
  <si>
    <t>الحسينية-225</t>
  </si>
  <si>
    <t>المغرب-302</t>
  </si>
  <si>
    <t>المغرب-304</t>
  </si>
  <si>
    <t>القاهرة-307</t>
  </si>
  <si>
    <t>القاهرة-309</t>
  </si>
  <si>
    <t>القاهرة-311</t>
  </si>
  <si>
    <t>القاهرة-313</t>
  </si>
  <si>
    <t>القاهرة-322</t>
  </si>
  <si>
    <t>الشعب-333</t>
  </si>
  <si>
    <t>الشعب-339</t>
  </si>
  <si>
    <t>الشماسية-318</t>
  </si>
  <si>
    <t>الوزيرية-301</t>
  </si>
  <si>
    <t>الوزيرية-305</t>
  </si>
  <si>
    <t>البيضاء-315</t>
  </si>
  <si>
    <t>البيضاء-319</t>
  </si>
  <si>
    <t>Bob Al Sham- 361</t>
  </si>
  <si>
    <t>Bob Al Sham- 363</t>
  </si>
  <si>
    <t>Bob Al Sham- 365</t>
  </si>
  <si>
    <t>Bob Al Sham- 367</t>
  </si>
  <si>
    <t>Bob Al Sham- 388</t>
  </si>
  <si>
    <t>حي اور-329</t>
  </si>
  <si>
    <t>تونس-326</t>
  </si>
  <si>
    <t>تونس-328</t>
  </si>
  <si>
    <t>تونس-330</t>
  </si>
  <si>
    <t>الامين-739</t>
  </si>
  <si>
    <t>الامين-743</t>
  </si>
  <si>
    <t>الامين-741</t>
  </si>
  <si>
    <t>البلديات-728</t>
  </si>
  <si>
    <t>البلديات-730</t>
  </si>
  <si>
    <t>البلديات-732</t>
  </si>
  <si>
    <t>البلديات-734</t>
  </si>
  <si>
    <t>البلديات-738</t>
  </si>
  <si>
    <t>البلديات-744</t>
  </si>
  <si>
    <t>البلديات-746</t>
  </si>
  <si>
    <t>الكيلاني-123</t>
  </si>
  <si>
    <t>بغداد الجديدة-711</t>
  </si>
  <si>
    <t>بغداد الجديدة-713</t>
  </si>
  <si>
    <t>بغداد الجديدة-717</t>
  </si>
  <si>
    <t>بغداد الجديدة-719</t>
  </si>
  <si>
    <t>بغداد الجديدة-723</t>
  </si>
  <si>
    <t>بغداد الجديدة-725</t>
  </si>
  <si>
    <t>بغداد الجديدة-727</t>
  </si>
  <si>
    <t>الكمالية-757</t>
  </si>
  <si>
    <t>الكمالية-765</t>
  </si>
  <si>
    <t>الكمالية-759</t>
  </si>
  <si>
    <t>الكمالية-767</t>
  </si>
  <si>
    <t>الكرادة-901</t>
  </si>
  <si>
    <t>الكرادة-903</t>
  </si>
  <si>
    <t>الكرادة-905</t>
  </si>
  <si>
    <t>المعامل-772</t>
  </si>
  <si>
    <t>المعامل-773</t>
  </si>
  <si>
    <t>المعامل-774</t>
  </si>
  <si>
    <t>المشتل-729</t>
  </si>
  <si>
    <t>المشتل-731</t>
  </si>
  <si>
    <t>المشتل-733</t>
  </si>
  <si>
    <t>المشتل-735</t>
  </si>
  <si>
    <t>المثنى-712</t>
  </si>
  <si>
    <t>المثنى-714</t>
  </si>
  <si>
    <t>المثنى-716</t>
  </si>
  <si>
    <t>المثنى-718</t>
  </si>
  <si>
    <t>الرياض-910</t>
  </si>
  <si>
    <t>السندباد-979</t>
  </si>
  <si>
    <t>السندباد-977</t>
  </si>
  <si>
    <t>السندباد-949</t>
  </si>
  <si>
    <t>العبيدي-752</t>
  </si>
  <si>
    <t>العبيدي-758</t>
  </si>
  <si>
    <t>العبيدي-760</t>
  </si>
  <si>
    <t>العبيدي-766</t>
  </si>
  <si>
    <t>العبيدي-762</t>
  </si>
  <si>
    <t>الوحدة-902</t>
  </si>
  <si>
    <t>الوحدة-904</t>
  </si>
  <si>
    <t>الزعفرانية-955</t>
  </si>
  <si>
    <t>الزعفرانية-959</t>
  </si>
  <si>
    <t>الزعفرانية-961</t>
  </si>
  <si>
    <t>الزعفرانية-965</t>
  </si>
  <si>
    <t>الزعفرانية-969</t>
  </si>
  <si>
    <t>الزعفرانية-957</t>
  </si>
  <si>
    <t>الامين-737</t>
  </si>
  <si>
    <t>الامين-745</t>
  </si>
  <si>
    <t>بغداد الجديدة-701</t>
  </si>
  <si>
    <t>بغداد الجديدة-721</t>
  </si>
  <si>
    <t>حي ديالى-930</t>
  </si>
  <si>
    <t>حي ديالى-962</t>
  </si>
  <si>
    <t>حي ديالى-964</t>
  </si>
  <si>
    <t>حي ديالى-966</t>
  </si>
  <si>
    <t>حي ديالى-950</t>
  </si>
  <si>
    <t>حي ديالى-954</t>
  </si>
  <si>
    <t>حي ديالى-952</t>
  </si>
  <si>
    <t>حي ديالى-958</t>
  </si>
  <si>
    <t>المعامل-771</t>
  </si>
  <si>
    <t>المعامل-779</t>
  </si>
  <si>
    <t>المعامل-781</t>
  </si>
  <si>
    <t>المعامل-799</t>
  </si>
  <si>
    <t>الأحنف-اركية وفاضل</t>
  </si>
  <si>
    <t>الاحنف-الصابيات</t>
  </si>
  <si>
    <t>الاحنف-السلاميات</t>
  </si>
  <si>
    <t>الحرية-430</t>
  </si>
  <si>
    <t>الحرية-416</t>
  </si>
  <si>
    <t>الحرية-418</t>
  </si>
  <si>
    <t>الحرية-420</t>
  </si>
  <si>
    <t>الحرية-424</t>
  </si>
  <si>
    <t>الحرية-426</t>
  </si>
  <si>
    <t>الحرية-428</t>
  </si>
  <si>
    <t>الحرية-432</t>
  </si>
  <si>
    <t>الحرية-436</t>
  </si>
  <si>
    <t>السلام-404</t>
  </si>
  <si>
    <t>السلام-406</t>
  </si>
  <si>
    <t>السلام-410</t>
  </si>
  <si>
    <t>جكوك-440</t>
  </si>
  <si>
    <t>جكوك-442</t>
  </si>
  <si>
    <t>شمال الكاظمية-447</t>
  </si>
  <si>
    <t>سبع البور (مقاطعة البصام)</t>
  </si>
  <si>
    <t>سبع البور-11000</t>
  </si>
  <si>
    <t>سبع البور-3000</t>
  </si>
  <si>
    <t>سبع البور-7000</t>
  </si>
  <si>
    <t>سبع البور-9000</t>
  </si>
  <si>
    <t>سبع البور-14000</t>
  </si>
  <si>
    <t>سبع البور-16000</t>
  </si>
  <si>
    <t>سبع البور-2000</t>
  </si>
  <si>
    <t>سبع البور-5000</t>
  </si>
  <si>
    <t>سبع البور-6000</t>
  </si>
  <si>
    <t>سبع البور-8000</t>
  </si>
  <si>
    <t>سبع البور-حميد الفرج</t>
  </si>
  <si>
    <t>سبع البور-ساكت العلي</t>
  </si>
  <si>
    <t>السلام-408</t>
  </si>
  <si>
    <t>الشعلة-446</t>
  </si>
  <si>
    <t>الشعلة-448</t>
  </si>
  <si>
    <t>مخيم الدورة ( الامل المنشود )</t>
  </si>
  <si>
    <t>الاندلس-611</t>
  </si>
  <si>
    <t>الاندلس-617</t>
  </si>
  <si>
    <t>الفرات - شاخة 6</t>
  </si>
  <si>
    <t>الغزاليه-649</t>
  </si>
  <si>
    <t>الغزاليه-653</t>
  </si>
  <si>
    <t>الغزالية-681</t>
  </si>
  <si>
    <t>مجمع (شيخ الجنابي ) الغزالية</t>
  </si>
  <si>
    <t>الغزالية-685</t>
  </si>
  <si>
    <t>الأعلام-829</t>
  </si>
  <si>
    <t>الاندلس-613</t>
  </si>
  <si>
    <t>الاسكان-822 (المصافي )</t>
  </si>
  <si>
    <t>Al Jameaa Camp</t>
  </si>
  <si>
    <t>الجامعة-627</t>
  </si>
  <si>
    <t>الجمهورية 838 ( المصافي )</t>
  </si>
  <si>
    <t>الكندي-211</t>
  </si>
  <si>
    <t>الكندي-213</t>
  </si>
  <si>
    <t>الكرخ-216</t>
  </si>
  <si>
    <t>المعالف - 837</t>
  </si>
  <si>
    <t>الميكانيك-830( الحضر )</t>
  </si>
  <si>
    <t>الميكانيك-832(الحضر )</t>
  </si>
  <si>
    <t>الميكانيك-834( الحضر)</t>
  </si>
  <si>
    <t>المتنبي-605</t>
  </si>
  <si>
    <t>المتنبي-615</t>
  </si>
  <si>
    <t>القادسية-602</t>
  </si>
  <si>
    <t>القادسية-604</t>
  </si>
  <si>
    <t>القادسية-606</t>
  </si>
  <si>
    <t>الصالحية-222</t>
  </si>
  <si>
    <t>Al salam-al takia al kasnazania</t>
  </si>
  <si>
    <t>السيدية-مجمع الكسنزانية</t>
  </si>
  <si>
    <t>السيدية-821</t>
  </si>
  <si>
    <t>السيدية-825</t>
  </si>
  <si>
    <t>الشباب-835</t>
  </si>
  <si>
    <t>الشباب-839</t>
  </si>
  <si>
    <t>الشرطة-869</t>
  </si>
  <si>
    <t>الشرطة-875</t>
  </si>
  <si>
    <t>الشرطة-867</t>
  </si>
  <si>
    <t>الطعمة-826 (المصافي )</t>
  </si>
  <si>
    <t>الوادي-824 ( المصافي )</t>
  </si>
  <si>
    <t>اليرموك-614</t>
  </si>
  <si>
    <t>اليرموك-608</t>
  </si>
  <si>
    <t>اليرموك-612</t>
  </si>
  <si>
    <t>اليرموك-616</t>
  </si>
  <si>
    <t>الاسكان-623</t>
  </si>
  <si>
    <t>الاسكان-625</t>
  </si>
  <si>
    <t>حي المنصور-601</t>
  </si>
  <si>
    <t>حي المنصور-609</t>
  </si>
  <si>
    <t>الشرطة-857</t>
  </si>
  <si>
    <t>العامرية-632</t>
  </si>
  <si>
    <t>العامرية-634</t>
  </si>
  <si>
    <t>العامرية-636</t>
  </si>
  <si>
    <t>العامرية-638</t>
  </si>
  <si>
    <t>العامرية-628</t>
  </si>
  <si>
    <t>العامرية-630</t>
  </si>
  <si>
    <t>اسيا-836 (الحضر)</t>
  </si>
  <si>
    <t>Gazaliya Camp</t>
  </si>
  <si>
    <t>حطين -620</t>
  </si>
  <si>
    <t>حي العدل-647</t>
  </si>
  <si>
    <t>حي العدل-657</t>
  </si>
  <si>
    <t>حي العامل-801</t>
  </si>
  <si>
    <t>حي الجمعية-842 (المصافي )</t>
  </si>
  <si>
    <t>حي الجهاد-879</t>
  </si>
  <si>
    <t>حي الجهاد -881</t>
  </si>
  <si>
    <t>حي الجهاد -887</t>
  </si>
  <si>
    <t>حي الجهاد-891</t>
  </si>
  <si>
    <t>الشرطة-865</t>
  </si>
  <si>
    <t>الكرخ-212</t>
  </si>
  <si>
    <t>الشرطة-873</t>
  </si>
  <si>
    <t>المواصلات-863</t>
  </si>
  <si>
    <t>شيخ معروف-204</t>
  </si>
  <si>
    <t>شيخ معروف-206</t>
  </si>
  <si>
    <t>شيخ معروف-208</t>
  </si>
  <si>
    <t>شيخ معروف-214</t>
  </si>
  <si>
    <t>شرطة المصافي 840 ( المصافي )</t>
  </si>
  <si>
    <t>مخيم عويريج</t>
  </si>
  <si>
    <t>قرية الشيخ خزعل-8</t>
  </si>
  <si>
    <t>الوحده-القرية 10</t>
  </si>
  <si>
    <t>قرية هاتف الدفاعي</t>
  </si>
  <si>
    <t>خيم احمد النبت</t>
  </si>
  <si>
    <t>اللطيفية-حي القادسية</t>
  </si>
  <si>
    <t>اللطيفية-السلام</t>
  </si>
  <si>
    <t>القصر والوسط-حي الجمعية</t>
  </si>
  <si>
    <t>Al Wahda Camp</t>
  </si>
  <si>
    <t>مخيم الوحدة</t>
  </si>
  <si>
    <t>Al Yusifiya camp</t>
  </si>
  <si>
    <t>مخيم اليوسفية</t>
  </si>
  <si>
    <t>حي ابو شمع</t>
  </si>
  <si>
    <t>Hay Al Shuhada (Al kragolyia)</t>
  </si>
  <si>
    <t>حي الشهداء (الكرغولية )</t>
  </si>
  <si>
    <t>حي الفاروق-1</t>
  </si>
  <si>
    <t>حي الفاروق-2</t>
  </si>
  <si>
    <t>العبايجي-1</t>
  </si>
  <si>
    <t>العبايجي-10</t>
  </si>
  <si>
    <t>حي القادسية-1</t>
  </si>
  <si>
    <t>حي القادسية-2</t>
  </si>
  <si>
    <t>قرية نديم-1</t>
  </si>
  <si>
    <t>قرية نديم-2</t>
  </si>
  <si>
    <t>الصدر-527</t>
  </si>
  <si>
    <t>الصدر-567</t>
  </si>
  <si>
    <t>الصدر 2-512</t>
  </si>
  <si>
    <t>الصدر-513</t>
  </si>
  <si>
    <t>الصدر 2-511</t>
  </si>
  <si>
    <t>الصدر-517</t>
  </si>
  <si>
    <t>الصدر-518</t>
  </si>
  <si>
    <t>الصدر-570</t>
  </si>
  <si>
    <t>الصدر-528</t>
  </si>
  <si>
    <t>الصدر-535</t>
  </si>
  <si>
    <t>الصدر-537</t>
  </si>
  <si>
    <t>الصدر-547</t>
  </si>
  <si>
    <t>الصدر-520</t>
  </si>
  <si>
    <t>الصدر-522</t>
  </si>
  <si>
    <t>الصدر-530</t>
  </si>
  <si>
    <t>الصدر-532</t>
  </si>
  <si>
    <t>الصدر-573</t>
  </si>
  <si>
    <t>الصدر-575</t>
  </si>
  <si>
    <t>الصدر-538</t>
  </si>
  <si>
    <t>الصدر-542</t>
  </si>
  <si>
    <t>الصدر-544</t>
  </si>
  <si>
    <t>البصرة-ابو الخصيب -ابو الجوزي</t>
  </si>
  <si>
    <t>البصرة-ابو الخصيب -الجُديدا</t>
  </si>
  <si>
    <t>ابو الخصيب-بلد سلطان</t>
  </si>
  <si>
    <t>البصرة-ابو الخصيب -دور الاسمدة</t>
  </si>
  <si>
    <t>ابو الخصيب-كوت الصلحي</t>
  </si>
  <si>
    <t>البصرة-ابو الخصيب-يوسفان</t>
  </si>
  <si>
    <t>مدينة-العلوان</t>
  </si>
  <si>
    <t>الدير- الشرامخة</t>
  </si>
  <si>
    <t>الدير- حي العامل</t>
  </si>
  <si>
    <t>القرنة-الشرش-الحمداوي</t>
  </si>
  <si>
    <t>الشرش-شلهة الحسن</t>
  </si>
  <si>
    <t>الدير-الجراح</t>
  </si>
  <si>
    <t>البصرة-القرنة -حي جمعة</t>
  </si>
  <si>
    <t>الزبير-الدواجن</t>
  </si>
  <si>
    <t>البصرة-الزبير-الدرهمية 1</t>
  </si>
  <si>
    <t>الزبير-البيترو</t>
  </si>
  <si>
    <t>البصرة-الزبير-الرميلة الشمالية</t>
  </si>
  <si>
    <t>البصرة -الزبير-دور الجاهزة</t>
  </si>
  <si>
    <t>الزبير- الكوت</t>
  </si>
  <si>
    <t>البصرة -الزبير-حي الاثار</t>
  </si>
  <si>
    <t>البصرة-الزبير-الدرهمية 3</t>
  </si>
  <si>
    <t>خور الزبير-الباقر الثانية</t>
  </si>
  <si>
    <t>خور الزبير-الباقر الاولى</t>
  </si>
  <si>
    <t>البصرة -الزبير-خور الزبير -حي الحسن</t>
  </si>
  <si>
    <t>البصرة -الزبير-محلة العرب</t>
  </si>
  <si>
    <t>سفوان-حي الزهراء</t>
  </si>
  <si>
    <t>ام قصير-الهندية الجنوبية</t>
  </si>
  <si>
    <t>دور الموانئ 1-أم قصير-شارع 10</t>
  </si>
  <si>
    <t>دور الموانئ 1-أم قصير-شارع 11</t>
  </si>
  <si>
    <t>دور الموانئ 1-أم قصير-شارع 6</t>
  </si>
  <si>
    <t>ام قصير-دور الموانئ 2</t>
  </si>
  <si>
    <t>ام قصير-حي القاعدة</t>
  </si>
  <si>
    <t>الهارثة-ابو حلوه</t>
  </si>
  <si>
    <t>البصرة-المعقل -الابله</t>
  </si>
  <si>
    <t>الهارثة-حي الانتصار</t>
  </si>
  <si>
    <t>الهارثة-الطليعة</t>
  </si>
  <si>
    <t>الهارثة-حي الرسالة</t>
  </si>
  <si>
    <t>الجزائر-الفرسي</t>
  </si>
  <si>
    <t>البصرة-الجمهورية</t>
  </si>
  <si>
    <t>القائم 1</t>
  </si>
  <si>
    <t>البصرة -الجمعيات -حي الخليج 1</t>
  </si>
  <si>
    <t>البصرة -الجمعيات -حي الخليج 2</t>
  </si>
  <si>
    <t>البصرة-المعقل-الكندي</t>
  </si>
  <si>
    <t>Al Qabla- Hay Al Baladiyat</t>
  </si>
  <si>
    <t>القبلة-الشهيد الصدر</t>
  </si>
  <si>
    <t>الكزيزه-حي السلام</t>
  </si>
  <si>
    <t>البصرة-التميمية</t>
  </si>
  <si>
    <t>البصرة-كرمة علي-الطوبة والنخيله</t>
  </si>
  <si>
    <t>البصرة-البراضعية</t>
  </si>
  <si>
    <t>البصرة -القبلة-حي الحكيم</t>
  </si>
  <si>
    <t>البصرة-الحكيمية</t>
  </si>
  <si>
    <t>البصرة-المشراق-المشراق الجديد</t>
  </si>
  <si>
    <t>البصرة-الرباط الكبير</t>
  </si>
  <si>
    <t>البصرة القديمة-الصفاة</t>
  </si>
  <si>
    <t>البصرة-التحسينية -التحسينية الجديده</t>
  </si>
  <si>
    <t>البصرة القديمة-السعدونية</t>
  </si>
  <si>
    <t>البصرة-دور النفط</t>
  </si>
  <si>
    <t>الحيانية-حي الحسين 1</t>
  </si>
  <si>
    <t>الحيانية-حي الحسين 2</t>
  </si>
  <si>
    <t>البصرة-حي الكفاءات</t>
  </si>
  <si>
    <t>البصرة-الجمعيات-حي الخليج 3</t>
  </si>
  <si>
    <t>البصرة-حي المهندسين</t>
  </si>
  <si>
    <t>البصرة القديمة-حي المعلمين</t>
  </si>
  <si>
    <t>البصرة-حي الزهراء</t>
  </si>
  <si>
    <t>البصرة-حي الحسينية</t>
  </si>
  <si>
    <t>البصرة-القبلة -حي الجامعة</t>
  </si>
  <si>
    <t>البصرة-القبلة -حي الرشيد</t>
  </si>
  <si>
    <t>البصرة-حي الرسالة</t>
  </si>
  <si>
    <t>القبلة -حي الشهداء</t>
  </si>
  <si>
    <t>البصرة-العشار-حي الزهور</t>
  </si>
  <si>
    <t>البصرة-المعقل -حي طارق</t>
  </si>
  <si>
    <t>الهارثة-حمرينان</t>
  </si>
  <si>
    <t>البصرة-منطقة ابن غزوان (العالية )</t>
  </si>
  <si>
    <t>كرمة علي (الكرمة مركز)</t>
  </si>
  <si>
    <t>كرمة علي-حي الصدرين</t>
  </si>
  <si>
    <t>البصرة-كوت الحجاج</t>
  </si>
  <si>
    <t>البصرة-كوت الحجاج الجديد</t>
  </si>
  <si>
    <t>البصرة -القبلة-موسى الكاظم</t>
  </si>
  <si>
    <t>البصرة-نظران</t>
  </si>
  <si>
    <t>صبخة العرب</t>
  </si>
  <si>
    <t>البصرة-شقق الفاو</t>
  </si>
  <si>
    <t>البصرة-منطقة ام النعاج</t>
  </si>
  <si>
    <t>النشوة-مركز النشوة</t>
  </si>
  <si>
    <t>النشوة-مياح الضواعن</t>
  </si>
  <si>
    <t>شط العرب التنومه-الساحل</t>
  </si>
  <si>
    <t>شط العرب-بيت زعير</t>
  </si>
  <si>
    <t>البصرة-شط العرب-حي الجامعة</t>
  </si>
  <si>
    <t>البصرة-شط العرب-شارع 13</t>
  </si>
  <si>
    <t>شط العرب التنومه-شارع 36</t>
  </si>
  <si>
    <t>شط العرب التنومه-شارع 40</t>
  </si>
  <si>
    <t>شط العرب التنومه-شارع 32</t>
  </si>
  <si>
    <t>اسيرو</t>
  </si>
  <si>
    <t>مخيم روانكه</t>
  </si>
  <si>
    <t>شاريا</t>
  </si>
  <si>
    <t>مخيم بيرسفي1</t>
  </si>
  <si>
    <t>مخيم بيرسفي2</t>
  </si>
  <si>
    <t>مخيم جمشكو</t>
  </si>
  <si>
    <t>ناحية السلام-مركز الناحية</t>
  </si>
  <si>
    <t>دلي عباس-حي الضباط</t>
  </si>
  <si>
    <t>هبهب-حي الرسالة</t>
  </si>
  <si>
    <t>مركز ناحية العبارة</t>
  </si>
  <si>
    <t>الكاطون-حي اليرموك</t>
  </si>
  <si>
    <t>بني سعد-حي السلام</t>
  </si>
  <si>
    <t>بني سعد-حي علي الهادي</t>
  </si>
  <si>
    <t>بني سعد-حي زهراء</t>
  </si>
  <si>
    <t>بهرز-حي برغة</t>
  </si>
  <si>
    <t>قرية بني اركاب</t>
  </si>
  <si>
    <t>قرية حبيب عبد الله</t>
  </si>
  <si>
    <t>قرية ميخاس(ملا رحمن)</t>
  </si>
  <si>
    <t>قرية قرامين</t>
  </si>
  <si>
    <t>القلعه (حي خانقا )</t>
  </si>
  <si>
    <t>القلعه( حي تعجيل)</t>
  </si>
  <si>
    <t>اشتي(147)</t>
  </si>
  <si>
    <t>كمب بحركه</t>
  </si>
  <si>
    <t>مركز بحركة</t>
  </si>
  <si>
    <t>جوارجرا-بنصلاوة</t>
  </si>
  <si>
    <t>قوشتبة</t>
  </si>
  <si>
    <t>هرشم (كمب البحوث الزراعية)</t>
  </si>
  <si>
    <t>نوروز-بنصلاوة</t>
  </si>
  <si>
    <t>قصر رستم -مارايليا</t>
  </si>
  <si>
    <t>بازار كويه ( بفري قنديل )</t>
  </si>
  <si>
    <t>ديبكه (كمب شهداء الامارات)</t>
  </si>
  <si>
    <t>كمب ديبكه 2</t>
  </si>
  <si>
    <t>سرميدان 1(اشتي)</t>
  </si>
  <si>
    <t>سرميدان 2(ازادي)</t>
  </si>
  <si>
    <t>سر ميدان 3(اشتي)</t>
  </si>
  <si>
    <t>مركز(خليفان)</t>
  </si>
  <si>
    <t>مركز راوندوز</t>
  </si>
  <si>
    <t>البو هوى-102</t>
  </si>
  <si>
    <t>قرية الجبور</t>
  </si>
  <si>
    <t>ابو حسين (هور حسين)</t>
  </si>
  <si>
    <t>العسكري-مجمع الحيدري</t>
  </si>
  <si>
    <t>الجمالية-الحصوه</t>
  </si>
  <si>
    <t>الوند المستجد</t>
  </si>
  <si>
    <t>Hor Al Imam Noh</t>
  </si>
  <si>
    <t>هور الامام نوح</t>
  </si>
  <si>
    <t>حي الفيلق-5</t>
  </si>
  <si>
    <t>حي الجامعة-622</t>
  </si>
  <si>
    <t>حي يايجي-101</t>
  </si>
  <si>
    <t>ناحية المشرح-قرية الملفود</t>
  </si>
  <si>
    <t>ناحية المشرح-قرية صدر الكريمه</t>
  </si>
  <si>
    <t>ناحية السلام-التركيه</t>
  </si>
  <si>
    <t>ناحية السلام-حي المركز</t>
  </si>
  <si>
    <t>ناحية سيد احمد الرفاعي-قرية ام عبيده</t>
  </si>
  <si>
    <t>ناحية العدل-حي الحسين</t>
  </si>
  <si>
    <t>ناحية علي الشرقي-حي الحريه</t>
  </si>
  <si>
    <t>ناحية علي الشرقي-حي السلام</t>
  </si>
  <si>
    <t>ناحية علي الشرقي-حي المعلمين</t>
  </si>
  <si>
    <t>ناحية علي الشرقي-حي القدس</t>
  </si>
  <si>
    <t>ناحية كميت-قرية البو علي</t>
  </si>
  <si>
    <t>ناحية كميت-حي الحسين</t>
  </si>
  <si>
    <t>ناحية كميت-حي النور</t>
  </si>
  <si>
    <t>ناحية كميت-حي الشهداء</t>
  </si>
  <si>
    <t>ناحية كميت-حي الزهراء</t>
  </si>
  <si>
    <t>ناحية كميت-حي دجله</t>
  </si>
  <si>
    <t>حي الزهراء-قلعة صالح</t>
  </si>
  <si>
    <t>حي الزهراء-الوركاء</t>
  </si>
  <si>
    <t>العباسية-الوهابي</t>
  </si>
  <si>
    <t>العباسية-العدل</t>
  </si>
  <si>
    <t>العباسية-الزيدي</t>
  </si>
  <si>
    <t>العباسية-حي المنتظر</t>
  </si>
  <si>
    <t>طريق عباسية-معمل</t>
  </si>
  <si>
    <t>حي المعلمين-محلة 208</t>
  </si>
  <si>
    <t>حي عسكري-متنبي</t>
  </si>
  <si>
    <t>القدس 22</t>
  </si>
  <si>
    <t>حي الزهراء-الحيدرية</t>
  </si>
  <si>
    <t>المامون</t>
  </si>
  <si>
    <t>التاميم</t>
  </si>
  <si>
    <t>خانصور</t>
  </si>
  <si>
    <t>قرية العطاوة</t>
  </si>
  <si>
    <t>قرية الدرعية</t>
  </si>
  <si>
    <t>الصبخاية</t>
  </si>
  <si>
    <t>حي العسكري2</t>
  </si>
  <si>
    <t>قرية العيبي</t>
  </si>
  <si>
    <t>منطقة العكبة</t>
  </si>
  <si>
    <t>قرية العين</t>
  </si>
  <si>
    <t>حي الطبكة</t>
  </si>
  <si>
    <t>قرية الحمران</t>
  </si>
  <si>
    <t>قرية البو حسن</t>
  </si>
  <si>
    <t>حي الجامعة-الحولي</t>
  </si>
  <si>
    <t>قرية ام طباشي</t>
  </si>
  <si>
    <t>Jireesh village</t>
  </si>
  <si>
    <t>IQ-P23287</t>
  </si>
  <si>
    <t>حي القاطول-البو نيسان</t>
  </si>
  <si>
    <t>حي المعلمين-109</t>
  </si>
  <si>
    <t>محلة 105</t>
  </si>
  <si>
    <t>حي المثنى-محلة 312</t>
  </si>
  <si>
    <t>حي الرشيد م(22-جبيرية) محلة 326</t>
  </si>
  <si>
    <t>حي المطاردة(قادسية2) مقاطعة 7 محله 218 – قطعه 500</t>
  </si>
  <si>
    <t>قرية الحويجة-العبادي</t>
  </si>
  <si>
    <t>حي الاربعين-محله 414</t>
  </si>
  <si>
    <t>حي العصري-مقاطعة7-المطاردة محلة 404</t>
  </si>
  <si>
    <t>حي الجمعية-محله 418</t>
  </si>
  <si>
    <t>حي القلعة (6-تكريت) محلة 405</t>
  </si>
  <si>
    <t>حي سلمى التغلبيه-محله 401</t>
  </si>
  <si>
    <t>حي المطاردة(قادسية1) مقاطعة 7-محله 214</t>
  </si>
  <si>
    <t>حي المطاردة(قادسية2) مقاطعة 7-محله 216</t>
  </si>
  <si>
    <t>Sadayrat Abo Ajeel</t>
  </si>
  <si>
    <t>صديرة ابو عجيل</t>
  </si>
  <si>
    <t>IQ-P23792</t>
  </si>
  <si>
    <t>Samrah Village</t>
  </si>
  <si>
    <t>IQ-P23793</t>
  </si>
  <si>
    <t>محلة 122</t>
  </si>
  <si>
    <t>Nawjool area</t>
  </si>
  <si>
    <t>منطقة نوجول</t>
  </si>
  <si>
    <t>IQ-P23892</t>
  </si>
  <si>
    <t>تكية-اشتى</t>
  </si>
  <si>
    <t>تكية-ازادى</t>
  </si>
  <si>
    <t>تكية-رزكاري</t>
  </si>
  <si>
    <t>تكية-شاروانى</t>
  </si>
  <si>
    <t>خانقا-قلادزي</t>
  </si>
  <si>
    <t>عربت كمب للنازحين</t>
  </si>
  <si>
    <t>اشتي كمب للنازحين</t>
  </si>
  <si>
    <t>اشتي-بازيان</t>
  </si>
  <si>
    <t>ازادي-بازيان</t>
  </si>
  <si>
    <t>بكرجو-سرداراوا</t>
  </si>
  <si>
    <t>رابرين-باوه مرده</t>
  </si>
  <si>
    <t>AL Hmar</t>
  </si>
  <si>
    <t>الحمار</t>
  </si>
  <si>
    <t>IQ-P10291</t>
  </si>
  <si>
    <t>النصر</t>
  </si>
  <si>
    <t>المحليه</t>
  </si>
  <si>
    <t>الشعلة</t>
  </si>
  <si>
    <t>سيد دخيل-قرية البجاري</t>
  </si>
  <si>
    <t>سيد دخيل-حي العسكري</t>
  </si>
  <si>
    <t>ناحية البشائر-القدس الأولى</t>
  </si>
  <si>
    <t>ناحية البشائر-القدس الثانيه</t>
  </si>
  <si>
    <t>حي سعيد الثانية</t>
  </si>
  <si>
    <t>حي الوحدة-محلة العرب</t>
  </si>
  <si>
    <t>حي العسكري-5 دونم</t>
  </si>
  <si>
    <t>انوار الصدر-الغدير</t>
  </si>
  <si>
    <t>العبيدي - مرحلة أولى</t>
  </si>
  <si>
    <t>العبيدي - مرحلة ثالثة</t>
  </si>
  <si>
    <t>Al-Amirya - Al Abar</t>
  </si>
  <si>
    <t>Al-Amirya - Al Betra</t>
  </si>
  <si>
    <t>Al-Amirya - Al Hmedin</t>
  </si>
  <si>
    <t>Al-Amirya - Al Mouilha</t>
  </si>
  <si>
    <t>Al-Amirya - Albu Hamdan</t>
  </si>
  <si>
    <t>Al-Amirya - Albu Jaber</t>
  </si>
  <si>
    <t>Al-Amirya - Albu Jasim</t>
  </si>
  <si>
    <t>Al-Amirya - Albu Jwad</t>
  </si>
  <si>
    <t>Al-Amirya - Albu Mrir</t>
  </si>
  <si>
    <t>Al-Amirya - Albu Saleh</t>
  </si>
  <si>
    <t>Al-Amirya - Albu Salman</t>
  </si>
  <si>
    <t>Al-Amirya - Tal Ghatas</t>
  </si>
  <si>
    <t>Albu Dhaher - Albu Dhaher</t>
  </si>
  <si>
    <t>البوجاسم - الكرمة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</si>
  <si>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</si>
  <si>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</si>
  <si>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</si>
  <si>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</si>
  <si>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</si>
  <si>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</si>
  <si>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Karma - Al Somod</t>
  </si>
  <si>
    <t>Barwanah - Hay Al-Shurta</t>
  </si>
  <si>
    <t>حي الشرطة - بروانه</t>
  </si>
  <si>
    <t>Haqlaniyah - Al shuhadaa</t>
  </si>
  <si>
    <t>حي الشهداء - الحقلانية</t>
  </si>
  <si>
    <t>حي الفاروق - حقلانية</t>
  </si>
  <si>
    <t>Heet - Maskhan</t>
  </si>
  <si>
    <t>7 Killo - Al Barkhrabit complex</t>
  </si>
  <si>
    <t>السبعة كيلو - مجمع البخربيط</t>
  </si>
  <si>
    <t>7 Killo - Al Karfanat</t>
  </si>
  <si>
    <t>السبعة كيلو - الكرفانات</t>
  </si>
  <si>
    <t>7 Killo - Al Sat</t>
  </si>
  <si>
    <t>السبعة كيلو - السات</t>
  </si>
  <si>
    <t>السبعة كيلو - المجمع السكني</t>
  </si>
  <si>
    <t>Al-Khalidiya Central</t>
  </si>
  <si>
    <t>مخيم الخالدية المركزي</t>
  </si>
  <si>
    <t>Qadisiya - 1</t>
  </si>
  <si>
    <t>Al Qasabah Al Kadimah -Al-Iskandaria-</t>
  </si>
  <si>
    <t>الفضيلية - 753</t>
  </si>
  <si>
    <t>-Dora Center (Dora-Asia camp)-</t>
  </si>
  <si>
    <t>الفرات - 893</t>
  </si>
  <si>
    <t>حي العامل - 811</t>
  </si>
  <si>
    <t>حي العامل - 803</t>
  </si>
  <si>
    <t>حي العامل - 807</t>
  </si>
  <si>
    <t>حي العامل - 809</t>
  </si>
  <si>
    <t>حي العامل - 813</t>
  </si>
  <si>
    <t>حي العامل - 815</t>
  </si>
  <si>
    <t>سويب - 871</t>
  </si>
  <si>
    <t>-Check Point 75 (Al-Rasheed-Khaimat Al Iraq) Camp-</t>
  </si>
  <si>
    <t>Latifiya 3 Camp</t>
  </si>
  <si>
    <t>مخيم اللطيفية</t>
  </si>
  <si>
    <t>Hey Al khatoa</t>
  </si>
  <si>
    <t>Baroshka Saadin Village</t>
  </si>
  <si>
    <t>قرية بروشكا سعدين</t>
  </si>
  <si>
    <t>IQ-P09132</t>
  </si>
  <si>
    <t>IQ-P09141</t>
  </si>
  <si>
    <t>IQ-P09168</t>
  </si>
  <si>
    <t>IQ-P09191</t>
  </si>
  <si>
    <t>Gawilan</t>
  </si>
  <si>
    <t>كويلان</t>
  </si>
  <si>
    <t>IQ-P19343</t>
  </si>
  <si>
    <t>Berstik</t>
  </si>
  <si>
    <t>بيرستيك</t>
  </si>
  <si>
    <t>حي الزهراء -المركز-</t>
  </si>
  <si>
    <t>القصبه القديمه -الاسكندرية-</t>
  </si>
  <si>
    <t>Al Andls-613</t>
  </si>
  <si>
    <t>Al Maqil- Al-Farancea</t>
  </si>
  <si>
    <t>المعقل-الفرنسية</t>
  </si>
  <si>
    <t>AlBahhar</t>
  </si>
  <si>
    <t>البحار</t>
  </si>
  <si>
    <t>FAO Aljanubia-Hay Al Zahra</t>
  </si>
  <si>
    <t>FAO AlShamaliya-Hay Al Rasol</t>
  </si>
  <si>
    <t>حوشكي</t>
  </si>
  <si>
    <t>Nawro City</t>
  </si>
  <si>
    <t>نورو ستي</t>
  </si>
  <si>
    <t>راميلان ستي</t>
  </si>
  <si>
    <t>الكاطون - حي الرازي</t>
  </si>
  <si>
    <t>حي دور البستنة -حي السلام-</t>
  </si>
  <si>
    <t>حي التضامن -هاوكاري-</t>
  </si>
  <si>
    <t>حي الانتفاضة -رابرين- (القادسية سابقا)</t>
  </si>
  <si>
    <t>حي الرشيد -دوميز-</t>
  </si>
  <si>
    <t>Hay Al Hassan</t>
  </si>
  <si>
    <t>حي الحسن</t>
  </si>
  <si>
    <t>Al karamah Village</t>
  </si>
  <si>
    <t>قرية الكرامه</t>
  </si>
  <si>
    <t>IQ-P18172</t>
  </si>
  <si>
    <t>Al-Muthlem Village</t>
  </si>
  <si>
    <t>قرية المظلم</t>
  </si>
  <si>
    <t>IQ-P01895</t>
  </si>
  <si>
    <t>IDPs Relief camp</t>
  </si>
  <si>
    <t>مخيم اغاثة النازحين</t>
  </si>
  <si>
    <t>Tel Reem</t>
  </si>
  <si>
    <t>تل الريم</t>
  </si>
  <si>
    <t>IQ-P20877</t>
  </si>
  <si>
    <t>Al-Daur</t>
  </si>
  <si>
    <t>Al Mujammaa Al Sakani</t>
  </si>
  <si>
    <t>IQ-D103</t>
  </si>
  <si>
    <t>Door Al Gharbiya</t>
  </si>
  <si>
    <t>IQ-P23420</t>
  </si>
  <si>
    <t>IQ-P23185</t>
  </si>
  <si>
    <t>Al Hardaniyah Camp</t>
  </si>
  <si>
    <t>مخيم الحردانية</t>
  </si>
  <si>
    <t>Eshaqi Camp</t>
  </si>
  <si>
    <t>مخيم الاسحاقي</t>
  </si>
  <si>
    <t xml:space="preserve">Al Auja village </t>
  </si>
  <si>
    <t>IQ-P23689</t>
  </si>
  <si>
    <t>Al Bzikhah Village</t>
  </si>
  <si>
    <t>IQ-P23680</t>
  </si>
  <si>
    <t>Al-Dibsa Village</t>
  </si>
  <si>
    <t>قرية الدبسة</t>
  </si>
  <si>
    <t>Al-Mutaradah 204</t>
  </si>
  <si>
    <t>IQ-P23709</t>
  </si>
  <si>
    <t>Hay Alfirdous</t>
  </si>
  <si>
    <t>حي الفردوس(البو عبيد)مقاطعة -5 محلة 428</t>
  </si>
  <si>
    <t>Mahalla Al Aed</t>
  </si>
  <si>
    <t>Tal-Al Sibaat Village</t>
  </si>
  <si>
    <t>Uwainat</t>
  </si>
  <si>
    <t>IQ-P23809</t>
  </si>
  <si>
    <t>Al-shuhda?a</t>
  </si>
  <si>
    <t>Hay Al Mamoun</t>
  </si>
  <si>
    <t>Hay Al-jamyah 2</t>
  </si>
  <si>
    <t>Kapisah - Hay Al-Sinay</t>
  </si>
  <si>
    <t>Al Khulafaa</t>
  </si>
  <si>
    <t>Shifia</t>
  </si>
  <si>
    <t>شيفيا</t>
  </si>
  <si>
    <t>IQ-P01399</t>
  </si>
  <si>
    <t>Banasora</t>
  </si>
  <si>
    <t>بانصورا</t>
  </si>
  <si>
    <t>Kovle</t>
  </si>
  <si>
    <t>كوفلي</t>
  </si>
  <si>
    <t>Mjlmakht</t>
  </si>
  <si>
    <t>مجلمخت</t>
  </si>
  <si>
    <t>Al-Qatoon - Al Raazi Qtr</t>
  </si>
  <si>
    <t>كمب ديبكه 4</t>
  </si>
  <si>
    <t>Hay Al-Amen</t>
  </si>
  <si>
    <t>IQ-P18287</t>
  </si>
  <si>
    <t>Big Dogondan</t>
  </si>
  <si>
    <t>دوكندان كبيرة</t>
  </si>
  <si>
    <t>IQ-P19321</t>
  </si>
  <si>
    <t>Kawnapak</t>
  </si>
  <si>
    <t>كوناباك</t>
  </si>
  <si>
    <t>Zanganan</t>
  </si>
  <si>
    <t>زنكنان</t>
  </si>
  <si>
    <t>IQ-P19701</t>
  </si>
  <si>
    <t>Almaman</t>
  </si>
  <si>
    <t>آلممان</t>
  </si>
  <si>
    <t>IQ-P20256</t>
  </si>
  <si>
    <t>Bldisha</t>
  </si>
  <si>
    <t>بلديشا</t>
  </si>
  <si>
    <t>Doshvan</t>
  </si>
  <si>
    <t>دوشفان</t>
  </si>
  <si>
    <t>IQ-P20356</t>
  </si>
  <si>
    <t>Mlkishan</t>
  </si>
  <si>
    <t>ملكيشان</t>
  </si>
  <si>
    <t>IQ-P20457</t>
  </si>
  <si>
    <t>Tlan</t>
  </si>
  <si>
    <t>تلان</t>
  </si>
  <si>
    <t>Abu hajarah</t>
  </si>
  <si>
    <t>ابو حجرة</t>
  </si>
  <si>
    <t>Abu Hajira vilage</t>
  </si>
  <si>
    <t>Tal Hial vilage</t>
  </si>
  <si>
    <t>Tal Talab vilage</t>
  </si>
  <si>
    <t>Derston</t>
  </si>
  <si>
    <t>قرية الزلاية</t>
  </si>
  <si>
    <t>قرية الشهامة</t>
  </si>
  <si>
    <t>Al Hara</t>
  </si>
  <si>
    <t>Al Intesar</t>
  </si>
  <si>
    <t>Hay Al Mattar</t>
  </si>
  <si>
    <t>Hay Gharb Al Wadi</t>
  </si>
  <si>
    <t>Al Falahat village</t>
  </si>
  <si>
    <t>Al Shihabi 1</t>
  </si>
  <si>
    <t>Al Shihabi 2</t>
  </si>
  <si>
    <t>Al ziwiyah village</t>
  </si>
  <si>
    <t>Albu Hadded village</t>
  </si>
  <si>
    <t>Albu Jasim village</t>
  </si>
  <si>
    <t>Alhalabsah village</t>
  </si>
  <si>
    <t>7 Kilo-Mujam Al Sakani</t>
  </si>
  <si>
    <t>Al Qadissiya 2</t>
  </si>
  <si>
    <t>Al Sofiyah</t>
  </si>
  <si>
    <t>Kilo 5</t>
  </si>
  <si>
    <t>Albo Nafea</t>
  </si>
  <si>
    <t>البو نافع</t>
  </si>
  <si>
    <t>Al Hamiyah-Al Mutaqedin 1</t>
  </si>
  <si>
    <t>الحامية-المتقاعدين 1</t>
  </si>
  <si>
    <t>Al Kifil-Barthawil</t>
  </si>
  <si>
    <t>ناحية الكفل-برذويل</t>
  </si>
  <si>
    <t>حي المهندسين-2</t>
  </si>
  <si>
    <t>Al Shams Complex</t>
  </si>
  <si>
    <t>Al Zaitoon</t>
  </si>
  <si>
    <t>Al Zaydan</t>
  </si>
  <si>
    <t>مخيم الامل المنشود</t>
  </si>
  <si>
    <t>Alahel Camp</t>
  </si>
  <si>
    <t>مخيم الاهل</t>
  </si>
  <si>
    <t>Hay Shuhada Markza</t>
  </si>
  <si>
    <t>حي سيناء</t>
  </si>
  <si>
    <t>North Khernabat</t>
  </si>
  <si>
    <t>Adhamia -308</t>
  </si>
  <si>
    <t>Adhamia- 312</t>
  </si>
  <si>
    <t>Al Basaten- 362</t>
  </si>
  <si>
    <t>البساتين- 362</t>
  </si>
  <si>
    <t>Al Biydhaa-315</t>
  </si>
  <si>
    <t>Al Biydhaa-319</t>
  </si>
  <si>
    <t>البيضاء-321</t>
  </si>
  <si>
    <t>البيضاء-323</t>
  </si>
  <si>
    <t>Al Husayniya- 221</t>
  </si>
  <si>
    <t>Al Husayniya- 225</t>
  </si>
  <si>
    <t>Al Hussainiya- 203</t>
  </si>
  <si>
    <t>Al Hussainiya- 204</t>
  </si>
  <si>
    <t>Al Hussainiya- 205</t>
  </si>
  <si>
    <t>Al Hussainiya- 209</t>
  </si>
  <si>
    <t>Al Hussainiya- 211</t>
  </si>
  <si>
    <t>Al Hussainiya- 212</t>
  </si>
  <si>
    <t>Al Hussainiya- 213</t>
  </si>
  <si>
    <t>Al Hussainiya- 215</t>
  </si>
  <si>
    <t>Al Hussainiya- 216</t>
  </si>
  <si>
    <t>Al Hussainiya- 219</t>
  </si>
  <si>
    <t>Al Hussainiya- 227</t>
  </si>
  <si>
    <t>Al Hussainiya-202</t>
  </si>
  <si>
    <t>Al Hussainiya-217</t>
  </si>
  <si>
    <t>Al Hussayniya - 210</t>
  </si>
  <si>
    <t>Al Hussayniya - 222</t>
  </si>
  <si>
    <t>AL Hussayniya- 201</t>
  </si>
  <si>
    <t>Al Hussayniya- 207</t>
  </si>
  <si>
    <t>Al Hussayniya- 214</t>
  </si>
  <si>
    <t>Al Hussayniya- 218</t>
  </si>
  <si>
    <t>Al Hussiniyah-223</t>
  </si>
  <si>
    <t>Al Qahira-324</t>
  </si>
  <si>
    <t>القاهرة-324</t>
  </si>
  <si>
    <t>Al Qudus</t>
  </si>
  <si>
    <t>Al Shaab - 351</t>
  </si>
  <si>
    <t>الشماسية- 316</t>
  </si>
  <si>
    <t>Al Shamasiyah-320</t>
  </si>
  <si>
    <t>الشماسية -320</t>
  </si>
  <si>
    <t>Al Waziriyah-301</t>
  </si>
  <si>
    <t>Al-Rabeaa village</t>
  </si>
  <si>
    <t>قرية الربيع</t>
  </si>
  <si>
    <t>Hay Al Rabee -334</t>
  </si>
  <si>
    <t>حي الربيع-334</t>
  </si>
  <si>
    <t>Hay Al Rabee- 332</t>
  </si>
  <si>
    <t>حي الربيع-332</t>
  </si>
  <si>
    <t>Hay Al Rabee- 336</t>
  </si>
  <si>
    <t>حي الربيع-336</t>
  </si>
  <si>
    <t>Hay Al Rabee- 340</t>
  </si>
  <si>
    <t>حي الربيع -340</t>
  </si>
  <si>
    <t>Hay Al Rabee- 342</t>
  </si>
  <si>
    <t>حي الربيع -342</t>
  </si>
  <si>
    <t>Saba Qusor</t>
  </si>
  <si>
    <t>14 Tamoz- 508</t>
  </si>
  <si>
    <t>508-14 تمو</t>
  </si>
  <si>
    <t>14 Tamoz-510</t>
  </si>
  <si>
    <t>510-14 تموز</t>
  </si>
  <si>
    <t>Abu Nuas-102</t>
  </si>
  <si>
    <t>أبو نؤاس- 102</t>
  </si>
  <si>
    <t>Al Ameen - 739</t>
  </si>
  <si>
    <t>Al Ameen- 737</t>
  </si>
  <si>
    <t>Al Ameen- 741</t>
  </si>
  <si>
    <t>Al Ameen- 743</t>
  </si>
  <si>
    <t>Al Ameen- 745</t>
  </si>
  <si>
    <t>Al Ameen- 747</t>
  </si>
  <si>
    <t>الأطباء- 116</t>
  </si>
  <si>
    <t>الأطباء- 118</t>
  </si>
  <si>
    <t>الاطباء- 120</t>
  </si>
  <si>
    <t>Al Edreesiy-505</t>
  </si>
  <si>
    <t>الأدريسي- 505</t>
  </si>
  <si>
    <t>الادريسي- 507</t>
  </si>
  <si>
    <t>Al Jumhoriyah 111</t>
  </si>
  <si>
    <t>الجمهورية- 111</t>
  </si>
  <si>
    <t>Al Jumhoriyah-109</t>
  </si>
  <si>
    <t>الجمهورية- 109</t>
  </si>
  <si>
    <t>Al Jumhoriyah-113</t>
  </si>
  <si>
    <t>الجمهورية- 113</t>
  </si>
  <si>
    <t>Al Jumhoriyah-115</t>
  </si>
  <si>
    <t>الجمهورية- 115</t>
  </si>
  <si>
    <t>Al Jumhoriyah-117</t>
  </si>
  <si>
    <t>الجمهورية- 117</t>
  </si>
  <si>
    <t>Al Jumhoriyah-119</t>
  </si>
  <si>
    <t>الجمهورية -119</t>
  </si>
  <si>
    <t>Al Kamaliya - 757</t>
  </si>
  <si>
    <t>Al Kamaliya- 759</t>
  </si>
  <si>
    <t>Al Kamaliya- 767</t>
  </si>
  <si>
    <t>Al Maamil- 771</t>
  </si>
  <si>
    <t>Al Maamil- 773</t>
  </si>
  <si>
    <t>Al Maamil- 774</t>
  </si>
  <si>
    <t>Al Maamil- 781</t>
  </si>
  <si>
    <t>Al Maamil- 799</t>
  </si>
  <si>
    <t>Al Maamil-772</t>
  </si>
  <si>
    <t>Al Maamil-779</t>
  </si>
  <si>
    <t>المثنى-710</t>
  </si>
  <si>
    <t>النضال-103</t>
  </si>
  <si>
    <t>الرشيد- 104</t>
  </si>
  <si>
    <t>الرشيد- 108</t>
  </si>
  <si>
    <t>الرشيد- 112</t>
  </si>
  <si>
    <t>الرشيد- 114</t>
  </si>
  <si>
    <t>السعدون - 101</t>
  </si>
  <si>
    <t>Al Shaikh Omer -127</t>
  </si>
  <si>
    <t>الشيخ عمر- 127</t>
  </si>
  <si>
    <t>Al Shaikh Omer -129</t>
  </si>
  <si>
    <t>الشيخ عمر- 129</t>
  </si>
  <si>
    <t>الشيخ عمر- 125</t>
  </si>
  <si>
    <t>الشيخ عمر- 131</t>
  </si>
  <si>
    <t>الشيخ عمر- 137</t>
  </si>
  <si>
    <t>الشيخ عمر- 145</t>
  </si>
  <si>
    <t>Al Ubaidy-752</t>
  </si>
  <si>
    <t>Al Ubaidy-756</t>
  </si>
  <si>
    <t>Al Ubaidy-758</t>
  </si>
  <si>
    <t>Al Ubaidy-762</t>
  </si>
  <si>
    <t>الزعفرانية-951</t>
  </si>
  <si>
    <t>الزعفرانية-953</t>
  </si>
  <si>
    <t>Baghdad Al Jadidia-711</t>
  </si>
  <si>
    <t>Baghdad Al Jadidia-713</t>
  </si>
  <si>
    <t>Baghdad Al Jadidia-717</t>
  </si>
  <si>
    <t>Baghdad Al Jadidia-719</t>
  </si>
  <si>
    <t>Baghdad Al Jadidia-723</t>
  </si>
  <si>
    <t>Baghdad Al Jadidia-725</t>
  </si>
  <si>
    <t>Baghdad Al Jadidia-727</t>
  </si>
  <si>
    <t>Hay Diyala- 950</t>
  </si>
  <si>
    <t>Hay Diyala- 952</t>
  </si>
  <si>
    <t>Hay Diyala- 954</t>
  </si>
  <si>
    <t>Hay Diyala- 958</t>
  </si>
  <si>
    <t>Hay Summer-704</t>
  </si>
  <si>
    <t>حي سومر-704</t>
  </si>
  <si>
    <t>Ahmed Al Hamid village</t>
  </si>
  <si>
    <t>Ajeel Al Sultan village</t>
  </si>
  <si>
    <t>Al Ateefia- 409</t>
  </si>
  <si>
    <t>Al Batta viilage</t>
  </si>
  <si>
    <t>Al Halabsa village</t>
  </si>
  <si>
    <t>Al Huriyah-a 430</t>
  </si>
  <si>
    <t>Al Hurriyah- 416</t>
  </si>
  <si>
    <t>Al Hurriyah- 418</t>
  </si>
  <si>
    <t>Al Hurriyah- 420</t>
  </si>
  <si>
    <t>Al Hurriyah- 426</t>
  </si>
  <si>
    <t>Al Hurriyah- 428</t>
  </si>
  <si>
    <t>Al Hurriyah- 432</t>
  </si>
  <si>
    <t>Al Hurriyah- 436</t>
  </si>
  <si>
    <t>Al Hurriyah-424</t>
  </si>
  <si>
    <t>Al Khwather Village</t>
  </si>
  <si>
    <t>قرية الكوثر</t>
  </si>
  <si>
    <t>Al Rafedain village</t>
  </si>
  <si>
    <t>Al Salam - 412</t>
  </si>
  <si>
    <t>السلام -412</t>
  </si>
  <si>
    <t>Al Suwaed village</t>
  </si>
  <si>
    <t>Albu Aied Village</t>
  </si>
  <si>
    <t>Atiya village</t>
  </si>
  <si>
    <t>Awad Al Hussain village</t>
  </si>
  <si>
    <t>Dheeb Al Dhari village</t>
  </si>
  <si>
    <t>Fahad Al Fadhel village</t>
  </si>
  <si>
    <t>Faisal Abbas village</t>
  </si>
  <si>
    <t>Ibrahim Al Juayfis village</t>
  </si>
  <si>
    <t>Jakook-425</t>
  </si>
  <si>
    <t>جكوك-425</t>
  </si>
  <si>
    <t>Naif Al Hassan viilage</t>
  </si>
  <si>
    <t>Najah Al Suhail village</t>
  </si>
  <si>
    <t>Rezaige Al Badaa village</t>
  </si>
  <si>
    <t>Sabea Al Buor -11000</t>
  </si>
  <si>
    <t>Sabea Al Buor -12000</t>
  </si>
  <si>
    <t>سبع البور -12000</t>
  </si>
  <si>
    <t>Sabea Al Buor -3000</t>
  </si>
  <si>
    <t>Sabea Al Buor -7000</t>
  </si>
  <si>
    <t>Sabea Al Buor -9000</t>
  </si>
  <si>
    <t>سبع البور- 1000</t>
  </si>
  <si>
    <t>Sabea Al Buor-13000</t>
  </si>
  <si>
    <t>سبع البور-13000</t>
  </si>
  <si>
    <t>Um Najem village</t>
  </si>
  <si>
    <t>Al Amerya -632</t>
  </si>
  <si>
    <t>Al Amerya- 634</t>
  </si>
  <si>
    <t>Al Amerya- 636</t>
  </si>
  <si>
    <t>Al Amerya- 638</t>
  </si>
  <si>
    <t>Al Amreya- 628</t>
  </si>
  <si>
    <t>Al Amreya- 630</t>
  </si>
  <si>
    <t>Al Bayaa-817</t>
  </si>
  <si>
    <t>البياع -817</t>
  </si>
  <si>
    <t>Al Ghazaliyah (sheik Al Janabi) collective center</t>
  </si>
  <si>
    <t>Al Iskan (Al Masfi) -822</t>
  </si>
  <si>
    <t>Al Jamhoriyah( Al Masfi )-838</t>
  </si>
  <si>
    <t>Al Jazera -806</t>
  </si>
  <si>
    <t>الجزيرة -806</t>
  </si>
  <si>
    <t>Al Jazera -808</t>
  </si>
  <si>
    <t>الجزيرة-808</t>
  </si>
  <si>
    <t>الجزيرة -812</t>
  </si>
  <si>
    <t>الجزيرة -814</t>
  </si>
  <si>
    <t>Al Karkh -216</t>
  </si>
  <si>
    <t>Al Karkh- 212</t>
  </si>
  <si>
    <t>Al Khadraa -639</t>
  </si>
  <si>
    <t>الخضراء-639</t>
  </si>
  <si>
    <t>Al Khadraa- 640</t>
  </si>
  <si>
    <t>الخضراء-640</t>
  </si>
  <si>
    <t>Al Mechanic (Al Hader )-832</t>
  </si>
  <si>
    <t>Al Mechanic(Al Hader)-830</t>
  </si>
  <si>
    <t>Al Mowasalat- 863</t>
  </si>
  <si>
    <t>Al Radwania</t>
  </si>
  <si>
    <t>Al Shurta-857</t>
  </si>
  <si>
    <t>Al Shurta-865</t>
  </si>
  <si>
    <t>Al Shurtah-873</t>
  </si>
  <si>
    <t>Al Toma( Al Masfi)-826</t>
  </si>
  <si>
    <t>Al Wadi(Al Masfi )-824</t>
  </si>
  <si>
    <t>Arab jbor</t>
  </si>
  <si>
    <t>Asia ( Al Hader)-836</t>
  </si>
  <si>
    <t>مخيم الغزالية</t>
  </si>
  <si>
    <t>Kadhraa Camp</t>
  </si>
  <si>
    <t>Sheikh Maaroof- 210</t>
  </si>
  <si>
    <t>شيخ معروف- 210</t>
  </si>
  <si>
    <t>Shurtah Al Hader-846</t>
  </si>
  <si>
    <t>شرطة الحضر -846</t>
  </si>
  <si>
    <t>Al Arefia</t>
  </si>
  <si>
    <t>Al Karagolia</t>
  </si>
  <si>
    <t>Al Reyad</t>
  </si>
  <si>
    <t>Al Samadia</t>
  </si>
  <si>
    <t>Al Tuwetha</t>
  </si>
  <si>
    <t>Al Wardia</t>
  </si>
  <si>
    <t>Ammar Ben Yaser</t>
  </si>
  <si>
    <t>Hatef Al Defaay</t>
  </si>
  <si>
    <t>Hay Al Farwk</t>
  </si>
  <si>
    <t>Hay Al Huda</t>
  </si>
  <si>
    <t>حي الهدى</t>
  </si>
  <si>
    <t>Hay Al Murtha</t>
  </si>
  <si>
    <t>Hay Al Sadk</t>
  </si>
  <si>
    <t>Hay Al Sadreen</t>
  </si>
  <si>
    <t>Hay Al Taaf</t>
  </si>
  <si>
    <t>حي الطف</t>
  </si>
  <si>
    <t>Hay Badr</t>
  </si>
  <si>
    <t>Hay Haethm Al Zaidy</t>
  </si>
  <si>
    <t>حي هيثم الزيدي</t>
  </si>
  <si>
    <t>Jaara</t>
  </si>
  <si>
    <t>جعارة</t>
  </si>
  <si>
    <t>Juref Al Nadaaf</t>
  </si>
  <si>
    <t>Village 8</t>
  </si>
  <si>
    <t>القرية 8</t>
  </si>
  <si>
    <t>Al Adwaniya</t>
  </si>
  <si>
    <t>Bezbez brighde collective center</t>
  </si>
  <si>
    <t>خيم جسر بزيبز</t>
  </si>
  <si>
    <t>Hay Al Modhafeen-210</t>
  </si>
  <si>
    <t>حي الموظفين-210</t>
  </si>
  <si>
    <t>Hay Al Rabee</t>
  </si>
  <si>
    <t>Hay Al Sekalat</t>
  </si>
  <si>
    <t>Hay Al Sukur</t>
  </si>
  <si>
    <t>Hay Al Zuhoor</t>
  </si>
  <si>
    <t>Hay Al-Rubaiy- 204</t>
  </si>
  <si>
    <t>حي الربيعي -204</t>
  </si>
  <si>
    <t>killo-31</t>
  </si>
  <si>
    <t>كيلو -31</t>
  </si>
  <si>
    <t>Kilo 25</t>
  </si>
  <si>
    <t>Tell Al Sumer village</t>
  </si>
  <si>
    <t>Al Sadir- 527</t>
  </si>
  <si>
    <t>Al Sadir-567</t>
  </si>
  <si>
    <t>Al Sadir 2- 512</t>
  </si>
  <si>
    <t>Al Sadir 2- 513</t>
  </si>
  <si>
    <t>Al Sadir 2- 515</t>
  </si>
  <si>
    <t>Al Sadir 2-511</t>
  </si>
  <si>
    <t>Al Sadir 2-516</t>
  </si>
  <si>
    <t>Al Sadir 2-517</t>
  </si>
  <si>
    <t>Al Sadir 2-518</t>
  </si>
  <si>
    <t>Al Sadir 2-541</t>
  </si>
  <si>
    <t>Al Sadir 2-570</t>
  </si>
  <si>
    <t>Al Sadir 3-555</t>
  </si>
  <si>
    <t>Al Sadir 5- 528</t>
  </si>
  <si>
    <t>Al Sadir 8-550</t>
  </si>
  <si>
    <t>Al Sadir3- 535</t>
  </si>
  <si>
    <t>Al Sadir3- 537</t>
  </si>
  <si>
    <t>Al Sadir4- 547</t>
  </si>
  <si>
    <t>Al Sadir5- 520</t>
  </si>
  <si>
    <t>Al Sadir5- 522</t>
  </si>
  <si>
    <t>Al Sadir5- 530</t>
  </si>
  <si>
    <t>Al Sadir5- 532</t>
  </si>
  <si>
    <t>Al Sadir6- 573</t>
  </si>
  <si>
    <t>Al Sadir6- 575</t>
  </si>
  <si>
    <t>Al Sadir7- 538</t>
  </si>
  <si>
    <t>Al Sadir7- 542</t>
  </si>
  <si>
    <t>Al Sadir7- 544</t>
  </si>
  <si>
    <t>البصرة-ابو الخصيب - حمدن</t>
  </si>
  <si>
    <t>مهيجران</t>
  </si>
  <si>
    <t>الزبير حي العسكري</t>
  </si>
  <si>
    <t>IQ-P01632</t>
  </si>
  <si>
    <t>Al-Rubat Al Saghir</t>
  </si>
  <si>
    <t>البصرة-الرباط الصغير</t>
  </si>
  <si>
    <t>collective Al Assry (5 Miles Markets)</t>
  </si>
  <si>
    <t>مجمع العصري (سوق 5ميل)</t>
  </si>
  <si>
    <t>Avrike</t>
  </si>
  <si>
    <t>Betase</t>
  </si>
  <si>
    <t>Etit</t>
  </si>
  <si>
    <t>ايتيت</t>
  </si>
  <si>
    <t>Kevila</t>
  </si>
  <si>
    <t>Lower Malta</t>
  </si>
  <si>
    <t>Shele</t>
  </si>
  <si>
    <t>Upper Malta</t>
  </si>
  <si>
    <t>Bajet Kandala Camp</t>
  </si>
  <si>
    <t>Basetki</t>
  </si>
  <si>
    <t>Dolib</t>
  </si>
  <si>
    <t>Domiz-Rozh</t>
  </si>
  <si>
    <t>Hawshke</t>
  </si>
  <si>
    <t>Kar City</t>
  </si>
  <si>
    <t>كار ستي</t>
  </si>
  <si>
    <t>Marina</t>
  </si>
  <si>
    <t>مرينا</t>
  </si>
  <si>
    <t>IQ-P09432</t>
  </si>
  <si>
    <t>Moaskar Domiz</t>
  </si>
  <si>
    <t>New Zinya</t>
  </si>
  <si>
    <t>Old Mam Shvana</t>
  </si>
  <si>
    <t>Old Qasr Yazddin</t>
  </si>
  <si>
    <t>Old Sorka</t>
  </si>
  <si>
    <t>Old Zinya</t>
  </si>
  <si>
    <t>Ramilan City</t>
  </si>
  <si>
    <t>Small Mam Shvana</t>
  </si>
  <si>
    <t>Waarvin City</t>
  </si>
  <si>
    <t>ديربون</t>
  </si>
  <si>
    <t>Al Askary Qtr</t>
  </si>
  <si>
    <t>Al Makareen Village</t>
  </si>
  <si>
    <t>Al Mashroo Village</t>
  </si>
  <si>
    <t>Al Mohandseen Alzraeen Village</t>
  </si>
  <si>
    <t>Al Qadissiya Qtr</t>
  </si>
  <si>
    <t>Al Romelat Village</t>
  </si>
  <si>
    <t>Al Shuhadaa Qtr</t>
  </si>
  <si>
    <t>Ali Al Abdulla Village</t>
  </si>
  <si>
    <t>Arab Tetn village</t>
  </si>
  <si>
    <t>Dalli Abass-Al Dhobat Qtr</t>
  </si>
  <si>
    <t>Dalli Abass-Kurd Ali Qtr</t>
  </si>
  <si>
    <t>دلي عباس-حي كرد علي</t>
  </si>
  <si>
    <t>Dawod Al Salom Village</t>
  </si>
  <si>
    <t>هبهب-قرية ابو خردة</t>
  </si>
  <si>
    <t>هبهب-قرية الهاشمية</t>
  </si>
  <si>
    <t>هبهب-قرية اللقمانية</t>
  </si>
  <si>
    <t>هبهب-قرية الركة</t>
  </si>
  <si>
    <t>Hibhib-Al Shohadaa Qtr</t>
  </si>
  <si>
    <t>هبهب-حي الشهداء</t>
  </si>
  <si>
    <t>هبهب-حي اليرموك</t>
  </si>
  <si>
    <t>قرية جديدة الشط</t>
  </si>
  <si>
    <t>Mansouryat Alshat Village</t>
  </si>
  <si>
    <t>Markaz Al Khalis</t>
  </si>
  <si>
    <t>Markaz Hibhib</t>
  </si>
  <si>
    <t>مركز هبهب</t>
  </si>
  <si>
    <t>Al Asri Qtr</t>
  </si>
  <si>
    <t>Al Badaa Village</t>
  </si>
  <si>
    <t>Al Dawasir Qtr</t>
  </si>
  <si>
    <t>Al Intesar-1 Qtr</t>
  </si>
  <si>
    <t>Al Karama village</t>
  </si>
  <si>
    <t>Al Khadra Qtr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</si>
  <si>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</si>
  <si>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</si>
  <si>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</si>
  <si>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</si>
  <si>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</si>
  <si>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</si>
  <si>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</si>
  <si>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Al Sadah village</t>
  </si>
  <si>
    <t>Al Sadiq Qtr</t>
  </si>
  <si>
    <t>Al Salam Qtr</t>
  </si>
  <si>
    <t>Al Shikh village</t>
  </si>
  <si>
    <t>Al Shrika Qtr</t>
  </si>
  <si>
    <t>Al-Mualimeen-Shahid wadah Qtr</t>
  </si>
  <si>
    <t>Al-Mualmeen Qtr</t>
  </si>
  <si>
    <t>Al-Shuhada Qtr</t>
  </si>
  <si>
    <t>قرية السوامرة</t>
  </si>
  <si>
    <t>Bane Saad-Al-Askari Qtr</t>
  </si>
  <si>
    <t>Bani Saad- Al Salam Qtr</t>
  </si>
  <si>
    <t>Bani Saad- Ali Al Hady Qtr</t>
  </si>
  <si>
    <t>Bani Saad-Zahraa Qtr</t>
  </si>
  <si>
    <t>Buhriz- Al- Mustafa Qtr</t>
  </si>
  <si>
    <t>Buhriz- Borgha Qtr</t>
  </si>
  <si>
    <t>Buhriz-Al-Asri Qtr</t>
  </si>
  <si>
    <t>Dor Mindli Qtr</t>
  </si>
  <si>
    <t>Ejbainat village</t>
  </si>
  <si>
    <t>Fars Tarish Village</t>
  </si>
  <si>
    <t>Had Al-Akhdhar village</t>
  </si>
  <si>
    <t>Jorf Al Milih Qtr</t>
  </si>
  <si>
    <t>Kanbar Village</t>
  </si>
  <si>
    <t>Khamis Village</t>
  </si>
  <si>
    <t>Khirnabat village</t>
  </si>
  <si>
    <t>Markaz Al Abara</t>
  </si>
  <si>
    <t>Markaz Kanaan</t>
  </si>
  <si>
    <t>مخيم معسكر سعد</t>
  </si>
  <si>
    <t>Muskar Saad Qtr</t>
  </si>
  <si>
    <t>Nahr Al-Hajiyah Qtr</t>
  </si>
  <si>
    <t>Nahr Ibraheem Village</t>
  </si>
  <si>
    <t>Nahr Shekh Tamem Village</t>
  </si>
  <si>
    <t>Sesbana Village</t>
  </si>
  <si>
    <t>Al Bazaniya village</t>
  </si>
  <si>
    <t>Al-Sadrania village</t>
  </si>
  <si>
    <t>Dabbat village</t>
  </si>
  <si>
    <t>Dur Mandiliy Qtr</t>
  </si>
  <si>
    <t>Eksairat village</t>
  </si>
  <si>
    <t>Markaz Mandali</t>
  </si>
  <si>
    <t>مركز مندلي</t>
  </si>
  <si>
    <t>Al Askari Qtr</t>
  </si>
  <si>
    <t>Ali Murad village</t>
  </si>
  <si>
    <t>قرية علي مراد</t>
  </si>
  <si>
    <t>Alshortah Qtr</t>
  </si>
  <si>
    <t>Arkawazi Qtr</t>
  </si>
  <si>
    <t>حي اركوازي</t>
  </si>
  <si>
    <t>Bakhtiari Qtr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</si>
  <si>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</si>
  <si>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</si>
  <si>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</si>
  <si>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</si>
  <si>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</si>
  <si>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</si>
  <si>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</si>
  <si>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</si>
  <si>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Dara Konarh Qtr</t>
  </si>
  <si>
    <t>حي دارة كونارة</t>
  </si>
  <si>
    <t>Elean village</t>
  </si>
  <si>
    <t>Imam Abass Qtr</t>
  </si>
  <si>
    <t>Jibraoh village</t>
  </si>
  <si>
    <t>قرية جبراوة</t>
  </si>
  <si>
    <t>Kahriaz Sofla Area</t>
  </si>
  <si>
    <t>Malik Shah Qtr</t>
  </si>
  <si>
    <t>حي ملك شاه</t>
  </si>
  <si>
    <t>Markaz Jabara</t>
  </si>
  <si>
    <t>جبارة</t>
  </si>
  <si>
    <t>Mazrah ????</t>
  </si>
  <si>
    <t>حي مزرعة</t>
  </si>
  <si>
    <t>Mullah Aziz village</t>
  </si>
  <si>
    <t>قرية ملا عزيز</t>
  </si>
  <si>
    <t>Obara-1 Qtr</t>
  </si>
  <si>
    <t>حي اوبارا -1</t>
  </si>
  <si>
    <t>Obara-2 Qtr</t>
  </si>
  <si>
    <t>حي اوبارا-2</t>
  </si>
  <si>
    <t>Rapren-1 Qtr</t>
  </si>
  <si>
    <t>حي رابرين -1</t>
  </si>
  <si>
    <t>Rapren-2 Qtr</t>
  </si>
  <si>
    <t>حي رابرين -2</t>
  </si>
  <si>
    <t>Salih Agha village</t>
  </si>
  <si>
    <t>قرية صالح اغا</t>
  </si>
  <si>
    <t>Sirwan Qtr</t>
  </si>
  <si>
    <t>حي سيروان</t>
  </si>
  <si>
    <t>Sparta Qtr</t>
  </si>
  <si>
    <t>حي سبارتا</t>
  </si>
  <si>
    <t>Tal Manjal village</t>
  </si>
  <si>
    <t>Tula Frosh Qtr</t>
  </si>
  <si>
    <t>حي تولا فروش</t>
  </si>
  <si>
    <t>Albishir village</t>
  </si>
  <si>
    <t>108 عنكاوة</t>
  </si>
  <si>
    <t>Al Qalaa (Hay al arab)</t>
  </si>
  <si>
    <t>Al Qalaa (Tajeel Qr )</t>
  </si>
  <si>
    <t>Al-Shurtta Qr</t>
  </si>
  <si>
    <t>Al-Ziraa Qr</t>
  </si>
  <si>
    <t>Andazyaran Complex</t>
  </si>
  <si>
    <t>Ashti Camp</t>
  </si>
  <si>
    <t>اشتي كمب</t>
  </si>
  <si>
    <t>Chwarchra-Banslawa</t>
  </si>
  <si>
    <t>Dartu Nwee</t>
  </si>
  <si>
    <t>Erbil Gate</t>
  </si>
  <si>
    <t>Ganjan</t>
  </si>
  <si>
    <t>Gazna</t>
  </si>
  <si>
    <t>Hawler nwee</t>
  </si>
  <si>
    <t>Heran City</t>
  </si>
  <si>
    <t>كسنزان - ا شباط</t>
  </si>
  <si>
    <t>Kawergosk collective</t>
  </si>
  <si>
    <t>مجمع كوركوسك</t>
  </si>
  <si>
    <t>Kawergosk-Bastora</t>
  </si>
  <si>
    <t>كوركوسك - بستورة</t>
  </si>
  <si>
    <t>Kawergosk-Darashakran</t>
  </si>
  <si>
    <t>كوركوسك - داره شكران</t>
  </si>
  <si>
    <t>Manara City</t>
  </si>
  <si>
    <t>Nawroz-Banslawa</t>
  </si>
  <si>
    <t>مجمع اوزال</t>
  </si>
  <si>
    <t>perdawood</t>
  </si>
  <si>
    <t>Qushtapa centre</t>
  </si>
  <si>
    <t>Saydawa</t>
  </si>
  <si>
    <t>Setaqan</t>
  </si>
  <si>
    <t>Shawes</t>
  </si>
  <si>
    <t>Shorsh (Hakim awa)</t>
  </si>
  <si>
    <t>Shorsh (Hay arey)</t>
  </si>
  <si>
    <t>Shorsh (Malayan)</t>
  </si>
  <si>
    <t>Shorsh (Salahaldin)</t>
  </si>
  <si>
    <t>Somar</t>
  </si>
  <si>
    <t>Sufaya</t>
  </si>
  <si>
    <t>Tayrawa</t>
  </si>
  <si>
    <t>Zereen</t>
  </si>
  <si>
    <t>Bazar koya ( Bafri qndeel )</t>
  </si>
  <si>
    <t>Gashteyari</t>
  </si>
  <si>
    <t>Se Grdakan</t>
  </si>
  <si>
    <t>سيكردكان</t>
  </si>
  <si>
    <t>Ali Mala Dawood</t>
  </si>
  <si>
    <t>Debaga Camp 2</t>
  </si>
  <si>
    <t>Debaga Camp 4</t>
  </si>
  <si>
    <t>Hawejka</t>
  </si>
  <si>
    <t>Mousil governorate camp</t>
  </si>
  <si>
    <t>مخيم محافظة موصل</t>
  </si>
  <si>
    <t>Betrma</t>
  </si>
  <si>
    <t>بيترما</t>
  </si>
  <si>
    <t>حرير - باتاس</t>
  </si>
  <si>
    <t>Kawrtan</t>
  </si>
  <si>
    <t>Lass</t>
  </si>
  <si>
    <t>Safeen</t>
  </si>
  <si>
    <t>Shahedan</t>
  </si>
  <si>
    <t>Diana (Shahedan azady)</t>
  </si>
  <si>
    <t>Rawanduz District</t>
  </si>
  <si>
    <t>Soran District</t>
  </si>
  <si>
    <t>Ain Al-Tamur-Hay Al Hussein</t>
  </si>
  <si>
    <t>حي الحسين-عين التمر</t>
  </si>
  <si>
    <t>Al-Ain</t>
  </si>
  <si>
    <t>الدراوشة</t>
  </si>
  <si>
    <t>Hay al jihad</t>
  </si>
  <si>
    <t>حي الزهراء-عين التمر</t>
  </si>
  <si>
    <t>Qasur thamer</t>
  </si>
  <si>
    <t>Al Abd Awenat</t>
  </si>
  <si>
    <t>العبد عوينات</t>
  </si>
  <si>
    <t>Al Dokanea Al Gharbya</t>
  </si>
  <si>
    <t>Al Jedar Al Gharbi</t>
  </si>
  <si>
    <t>Al Riyadh</t>
  </si>
  <si>
    <t>Al-Hindiya-Door Al Hajar</t>
  </si>
  <si>
    <t>الهندية-دور الحجر</t>
  </si>
  <si>
    <t>Al-Hindiya-Hay Al-Amel</t>
  </si>
  <si>
    <t>الهندية-حي العامل</t>
  </si>
  <si>
    <t>Albo Safn</t>
  </si>
  <si>
    <t>البو سفن</t>
  </si>
  <si>
    <t>Al Ahrar(Elegal)</t>
  </si>
  <si>
    <t>Al Amam Al Montadar</t>
  </si>
  <si>
    <t>Al Ameshea 1</t>
  </si>
  <si>
    <t>العميشية 1</t>
  </si>
  <si>
    <t>Al Anwar</t>
  </si>
  <si>
    <t>Al Askary-Al haidery</t>
  </si>
  <si>
    <t>Al Ateshy</t>
  </si>
  <si>
    <t>Al Fadaein</t>
  </si>
  <si>
    <t>الفدين</t>
  </si>
  <si>
    <t>Al Furat 4 (door al halal)</t>
  </si>
  <si>
    <t>Al Hurr Al Sager</t>
  </si>
  <si>
    <t>Al Muamnen(Elegal)</t>
  </si>
  <si>
    <t>Al Nasser(Elegal)</t>
  </si>
  <si>
    <t>Al thawra 2</t>
  </si>
  <si>
    <t>Al thawra-1</t>
  </si>
  <si>
    <t>Al Walaa1</t>
  </si>
  <si>
    <t>الولاء1</t>
  </si>
  <si>
    <t>Al Zareen city</t>
  </si>
  <si>
    <t>مدينه الزائرين الزهراء</t>
  </si>
  <si>
    <t>Al-Abbasya al-gharbya</t>
  </si>
  <si>
    <t>Al-hadi</t>
  </si>
  <si>
    <t>Al-hussainya-Hay Al Rasool</t>
  </si>
  <si>
    <t>الحسينيه- حي الرسول</t>
  </si>
  <si>
    <t>Al-hussainya-Hay Al Zahraa</t>
  </si>
  <si>
    <t>الحسينيه -حي الزهراء</t>
  </si>
  <si>
    <t>Al-hussainya-hay al-hussain</t>
  </si>
  <si>
    <t>الحسينية-حي الحسين</t>
  </si>
  <si>
    <t>الحسينية-حي العباس</t>
  </si>
  <si>
    <t>Al-Mulhak</t>
  </si>
  <si>
    <t>السواده 1</t>
  </si>
  <si>
    <t>Al-Taaleb</t>
  </si>
  <si>
    <t>Al-zabaylah</t>
  </si>
  <si>
    <t>Hay Al Noor</t>
  </si>
  <si>
    <t>Hay Al Rafdean 2</t>
  </si>
  <si>
    <t>Hay al-baldya</t>
  </si>
  <si>
    <t>Hay Al-Jawad</t>
  </si>
  <si>
    <t>Hay Al-Momnean</t>
  </si>
  <si>
    <t>Hay Al-Naser14</t>
  </si>
  <si>
    <t>Molhak Al Atbaa(Elegal)</t>
  </si>
  <si>
    <t>Mulhak Hay Al Mualmen</t>
  </si>
  <si>
    <t>Shuhadaa AL Muwadhayn</t>
  </si>
  <si>
    <t>Sumer 1</t>
  </si>
  <si>
    <t>Sumer 2</t>
  </si>
  <si>
    <t>حي سومر 2</t>
  </si>
  <si>
    <t>Um Al Baneen city</t>
  </si>
  <si>
    <t>Daquq Camp</t>
  </si>
  <si>
    <t>مخيم داقوق</t>
  </si>
  <si>
    <t>Al Wadia Village</t>
  </si>
  <si>
    <t>قرية الواديه</t>
  </si>
  <si>
    <t>Eye of Missan camp</t>
  </si>
  <si>
    <t>Hay Al Jihad</t>
  </si>
  <si>
    <t>Hay al-askary</t>
  </si>
  <si>
    <t>IQ-P02134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</si>
  <si>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</si>
  <si>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</si>
  <si>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</si>
  <si>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</si>
  <si>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</si>
  <si>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</si>
  <si>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</si>
  <si>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</si>
  <si>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</si>
  <si>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</si>
  <si>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2-A</t>
  </si>
  <si>
    <t>الجزائر 2-A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</si>
  <si>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</si>
  <si>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</si>
  <si>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</si>
  <si>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</si>
  <si>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</si>
  <si>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</si>
  <si>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</si>
  <si>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</si>
  <si>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Al- Jihad 1</t>
  </si>
  <si>
    <t>الجهاد 1</t>
  </si>
  <si>
    <t>Al- Jihad 2</t>
  </si>
  <si>
    <t>الجهاد 2</t>
  </si>
  <si>
    <t>Al- Jihad 3</t>
  </si>
  <si>
    <t>الجهاد 3</t>
  </si>
  <si>
    <t>Al- Jihad 4</t>
  </si>
  <si>
    <t>الجهاد 4</t>
  </si>
  <si>
    <t>Al- Jihad 5</t>
  </si>
  <si>
    <t>الجهاد 5</t>
  </si>
  <si>
    <t>Al- Jihad 6</t>
  </si>
  <si>
    <t>الجهاد 6</t>
  </si>
  <si>
    <t>Al-Adalah 1</t>
  </si>
  <si>
    <t>العدالة 1</t>
  </si>
  <si>
    <t>AL-Ajdaa</t>
  </si>
  <si>
    <t>الاجدع</t>
  </si>
  <si>
    <t>Al-Ansar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</si>
  <si>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</si>
  <si>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</si>
  <si>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</si>
  <si>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</si>
  <si>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</si>
  <si>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</si>
  <si>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IQ-P22951</t>
  </si>
  <si>
    <t>Al-Qasim 2</t>
  </si>
  <si>
    <t>حي القاسم 2</t>
  </si>
  <si>
    <t>Al-Qasim 3</t>
  </si>
  <si>
    <t>حي القاسم 3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</si>
  <si>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</si>
  <si>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</si>
  <si>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</si>
  <si>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</si>
  <si>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</si>
  <si>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</si>
  <si>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</si>
  <si>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</si>
  <si>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</si>
  <si>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</si>
  <si>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Al-Urooba 1</t>
  </si>
  <si>
    <t>العروبة 1</t>
  </si>
  <si>
    <t>Al-Urooba 2</t>
  </si>
  <si>
    <t>العروبة 2</t>
  </si>
  <si>
    <t>Fadak Village</t>
  </si>
  <si>
    <t>قرية فدك</t>
  </si>
  <si>
    <t>Hay Al Tahadi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</si>
  <si>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</si>
  <si>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</si>
  <si>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</si>
  <si>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</si>
  <si>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</si>
  <si>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</si>
  <si>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UNHCR camp</t>
  </si>
  <si>
    <t>مخيم UNHCR</t>
  </si>
  <si>
    <t>Big Topzawa</t>
  </si>
  <si>
    <t>توبزاوة كبيرة</t>
  </si>
  <si>
    <t>IQ-P19686</t>
  </si>
  <si>
    <t>Gawrasoor</t>
  </si>
  <si>
    <t>كورا صور</t>
  </si>
  <si>
    <t>Husseini</t>
  </si>
  <si>
    <t>حسيني</t>
  </si>
  <si>
    <t>Ismawa</t>
  </si>
  <si>
    <t>ايسماوة</t>
  </si>
  <si>
    <t>IQ-P19406</t>
  </si>
  <si>
    <t>Mamilian Camp</t>
  </si>
  <si>
    <t>Yakmala</t>
  </si>
  <si>
    <t>يكمالا</t>
  </si>
  <si>
    <t>زوي رش</t>
  </si>
  <si>
    <t>Esian Camp</t>
  </si>
  <si>
    <t>Lalish</t>
  </si>
  <si>
    <t>Mahad</t>
  </si>
  <si>
    <t>Sheikhan Camp</t>
  </si>
  <si>
    <t>Al Mazaraa</t>
  </si>
  <si>
    <t>Al-Quds</t>
  </si>
  <si>
    <t>Al-Quds Complex</t>
  </si>
  <si>
    <t>مجمع القدس</t>
  </si>
  <si>
    <t>Sherekhan sufle</t>
  </si>
  <si>
    <t>Borak</t>
  </si>
  <si>
    <t>قرية أبو خشب</t>
  </si>
  <si>
    <t>amla</t>
  </si>
  <si>
    <t>Bardiyah complex</t>
  </si>
  <si>
    <t>Beer ekla vilage</t>
  </si>
  <si>
    <t>Domez complex</t>
  </si>
  <si>
    <t>Ewaynat vilage</t>
  </si>
  <si>
    <t>قرية عوينات</t>
  </si>
  <si>
    <t>Gilbarat</t>
  </si>
  <si>
    <t>Hay Al Arbaeen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</si>
  <si>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</si>
  <si>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</si>
  <si>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</si>
  <si>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</si>
  <si>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</si>
  <si>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</si>
  <si>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</si>
  <si>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kirver village</t>
  </si>
  <si>
    <t>قرية كرفر</t>
  </si>
  <si>
    <t>Qasabat Zummar</t>
  </si>
  <si>
    <t>قصبة زمار</t>
  </si>
  <si>
    <t>تل الهوى</t>
  </si>
  <si>
    <t>قرية تل أسمير</t>
  </si>
  <si>
    <t>Tal wardan vilage</t>
  </si>
  <si>
    <t>Ain Baqara</t>
  </si>
  <si>
    <t>Baawiza</t>
  </si>
  <si>
    <t>Beerzwa</t>
  </si>
  <si>
    <t>Hatara</t>
  </si>
  <si>
    <t>حتارة</t>
  </si>
  <si>
    <t>Jabir Ben Hayan</t>
  </si>
  <si>
    <t>جابر بن حيان</t>
  </si>
  <si>
    <t>Nasiriah</t>
  </si>
  <si>
    <t>Tafteyan</t>
  </si>
  <si>
    <t>Tal Adas</t>
  </si>
  <si>
    <t>wanna center</t>
  </si>
  <si>
    <t>مركز وانة</t>
  </si>
  <si>
    <t>قرية البوعلي</t>
  </si>
  <si>
    <t>fadhel allah village</t>
  </si>
  <si>
    <t>Al-Warawsha Village</t>
  </si>
  <si>
    <t>قرية الوراوشة</t>
  </si>
  <si>
    <t>Mantaket Al Hezam Al Akhdhar</t>
  </si>
  <si>
    <t>Said Rafie village</t>
  </si>
  <si>
    <t>قرية سيد رافع</t>
  </si>
  <si>
    <t>Al Mojamaa Al Sakani</t>
  </si>
  <si>
    <t>Al-bu hwelaa Village</t>
  </si>
  <si>
    <t>Al-khalifa 2 Village</t>
  </si>
  <si>
    <t>الثروة الحيوانية</t>
  </si>
  <si>
    <t>Hay Al Jamiaa</t>
  </si>
  <si>
    <t>Hay Al Jamiaa-Al-Hawli</t>
  </si>
  <si>
    <t>Hay Al-Sadir 4</t>
  </si>
  <si>
    <t>Mantaket Al-Jethaa</t>
  </si>
  <si>
    <t>Al-sabah village</t>
  </si>
  <si>
    <t>Al-Taraf Al-Sharqi</t>
  </si>
  <si>
    <t>Mantaket Al-Giwam</t>
  </si>
  <si>
    <t>وادي جباش الغربية سكن متناثر</t>
  </si>
  <si>
    <t>Hay Tal Al Banat</t>
  </si>
  <si>
    <t>حي تل البنات</t>
  </si>
  <si>
    <t>Bizna Village</t>
  </si>
  <si>
    <t>حي الزهراء م (9-تل مسكين) محلة 204</t>
  </si>
  <si>
    <t>قرية الفجر</t>
  </si>
  <si>
    <t>حي الجميلة</t>
  </si>
  <si>
    <t>قرية الخضرانية</t>
  </si>
  <si>
    <t>قرية الخانوكة</t>
  </si>
  <si>
    <t>Al Khasim Al-Jaded village-Al qlisat</t>
  </si>
  <si>
    <t>قرية الخصم الجديدة (القليصات)</t>
  </si>
  <si>
    <t>حاوي بعاجه حاوي-حضر</t>
  </si>
  <si>
    <t>حي القصبة</t>
  </si>
  <si>
    <t>حي الزراعه</t>
  </si>
  <si>
    <t>قرية العبود</t>
  </si>
  <si>
    <t>قرية الصبخة</t>
  </si>
  <si>
    <t>قرية الحمرة</t>
  </si>
  <si>
    <t>Al Hejaj Village -13</t>
  </si>
  <si>
    <t>قرية الحجاج</t>
  </si>
  <si>
    <t>قرية المسحك</t>
  </si>
  <si>
    <t>قرية النمل</t>
  </si>
  <si>
    <t>Albu-Tumah village-12</t>
  </si>
  <si>
    <t>قرية البوطعمه</t>
  </si>
  <si>
    <t>قرية جريش</t>
  </si>
  <si>
    <t>قرية الصرين</t>
  </si>
  <si>
    <t>Al-Haweeja Al bahriya</t>
  </si>
  <si>
    <t>قرية الجبور والحويجة ا</t>
  </si>
  <si>
    <t>Albu Farraj Village</t>
  </si>
  <si>
    <t>قرية البو فراج</t>
  </si>
  <si>
    <t>Mahalla- Abu Sefa-1</t>
  </si>
  <si>
    <t>محلة ابو صفة م(15)محلة ابو صفة-1</t>
  </si>
  <si>
    <t>حي الشرطة م(25-عرموشية) محلة 332</t>
  </si>
  <si>
    <t>حي الواثق(22-جبيرية) محلة 316</t>
  </si>
  <si>
    <t>حي الواثق(22-جبيرية) الجبيرية الثالثة</t>
  </si>
  <si>
    <t>مقاطعة 4 القلعة محلة 201</t>
  </si>
  <si>
    <t>محلة الصعيوية م (16) محلة الصعيوية-1</t>
  </si>
  <si>
    <t>Al-Abasiya Village</t>
  </si>
  <si>
    <t>قرية العباسية</t>
  </si>
  <si>
    <t>حي الافراز</t>
  </si>
  <si>
    <t>حي الشهداءم(25-عرموشية) محلة 324</t>
  </si>
  <si>
    <t>حي السكك (الشرقية) محلة 111</t>
  </si>
  <si>
    <t>الجزيرة (الجزءالجنوبي) سكن متناثر</t>
  </si>
  <si>
    <t>حي الضباط م(25-عرموشية) محلة 334</t>
  </si>
  <si>
    <t>حي الضباط م(25-عرموشية) محلة 336</t>
  </si>
  <si>
    <t>حي الهادي(غربية) محلة 101</t>
  </si>
  <si>
    <t>حي الامام محلة 103</t>
  </si>
  <si>
    <t>حي الواثق(22-جبيرية) محلة 314</t>
  </si>
  <si>
    <t>حي الزهور(4-القلعة) محلة 202</t>
  </si>
  <si>
    <t>حي الخضراء م(25-عرموشية) محلة 322</t>
  </si>
  <si>
    <t>حي الزراعة(شرقية) محلة 113</t>
  </si>
  <si>
    <t>حي القادسية م(25-عرموشية) محلة 320</t>
  </si>
  <si>
    <t>حي صلاح الدين محلة 302</t>
  </si>
  <si>
    <t>محلة مكيشفه</t>
  </si>
  <si>
    <t>(Al Qadissiya)-218-500</t>
  </si>
  <si>
    <t>قرية العهد الجديد</t>
  </si>
  <si>
    <t>قرية العوجة</t>
  </si>
  <si>
    <t>قرية البزيخة</t>
  </si>
  <si>
    <t>قرية الخزامية</t>
  </si>
  <si>
    <t>قرية المحزم</t>
  </si>
  <si>
    <t>Al Namah Al Janobiyah Village</t>
  </si>
  <si>
    <t>الناعمة الجنوبية قرية الناعمة</t>
  </si>
  <si>
    <t>Al Namah Al Shamaliyah Village</t>
  </si>
  <si>
    <t>الناعمة الشمالية قرية الناعمة الشمالية</t>
  </si>
  <si>
    <t>قرية الشهيد عبدالله جباره</t>
  </si>
  <si>
    <t>Al-Karama Village</t>
  </si>
  <si>
    <t>حي الشهداء مقاطعة 7-المطاردة محلة 204</t>
  </si>
  <si>
    <t>Al-Safia Village</t>
  </si>
  <si>
    <t>قرية المعيبدي الشمالية</t>
  </si>
  <si>
    <t>Hammad Shehab village</t>
  </si>
  <si>
    <t>Hay Al Anwaa-Mahalla 420</t>
  </si>
  <si>
    <t>حي الانواء-محله 420</t>
  </si>
  <si>
    <t>Hay Al Arbaeen- Mahalla 414</t>
  </si>
  <si>
    <t>Hay Al Askari village</t>
  </si>
  <si>
    <t>Hay Al Baladiyat-Mahalla 402</t>
  </si>
  <si>
    <t>البلدديات-402</t>
  </si>
  <si>
    <t>احي الجمعية-2</t>
  </si>
  <si>
    <t>Hay Al Jamiyah-Mahalla 418</t>
  </si>
  <si>
    <t>Hay Al Mualimeen-Mahalla 406</t>
  </si>
  <si>
    <t>حي المعلمين-محله 406</t>
  </si>
  <si>
    <t>قرية الصمد</t>
  </si>
  <si>
    <t>Hay Al Zuhoor-Mahalla 422</t>
  </si>
  <si>
    <t>حي الزهور- محله 422</t>
  </si>
  <si>
    <t>Hay Al-Suqoore</t>
  </si>
  <si>
    <t>Hay Aldiyoom</t>
  </si>
  <si>
    <t>حي الديوم-مقاطعة 21-ديوم تكريت</t>
  </si>
  <si>
    <t>Hay Altajneed</t>
  </si>
  <si>
    <t>Hay Alziraa-100 Dar</t>
  </si>
  <si>
    <t>منطقة 100 دار</t>
  </si>
  <si>
    <t>Hay Salma Al Taghlubiyah-Mahalla 401</t>
  </si>
  <si>
    <t>Hay Shishin-408</t>
  </si>
  <si>
    <t>حي شيشين -مقاطعة 5-وادي شيشين محلة 408</t>
  </si>
  <si>
    <t>حي العائد(27-الخرجة والعالي) محلة العائد</t>
  </si>
  <si>
    <t>حي الموظفين (27الخرجة والعالي) محلة الموظفين</t>
  </si>
  <si>
    <t>قرية أربيضة</t>
  </si>
  <si>
    <t>Qdisiyah1- Mahalla 214</t>
  </si>
  <si>
    <t>Qdisiyah2- Mahalla 216</t>
  </si>
  <si>
    <t>قرية سمرة</t>
  </si>
  <si>
    <t>قرية تل السيباط</t>
  </si>
  <si>
    <t>جمجمال - رابرين</t>
  </si>
  <si>
    <t>جمجمال - رزكاري</t>
  </si>
  <si>
    <t>Dalani</t>
  </si>
  <si>
    <t>دالاني</t>
  </si>
  <si>
    <t>Darwazay Shar</t>
  </si>
  <si>
    <t>Rezgari</t>
  </si>
  <si>
    <t>Sharstani</t>
  </si>
  <si>
    <t>كلار - رزكاري</t>
  </si>
  <si>
    <t>Kalari New</t>
  </si>
  <si>
    <t>Raparin</t>
  </si>
  <si>
    <t>Koling city</t>
  </si>
  <si>
    <t>Qandil</t>
  </si>
  <si>
    <t>Raparine</t>
  </si>
  <si>
    <t>Rozhhalat</t>
  </si>
  <si>
    <t>تيكوشر</t>
  </si>
  <si>
    <t>قولريسى تاره</t>
  </si>
  <si>
    <t>بيرميرد - بردةقارمان</t>
  </si>
  <si>
    <t>شارواني - بردةقارمان</t>
  </si>
  <si>
    <t>Bardaqarman-gopala</t>
  </si>
  <si>
    <t>كوباله - بردةقارمان</t>
  </si>
  <si>
    <t>Bardaqarman-Kupala</t>
  </si>
  <si>
    <t>كوبله - بردةقارمان</t>
  </si>
  <si>
    <t>Bardaqarman-Qala</t>
  </si>
  <si>
    <t>قلا - بردةقارمان</t>
  </si>
  <si>
    <t>Bardaqarman-Tainal</t>
  </si>
  <si>
    <t>تينال - بردةقارمان</t>
  </si>
  <si>
    <t>Barika</t>
  </si>
  <si>
    <t>Bazian - Allaye</t>
  </si>
  <si>
    <t>Bazian - Brayati</t>
  </si>
  <si>
    <t>Bazian - peshwa</t>
  </si>
  <si>
    <t>Bazian - Sharwani</t>
  </si>
  <si>
    <t>ابراهيم باشا</t>
  </si>
  <si>
    <t>قولريسى كون</t>
  </si>
  <si>
    <t>Sewsenan</t>
  </si>
  <si>
    <t>Tanjaro 314</t>
  </si>
  <si>
    <t>تانجرو 314</t>
  </si>
  <si>
    <t>Al Shabab 1</t>
  </si>
  <si>
    <t>Al-Debooni City Center</t>
  </si>
  <si>
    <t>Al-Dir Al Aala 2</t>
  </si>
  <si>
    <t>Al-Jadida</t>
  </si>
  <si>
    <t>Al-Khamas 2</t>
  </si>
  <si>
    <t>Al-Khamas 3</t>
  </si>
  <si>
    <t>Al-Khamas1</t>
  </si>
  <si>
    <t>Al-Sharif Alradhi</t>
  </si>
  <si>
    <t>City Center</t>
  </si>
  <si>
    <t>Harbi Wa-hmoor village</t>
  </si>
  <si>
    <t>Hay Al Quds</t>
  </si>
  <si>
    <t>Al Bashaer sub-district</t>
  </si>
  <si>
    <t>Bashaeer - Al-Imam Al-Sadiq Village</t>
  </si>
  <si>
    <t>Hay Al-Saray</t>
  </si>
  <si>
    <t>Hay Saed Al-Thania</t>
  </si>
  <si>
    <t>Al-Ahrar city center</t>
  </si>
  <si>
    <t>Al-Baqaratain Village</t>
  </si>
  <si>
    <t>Al-Hakeem villge</t>
  </si>
  <si>
    <t>طريق الشوملي - شاذي الغربي</t>
  </si>
  <si>
    <t>طريق الشوملي - شاذي الشرقي</t>
  </si>
  <si>
    <t>Hay Al-Shraqia</t>
  </si>
  <si>
    <t>Al Shihaimiya city center</t>
  </si>
  <si>
    <t>Al-Jisir village</t>
  </si>
  <si>
    <t>Al-Rujaibia Village</t>
  </si>
  <si>
    <t>Al-Sudor Village</t>
  </si>
  <si>
    <t>Al-Suwaira City Center</t>
  </si>
  <si>
    <t>مركز الصويره</t>
  </si>
  <si>
    <t>Al-Zubaidiya city center</t>
  </si>
  <si>
    <t>Hay Al-Amer</t>
  </si>
  <si>
    <t>Hay Al-askary</t>
  </si>
  <si>
    <t>Hay Al-Jameya</t>
  </si>
  <si>
    <t>Hay Al-Jihad</t>
  </si>
  <si>
    <t>Hay Al-Maghrib</t>
  </si>
  <si>
    <t>Qatae Dejla</t>
  </si>
  <si>
    <t>Dahnok Village</t>
  </si>
  <si>
    <t>Hay Al-Imam Al-Hussein</t>
  </si>
  <si>
    <t>Jassan center</t>
  </si>
  <si>
    <t>Al Dujily - Al zahraa</t>
  </si>
  <si>
    <t>الدجيلي - الزهراء</t>
  </si>
  <si>
    <t>Al Gardhia</t>
  </si>
  <si>
    <t>Al Hoqoqein</t>
  </si>
  <si>
    <t>Al Mantaqa Al qadima</t>
  </si>
  <si>
    <t>المهندسين - العمارات السكنية</t>
  </si>
  <si>
    <t>Al Uroba 1</t>
  </si>
  <si>
    <t>Al-chabab</t>
  </si>
  <si>
    <t>الدجيلي - الزهراء الأولى</t>
  </si>
  <si>
    <t>الدجيلي - حي الحسين</t>
  </si>
  <si>
    <t>Al-Eza Al- Qadima</t>
  </si>
  <si>
    <t>Al-Eza Al-Jadida</t>
  </si>
  <si>
    <t>Al-Jihad - Al Shaheed Dawood</t>
  </si>
  <si>
    <t>الجهاد- الشهيد داود</t>
  </si>
  <si>
    <t>Al-Jihad - Al Thaqalain</t>
  </si>
  <si>
    <t>Al-Jihad Al-Zahraa</t>
  </si>
  <si>
    <t>Al-Jihad- Al-Zanabra</t>
  </si>
  <si>
    <t>الجهاد - السجاد</t>
  </si>
  <si>
    <t>Al-Oroba- Hay Al-Ansar</t>
  </si>
  <si>
    <t>Al-Shuhadaa 3</t>
  </si>
  <si>
    <t>Al-Shuhadaa 4</t>
  </si>
  <si>
    <t>Anwar Al Sadur</t>
  </si>
  <si>
    <t>Anwar Al Sadur-Al-Ghader</t>
  </si>
  <si>
    <t>Damook- Al-Hurriya</t>
  </si>
  <si>
    <t>Door al-Umal</t>
  </si>
  <si>
    <t>Hay Al Jawadeen Al-Ula</t>
  </si>
  <si>
    <t>Hay Al-Abassya</t>
  </si>
  <si>
    <t>Hay Al-Emam Ali-2</t>
  </si>
  <si>
    <t>Hay Al-Hawaraa 3</t>
  </si>
  <si>
    <t>Hay Al-Kadhraa</t>
  </si>
  <si>
    <t>Hay Al-khawarnaq</t>
  </si>
  <si>
    <t>Khajia –Hay Al Rassol</t>
  </si>
  <si>
    <t>السوادة - قرية البيضاء</t>
  </si>
  <si>
    <t>Shaikh Saad</t>
  </si>
  <si>
    <t>DTM : IDP Master List 13-10-2016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</si>
</sst>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8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849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6" width="15" style="29" customWidth="1"/>
    <col min="47" max="47" width="13.7109375" bestFit="1" customWidth="1"/>
    <col min="48" max="48" width="11.42578125" bestFit="1" customWidth="1"/>
    <col min="49" max="49" width="12.7109375" bestFit="1" customWidth="1"/>
  </cols>
  <sheetData>
    <row r="1" spans="1:50" ht="25.9" customHeight="1" x14ac:dyDescent="0.25">
      <c r="A1" s="39" t="s">
        <v>9255</v>
      </c>
      <c r="B1" s="39"/>
      <c r="C1" s="39"/>
      <c r="D1" s="39"/>
      <c r="E1" s="39"/>
    </row>
    <row r="2" spans="1:50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0" ht="18" customHeight="1" x14ac:dyDescent="0.25">
      <c r="A3" s="46" t="s">
        <v>52</v>
      </c>
      <c r="B3" s="46"/>
      <c r="C3" s="46"/>
      <c r="D3" s="46"/>
      <c r="E3" s="46"/>
      <c r="F3" s="46"/>
      <c r="G3" s="46"/>
      <c r="H3" s="46"/>
      <c r="I3" s="46"/>
      <c r="J3" s="46"/>
      <c r="K3" s="19"/>
      <c r="L3" s="19"/>
      <c r="M3" s="45" t="s">
        <v>1</v>
      </c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4" t="s">
        <v>2</v>
      </c>
      <c r="AF3" s="44"/>
      <c r="AG3" s="44"/>
      <c r="AH3" s="44"/>
      <c r="AI3" s="44"/>
      <c r="AJ3" s="44"/>
      <c r="AK3" s="44"/>
      <c r="AL3" s="44"/>
      <c r="AM3" s="44"/>
      <c r="AN3" s="44"/>
      <c r="AO3" s="40" t="s">
        <v>3</v>
      </c>
      <c r="AP3" s="41"/>
      <c r="AQ3" s="41"/>
      <c r="AR3" s="41"/>
      <c r="AS3" s="41"/>
      <c r="AT3" s="42"/>
      <c r="AU3" s="43" t="s">
        <v>48</v>
      </c>
      <c r="AV3" s="43"/>
      <c r="AW3" s="43"/>
      <c r="AX3" s="13"/>
    </row>
    <row r="4" spans="1:50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18" t="s">
        <v>51</v>
      </c>
      <c r="AV4" s="18" t="s">
        <v>50</v>
      </c>
      <c r="AW4" s="18" t="s">
        <v>49</v>
      </c>
      <c r="AX4" s="13"/>
    </row>
    <row r="5" spans="1:50" ht="15" customHeight="1" x14ac:dyDescent="0.25">
      <c r="A5" s="21">
        <v>23792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34.383198</v>
      </c>
      <c r="G5" s="22">
        <v>41.052622999999997</v>
      </c>
      <c r="H5" s="21" t="s">
        <v>73</v>
      </c>
      <c r="I5" s="21" t="s">
        <v>74</v>
      </c>
      <c r="J5" s="21" t="s">
        <v>75</v>
      </c>
      <c r="K5" s="24">
        <v>34</v>
      </c>
      <c r="L5" s="24">
        <v>204</v>
      </c>
      <c r="M5" s="23">
        <v>34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13</v>
      </c>
      <c r="AG5" s="23"/>
      <c r="AH5" s="23"/>
      <c r="AI5" s="23"/>
      <c r="AJ5" s="23"/>
      <c r="AK5" s="23">
        <v>21</v>
      </c>
      <c r="AL5" s="23"/>
      <c r="AM5" s="23"/>
      <c r="AN5" s="23"/>
      <c r="AO5" s="23">
        <v>34</v>
      </c>
      <c r="AP5" s="23"/>
      <c r="AQ5" s="23"/>
      <c r="AR5" s="23"/>
      <c r="AS5" s="23"/>
      <c r="AT5" s="23"/>
      <c r="AU5" s="14" t="str">
        <f>HYPERLINK("http://www.openstreetmap.org/?mlat=34.3832&amp;mlon=41.0526&amp;zoom=12#map=12/34.3832/41.0526","Maplink1")</f>
        <v>Maplink1</v>
      </c>
      <c r="AV5" s="14" t="str">
        <f>HYPERLINK("https://www.google.iq/maps/search/+34.3832,41.0526/@34.3832,41.0526,14z?hl=en","Maplink2")</f>
        <v>Maplink2</v>
      </c>
      <c r="AW5" s="14" t="str">
        <f>HYPERLINK("http://www.bing.com/maps/?lvl=14&amp;sty=h&amp;cp=34.3832~41.0526&amp;sp=point.34.3832_41.0526_Al Angaa","Maplink3")</f>
        <v>Maplink3</v>
      </c>
      <c r="AX5" s="29"/>
    </row>
    <row r="6" spans="1:50" ht="15" customHeight="1" x14ac:dyDescent="0.25">
      <c r="A6" s="21">
        <v>23647</v>
      </c>
      <c r="B6" s="22" t="s">
        <v>9</v>
      </c>
      <c r="C6" s="22" t="s">
        <v>70</v>
      </c>
      <c r="D6" s="22" t="s">
        <v>76</v>
      </c>
      <c r="E6" s="22" t="s">
        <v>77</v>
      </c>
      <c r="F6" s="22">
        <v>34.421410999999999</v>
      </c>
      <c r="G6" s="22">
        <v>41.202050999999997</v>
      </c>
      <c r="H6" s="21" t="s">
        <v>73</v>
      </c>
      <c r="I6" s="21" t="s">
        <v>74</v>
      </c>
      <c r="J6" s="21" t="s">
        <v>78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14" t="str">
        <f>HYPERLINK("http://www.openstreetmap.org/?mlat=34.4214&amp;mlon=41.2021&amp;zoom=12#map=12/34.4214/41.2021","Maplink1")</f>
        <v>Maplink1</v>
      </c>
      <c r="AV6" s="14" t="str">
        <f>HYPERLINK("https://www.google.iq/maps/search/+34.4214,41.2021/@34.4214,41.2021,14z?hl=en","Maplink2")</f>
        <v>Maplink2</v>
      </c>
      <c r="AW6" s="14" t="str">
        <f>HYPERLINK("http://www.bing.com/maps/?lvl=14&amp;sty=h&amp;cp=34.4214~41.2021&amp;sp=point.34.4214_41.2021_Al Aubaidi Al Qadima","Maplink3")</f>
        <v>Maplink3</v>
      </c>
      <c r="AX6" s="29"/>
    </row>
    <row r="7" spans="1:50" ht="15" customHeight="1" x14ac:dyDescent="0.25">
      <c r="A7" s="21">
        <v>23791</v>
      </c>
      <c r="B7" s="22" t="s">
        <v>9</v>
      </c>
      <c r="C7" s="22" t="s">
        <v>70</v>
      </c>
      <c r="D7" s="22" t="s">
        <v>79</v>
      </c>
      <c r="E7" s="22" t="s">
        <v>80</v>
      </c>
      <c r="F7" s="22">
        <v>34.372736000000003</v>
      </c>
      <c r="G7" s="22">
        <v>41.057071000000001</v>
      </c>
      <c r="H7" s="21" t="s">
        <v>73</v>
      </c>
      <c r="I7" s="21" t="s">
        <v>74</v>
      </c>
      <c r="J7" s="21" t="s">
        <v>81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14" t="str">
        <f>HYPERLINK("http://www.openstreetmap.org/?mlat=34.3727&amp;mlon=41.0571&amp;zoom=12#map=12/34.3727/41.0571","Maplink1")</f>
        <v>Maplink1</v>
      </c>
      <c r="AV7" s="14" t="str">
        <f>HYPERLINK("https://www.google.iq/maps/search/+34.3727,41.0571/@34.3727,41.0571,14z?hl=en","Maplink2")</f>
        <v>Maplink2</v>
      </c>
      <c r="AW7" s="14" t="str">
        <f>HYPERLINK("http://www.bing.com/maps/?lvl=14&amp;sty=h&amp;cp=34.3727~41.0571&amp;sp=point.34.3727_41.0571_Al Nahda Al-Sharqiyah","Maplink3")</f>
        <v>Maplink3</v>
      </c>
      <c r="AX7" s="29"/>
    </row>
    <row r="8" spans="1:50" ht="15" customHeight="1" x14ac:dyDescent="0.25">
      <c r="A8" s="21">
        <v>23795</v>
      </c>
      <c r="B8" s="22" t="s">
        <v>9</v>
      </c>
      <c r="C8" s="22" t="s">
        <v>70</v>
      </c>
      <c r="D8" s="22" t="s">
        <v>82</v>
      </c>
      <c r="E8" s="22" t="s">
        <v>83</v>
      </c>
      <c r="F8" s="22">
        <v>34.416826</v>
      </c>
      <c r="G8" s="22">
        <v>41.047170000000001</v>
      </c>
      <c r="H8" s="21" t="s">
        <v>73</v>
      </c>
      <c r="I8" s="21" t="s">
        <v>74</v>
      </c>
      <c r="J8" s="21" t="s">
        <v>84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14" t="str">
        <f>HYPERLINK("http://www.openstreetmap.org/?mlat=34.4168&amp;mlon=41.0472&amp;zoom=12#map=12/34.4168/41.0472","Maplink1")</f>
        <v>Maplink1</v>
      </c>
      <c r="AV8" s="14" t="str">
        <f>HYPERLINK("https://www.google.iq/maps/search/+34.4168,41.0472/@34.4168,41.0472,14z?hl=en","Maplink2")</f>
        <v>Maplink2</v>
      </c>
      <c r="AW8" s="14" t="str">
        <f>HYPERLINK("http://www.bing.com/maps/?lvl=14&amp;sty=h&amp;cp=34.4168~41.0472&amp;sp=point.34.4168_41.0472_Al Rumanah Al Gharbiyah","Maplink3")</f>
        <v>Maplink3</v>
      </c>
      <c r="AX8" s="29"/>
    </row>
    <row r="9" spans="1:50" ht="15" customHeight="1" x14ac:dyDescent="0.25">
      <c r="A9" s="21">
        <v>23796</v>
      </c>
      <c r="B9" s="22" t="s">
        <v>9</v>
      </c>
      <c r="C9" s="22" t="s">
        <v>70</v>
      </c>
      <c r="D9" s="22" t="s">
        <v>85</v>
      </c>
      <c r="E9" s="22" t="s">
        <v>86</v>
      </c>
      <c r="F9" s="22">
        <v>34.398681000000003</v>
      </c>
      <c r="G9" s="22">
        <v>41.098951</v>
      </c>
      <c r="H9" s="21" t="s">
        <v>73</v>
      </c>
      <c r="I9" s="21" t="s">
        <v>74</v>
      </c>
      <c r="J9" s="21" t="s">
        <v>87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14" t="str">
        <f>HYPERLINK("http://www.openstreetmap.org/?mlat=34.3987&amp;mlon=41.099&amp;zoom=12#map=12/34.3987/41.099","Maplink1")</f>
        <v>Maplink1</v>
      </c>
      <c r="AV9" s="14" t="str">
        <f>HYPERLINK("https://www.google.iq/maps/search/+34.3987,41.099/@34.3987,41.099,14z?hl=en","Maplink2")</f>
        <v>Maplink2</v>
      </c>
      <c r="AW9" s="14" t="str">
        <f>HYPERLINK("http://www.bing.com/maps/?lvl=14&amp;sty=h&amp;cp=34.3987~41.099&amp;sp=point.34.3987_41.099_Al Rumanah Al Sharqiyah","Maplink3")</f>
        <v>Maplink3</v>
      </c>
      <c r="AX9" s="29"/>
    </row>
    <row r="10" spans="1:50" ht="15" customHeight="1" x14ac:dyDescent="0.25">
      <c r="A10" s="21">
        <v>90</v>
      </c>
      <c r="B10" s="22" t="s">
        <v>9</v>
      </c>
      <c r="C10" s="22" t="s">
        <v>70</v>
      </c>
      <c r="D10" s="22" t="s">
        <v>88</v>
      </c>
      <c r="E10" s="22" t="s">
        <v>8140</v>
      </c>
      <c r="F10" s="22">
        <v>34.433343999999998</v>
      </c>
      <c r="G10" s="22">
        <v>41.225391999999999</v>
      </c>
      <c r="H10" s="21" t="s">
        <v>73</v>
      </c>
      <c r="I10" s="21" t="s">
        <v>74</v>
      </c>
      <c r="J10" s="21" t="s">
        <v>89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14" t="str">
        <f>HYPERLINK("http://www.openstreetmap.org/?mlat=34.4333&amp;mlon=41.2254&amp;zoom=12#map=12/34.4333/41.2254","Maplink1")</f>
        <v>Maplink1</v>
      </c>
      <c r="AV10" s="14" t="str">
        <f>HYPERLINK("https://www.google.iq/maps/search/+34.4333,41.2254/@34.4333,41.2254,14z?hl=en","Maplink2")</f>
        <v>Maplink2</v>
      </c>
      <c r="AW10" s="14" t="str">
        <f>HYPERLINK("http://www.bing.com/maps/?lvl=14&amp;sty=h&amp;cp=34.4333~41.2254&amp;sp=point.34.4333_41.2254_Al Ubaydi-1","Maplink3")</f>
        <v>Maplink3</v>
      </c>
      <c r="AX10" s="29"/>
    </row>
    <row r="11" spans="1:50" ht="15" customHeight="1" x14ac:dyDescent="0.25">
      <c r="A11" s="21">
        <v>23797</v>
      </c>
      <c r="B11" s="22" t="s">
        <v>9</v>
      </c>
      <c r="C11" s="22" t="s">
        <v>70</v>
      </c>
      <c r="D11" s="22" t="s">
        <v>90</v>
      </c>
      <c r="E11" s="22" t="s">
        <v>91</v>
      </c>
      <c r="F11" s="22">
        <v>34.433782999999998</v>
      </c>
      <c r="G11" s="22">
        <v>41.234614999999998</v>
      </c>
      <c r="H11" s="21" t="s">
        <v>73</v>
      </c>
      <c r="I11" s="21" t="s">
        <v>74</v>
      </c>
      <c r="J11" s="21" t="s">
        <v>92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14" t="str">
        <f>HYPERLINK("http://www.openstreetmap.org/?mlat=34.4338&amp;mlon=41.2346&amp;zoom=12#map=12/34.4338/41.2346","Maplink1")</f>
        <v>Maplink1</v>
      </c>
      <c r="AV11" s="14" t="str">
        <f>HYPERLINK("https://www.google.iq/maps/search/+34.4338,41.2346/@34.4338,41.2346,14z?hl=en","Maplink2")</f>
        <v>Maplink2</v>
      </c>
      <c r="AW11" s="14" t="str">
        <f>HYPERLINK("http://www.bing.com/maps/?lvl=14&amp;sty=h&amp;cp=34.4338~41.2346&amp;sp=point.34.4338_41.2346_Al Ubaydi-2","Maplink3")</f>
        <v>Maplink3</v>
      </c>
      <c r="AX11" s="29"/>
    </row>
    <row r="12" spans="1:50" ht="15" customHeight="1" x14ac:dyDescent="0.25">
      <c r="A12" s="21">
        <v>164</v>
      </c>
      <c r="B12" s="22" t="s">
        <v>9</v>
      </c>
      <c r="C12" s="22" t="s">
        <v>70</v>
      </c>
      <c r="D12" s="22" t="s">
        <v>93</v>
      </c>
      <c r="E12" s="22" t="s">
        <v>8141</v>
      </c>
      <c r="F12" s="22">
        <v>34.437885000000001</v>
      </c>
      <c r="G12" s="22">
        <v>41.232835000000001</v>
      </c>
      <c r="H12" s="21" t="s">
        <v>73</v>
      </c>
      <c r="I12" s="21" t="s">
        <v>74</v>
      </c>
      <c r="J12" s="21" t="s">
        <v>94</v>
      </c>
      <c r="K12" s="24">
        <v>164</v>
      </c>
      <c r="L12" s="24">
        <v>984</v>
      </c>
      <c r="M12" s="23">
        <v>164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41</v>
      </c>
      <c r="AG12" s="23"/>
      <c r="AH12" s="23">
        <v>23</v>
      </c>
      <c r="AI12" s="23"/>
      <c r="AJ12" s="23"/>
      <c r="AK12" s="23">
        <v>70</v>
      </c>
      <c r="AL12" s="23">
        <v>30</v>
      </c>
      <c r="AM12" s="23"/>
      <c r="AN12" s="23"/>
      <c r="AO12" s="23">
        <v>164</v>
      </c>
      <c r="AP12" s="23"/>
      <c r="AQ12" s="23"/>
      <c r="AR12" s="23"/>
      <c r="AS12" s="23"/>
      <c r="AT12" s="23"/>
      <c r="AU12" s="14" t="str">
        <f>HYPERLINK("http://www.openstreetmap.org/?mlat=34.4379&amp;mlon=41.2328&amp;zoom=12#map=12/34.4379/41.2328","Maplink1")</f>
        <v>Maplink1</v>
      </c>
      <c r="AV12" s="14" t="str">
        <f>HYPERLINK("https://www.google.iq/maps/search/+34.4379,41.2328/@34.4379,41.2328,14z?hl=en","Maplink2")</f>
        <v>Maplink2</v>
      </c>
      <c r="AW12" s="14" t="str">
        <f>HYPERLINK("http://www.bing.com/maps/?lvl=14&amp;sty=h&amp;cp=34.4379~41.2328&amp;sp=point.34.4379_41.2328_Al Ubaydi-3","Maplink3")</f>
        <v>Maplink3</v>
      </c>
      <c r="AX12" s="29"/>
    </row>
    <row r="13" spans="1:50" ht="15" customHeight="1" x14ac:dyDescent="0.25">
      <c r="A13" s="21">
        <v>23798</v>
      </c>
      <c r="B13" s="22" t="s">
        <v>9</v>
      </c>
      <c r="C13" s="22" t="s">
        <v>70</v>
      </c>
      <c r="D13" s="22" t="s">
        <v>95</v>
      </c>
      <c r="E13" s="22" t="s">
        <v>96</v>
      </c>
      <c r="F13" s="22">
        <v>34.261988000000002</v>
      </c>
      <c r="G13" s="22">
        <v>41.221688</v>
      </c>
      <c r="H13" s="21" t="s">
        <v>73</v>
      </c>
      <c r="I13" s="21" t="s">
        <v>74</v>
      </c>
      <c r="J13" s="21" t="s">
        <v>97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14" t="str">
        <f>HYPERLINK("http://www.openstreetmap.org/?mlat=34.262&amp;mlon=41.2217&amp;zoom=12#map=12/34.262/41.2217","Maplink1")</f>
        <v>Maplink1</v>
      </c>
      <c r="AV13" s="14" t="str">
        <f>HYPERLINK("https://www.google.iq/maps/search/+34.262,41.2217/@34.262,41.2217,14z?hl=en","Maplink2")</f>
        <v>Maplink2</v>
      </c>
      <c r="AW13" s="14" t="str">
        <f>HYPERLINK("http://www.bing.com/maps/?lvl=14&amp;sty=h&amp;cp=34.262~41.2217&amp;sp=point.34.262_41.2217_Al Ubaydi-Smnt","Maplink3")</f>
        <v>Maplink3</v>
      </c>
      <c r="AX13" s="29"/>
    </row>
    <row r="14" spans="1:50" ht="15" customHeight="1" x14ac:dyDescent="0.25">
      <c r="A14" s="21">
        <v>21477</v>
      </c>
      <c r="B14" s="22" t="s">
        <v>9</v>
      </c>
      <c r="C14" s="22" t="s">
        <v>70</v>
      </c>
      <c r="D14" s="22" t="s">
        <v>98</v>
      </c>
      <c r="E14" s="22" t="s">
        <v>99</v>
      </c>
      <c r="F14" s="22">
        <v>34.421179000000002</v>
      </c>
      <c r="G14" s="22">
        <v>41.455565999999997</v>
      </c>
      <c r="H14" s="21" t="s">
        <v>73</v>
      </c>
      <c r="I14" s="21" t="s">
        <v>74</v>
      </c>
      <c r="J14" s="21" t="s">
        <v>100</v>
      </c>
      <c r="K14" s="24">
        <v>65</v>
      </c>
      <c r="L14" s="24">
        <v>390</v>
      </c>
      <c r="M14" s="23">
        <v>65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46</v>
      </c>
      <c r="AG14" s="23"/>
      <c r="AH14" s="23">
        <v>8</v>
      </c>
      <c r="AI14" s="23"/>
      <c r="AJ14" s="23"/>
      <c r="AK14" s="23"/>
      <c r="AL14" s="23"/>
      <c r="AM14" s="23">
        <v>11</v>
      </c>
      <c r="AN14" s="23"/>
      <c r="AO14" s="23">
        <v>65</v>
      </c>
      <c r="AP14" s="23"/>
      <c r="AQ14" s="23"/>
      <c r="AR14" s="23"/>
      <c r="AS14" s="23"/>
      <c r="AT14" s="23"/>
      <c r="AU14" s="14" t="str">
        <f>HYPERLINK("http://www.openstreetmap.org/?mlat=34.4212&amp;mlon=41.4556&amp;zoom=12#map=12/34.4212/41.4556","Maplink1")</f>
        <v>Maplink1</v>
      </c>
      <c r="AV14" s="14" t="str">
        <f>HYPERLINK("https://www.google.iq/maps/search/+34.4212,41.4556/@34.4212,41.4556,14z?hl=en","Maplink2")</f>
        <v>Maplink2</v>
      </c>
      <c r="AW14" s="14" t="str">
        <f>HYPERLINK("http://www.bing.com/maps/?lvl=14&amp;sty=h&amp;cp=34.4212~41.4556&amp;sp=point.34.4212_41.4556_Al Zalla","Maplink3")</f>
        <v>Maplink3</v>
      </c>
      <c r="AX14" s="29"/>
    </row>
    <row r="15" spans="1:50" ht="15" customHeight="1" x14ac:dyDescent="0.25">
      <c r="A15" s="21">
        <v>106</v>
      </c>
      <c r="B15" s="22" t="s">
        <v>9</v>
      </c>
      <c r="C15" s="22" t="s">
        <v>70</v>
      </c>
      <c r="D15" s="22" t="s">
        <v>101</v>
      </c>
      <c r="E15" s="22" t="s">
        <v>102</v>
      </c>
      <c r="F15" s="22">
        <v>34.382263999999999</v>
      </c>
      <c r="G15" s="22">
        <v>41.005730999999997</v>
      </c>
      <c r="H15" s="21" t="s">
        <v>73</v>
      </c>
      <c r="I15" s="21" t="s">
        <v>74</v>
      </c>
      <c r="J15" s="21" t="s">
        <v>103</v>
      </c>
      <c r="K15" s="24">
        <v>105</v>
      </c>
      <c r="L15" s="24">
        <v>630</v>
      </c>
      <c r="M15" s="23">
        <v>105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38</v>
      </c>
      <c r="AG15" s="23"/>
      <c r="AH15" s="23"/>
      <c r="AI15" s="23"/>
      <c r="AJ15" s="23"/>
      <c r="AK15" s="23">
        <v>51</v>
      </c>
      <c r="AL15" s="23"/>
      <c r="AM15" s="23">
        <v>16</v>
      </c>
      <c r="AN15" s="23"/>
      <c r="AO15" s="23"/>
      <c r="AP15" s="23">
        <v>95</v>
      </c>
      <c r="AQ15" s="23"/>
      <c r="AR15" s="23">
        <v>10</v>
      </c>
      <c r="AS15" s="23"/>
      <c r="AT15" s="23"/>
      <c r="AU15" s="14" t="str">
        <f>HYPERLINK("http://www.openstreetmap.org/?mlat=34.3823&amp;mlon=41.0057&amp;zoom=12#map=12/34.3823/41.0057","Maplink1")</f>
        <v>Maplink1</v>
      </c>
      <c r="AV15" s="14" t="str">
        <f>HYPERLINK("https://www.google.iq/maps/search/+34.3823,41.0057/@34.3823,41.0057,14z?hl=en","Maplink2")</f>
        <v>Maplink2</v>
      </c>
      <c r="AW15" s="14" t="str">
        <f>HYPERLINK("http://www.bing.com/maps/?lvl=14&amp;sty=h&amp;cp=34.3823~41.0057&amp;sp=point.34.3823_41.0057_Al-Amen","Maplink3")</f>
        <v>Maplink3</v>
      </c>
      <c r="AX15" s="29"/>
    </row>
    <row r="16" spans="1:50" ht="15" customHeight="1" x14ac:dyDescent="0.25">
      <c r="A16" s="21">
        <v>274</v>
      </c>
      <c r="B16" s="22" t="s">
        <v>9</v>
      </c>
      <c r="C16" s="22" t="s">
        <v>70</v>
      </c>
      <c r="D16" s="22" t="s">
        <v>104</v>
      </c>
      <c r="E16" s="22" t="s">
        <v>105</v>
      </c>
      <c r="F16" s="22">
        <v>34.423676999999998</v>
      </c>
      <c r="G16" s="22">
        <v>41.036414999999998</v>
      </c>
      <c r="H16" s="21" t="s">
        <v>73</v>
      </c>
      <c r="I16" s="21" t="s">
        <v>74</v>
      </c>
      <c r="J16" s="21" t="s">
        <v>106</v>
      </c>
      <c r="K16" s="24">
        <v>37</v>
      </c>
      <c r="L16" s="24">
        <v>222</v>
      </c>
      <c r="M16" s="23">
        <v>37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11</v>
      </c>
      <c r="AG16" s="23"/>
      <c r="AH16" s="23"/>
      <c r="AI16" s="23"/>
      <c r="AJ16" s="23"/>
      <c r="AK16" s="23">
        <v>26</v>
      </c>
      <c r="AL16" s="23"/>
      <c r="AM16" s="23"/>
      <c r="AN16" s="23"/>
      <c r="AO16" s="23"/>
      <c r="AP16" s="23">
        <v>37</v>
      </c>
      <c r="AQ16" s="23"/>
      <c r="AR16" s="23"/>
      <c r="AS16" s="23"/>
      <c r="AT16" s="23"/>
      <c r="AU16" s="14" t="str">
        <f>HYPERLINK("http://www.openstreetmap.org/?mlat=34.4237&amp;mlon=41.0364&amp;zoom=12#map=12/34.4237/41.0364","Maplink1")</f>
        <v>Maplink1</v>
      </c>
      <c r="AV16" s="14" t="str">
        <f>HYPERLINK("https://www.google.iq/maps/search/+34.4237,41.0364/@34.4237,41.0364,14z?hl=en","Maplink2")</f>
        <v>Maplink2</v>
      </c>
      <c r="AW16" s="14" t="str">
        <f>HYPERLINK("http://www.bing.com/maps/?lvl=14&amp;sty=h&amp;cp=34.4237~41.0364&amp;sp=point.34.4237_41.0364_Al-Rabet","Maplink3")</f>
        <v>Maplink3</v>
      </c>
    </row>
    <row r="17" spans="1:49" ht="15" customHeight="1" x14ac:dyDescent="0.25">
      <c r="A17" s="21">
        <v>273</v>
      </c>
      <c r="B17" s="22" t="s">
        <v>9</v>
      </c>
      <c r="C17" s="22" t="s">
        <v>70</v>
      </c>
      <c r="D17" s="22" t="s">
        <v>107</v>
      </c>
      <c r="E17" s="22" t="s">
        <v>108</v>
      </c>
      <c r="F17" s="22">
        <v>34.392952999999999</v>
      </c>
      <c r="G17" s="22">
        <v>41.078283999999996</v>
      </c>
      <c r="H17" s="21" t="s">
        <v>73</v>
      </c>
      <c r="I17" s="21" t="s">
        <v>74</v>
      </c>
      <c r="J17" s="21" t="s">
        <v>109</v>
      </c>
      <c r="K17" s="24">
        <v>5</v>
      </c>
      <c r="L17" s="24">
        <v>30</v>
      </c>
      <c r="M17" s="23">
        <v>5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</v>
      </c>
      <c r="AG17" s="23"/>
      <c r="AH17" s="23"/>
      <c r="AI17" s="23"/>
      <c r="AJ17" s="23"/>
      <c r="AK17" s="23"/>
      <c r="AL17" s="23"/>
      <c r="AM17" s="23"/>
      <c r="AN17" s="23"/>
      <c r="AO17" s="23">
        <v>5</v>
      </c>
      <c r="AP17" s="23"/>
      <c r="AQ17" s="23"/>
      <c r="AR17" s="23"/>
      <c r="AS17" s="23"/>
      <c r="AT17" s="23"/>
      <c r="AU17" s="14" t="str">
        <f>HYPERLINK("http://www.openstreetmap.org/?mlat=34.393&amp;mlon=41.0783&amp;zoom=12#map=12/34.393/41.0783","Maplink1")</f>
        <v>Maplink1</v>
      </c>
      <c r="AV17" s="14" t="str">
        <f>HYPERLINK("https://www.google.iq/maps/search/+34.393,41.0783/@34.393,41.0783,14z?hl=en","Maplink2")</f>
        <v>Maplink2</v>
      </c>
      <c r="AW17" s="14" t="str">
        <f>HYPERLINK("http://www.bing.com/maps/?lvl=14&amp;sty=h&amp;cp=34.393~41.0783&amp;sp=point.34.393_41.0783_Albu Hardan","Maplink3")</f>
        <v>Maplink3</v>
      </c>
    </row>
    <row r="18" spans="1:49" ht="15" customHeight="1" x14ac:dyDescent="0.25">
      <c r="A18" s="21">
        <v>275</v>
      </c>
      <c r="B18" s="22" t="s">
        <v>9</v>
      </c>
      <c r="C18" s="22" t="s">
        <v>70</v>
      </c>
      <c r="D18" s="22" t="s">
        <v>110</v>
      </c>
      <c r="E18" s="22" t="s">
        <v>111</v>
      </c>
      <c r="F18" s="22">
        <v>34.411641000000003</v>
      </c>
      <c r="G18" s="22">
        <v>41.050339000000001</v>
      </c>
      <c r="H18" s="21" t="s">
        <v>73</v>
      </c>
      <c r="I18" s="21" t="s">
        <v>74</v>
      </c>
      <c r="J18" s="21" t="s">
        <v>112</v>
      </c>
      <c r="K18" s="24">
        <v>27</v>
      </c>
      <c r="L18" s="24">
        <v>162</v>
      </c>
      <c r="M18" s="23">
        <v>27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16</v>
      </c>
      <c r="AG18" s="23"/>
      <c r="AH18" s="23"/>
      <c r="AI18" s="23"/>
      <c r="AJ18" s="23"/>
      <c r="AK18" s="23">
        <v>11</v>
      </c>
      <c r="AL18" s="23"/>
      <c r="AM18" s="23"/>
      <c r="AN18" s="23"/>
      <c r="AO18" s="23">
        <v>27</v>
      </c>
      <c r="AP18" s="23"/>
      <c r="AQ18" s="23"/>
      <c r="AR18" s="23"/>
      <c r="AS18" s="23"/>
      <c r="AT18" s="23"/>
      <c r="AU18" s="14" t="str">
        <f>HYPERLINK("http://www.openstreetmap.org/?mlat=34.4116&amp;mlon=41.0503&amp;zoom=12#map=12/34.4116/41.0503","Maplink1")</f>
        <v>Maplink1</v>
      </c>
      <c r="AV18" s="14" t="str">
        <f>HYPERLINK("https://www.google.iq/maps/search/+34.4116,41.0503/@34.4116,41.0503,14z?hl=en","Maplink2")</f>
        <v>Maplink2</v>
      </c>
      <c r="AW18" s="14" t="str">
        <f>HYPERLINK("http://www.bing.com/maps/?lvl=14&amp;sty=h&amp;cp=34.4116~41.0503&amp;sp=point.34.4116_41.0503_Albu Ubaid","Maplink3")</f>
        <v>Maplink3</v>
      </c>
    </row>
    <row r="19" spans="1:49" ht="15" customHeight="1" x14ac:dyDescent="0.25">
      <c r="A19" s="21">
        <v>271</v>
      </c>
      <c r="B19" s="22" t="s">
        <v>9</v>
      </c>
      <c r="C19" s="22" t="s">
        <v>70</v>
      </c>
      <c r="D19" s="22" t="s">
        <v>113</v>
      </c>
      <c r="E19" s="22" t="s">
        <v>114</v>
      </c>
      <c r="F19" s="22">
        <v>34.388793999999997</v>
      </c>
      <c r="G19" s="22">
        <v>40.973571999999997</v>
      </c>
      <c r="H19" s="21" t="s">
        <v>73</v>
      </c>
      <c r="I19" s="21" t="s">
        <v>74</v>
      </c>
      <c r="J19" s="21" t="s">
        <v>115</v>
      </c>
      <c r="K19" s="24">
        <v>72</v>
      </c>
      <c r="L19" s="24">
        <v>432</v>
      </c>
      <c r="M19" s="23">
        <v>72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32</v>
      </c>
      <c r="AG19" s="23"/>
      <c r="AH19" s="23"/>
      <c r="AI19" s="23"/>
      <c r="AJ19" s="23"/>
      <c r="AK19" s="23">
        <v>40</v>
      </c>
      <c r="AL19" s="23"/>
      <c r="AM19" s="23"/>
      <c r="AN19" s="23"/>
      <c r="AO19" s="23"/>
      <c r="AP19" s="23">
        <v>62</v>
      </c>
      <c r="AQ19" s="23"/>
      <c r="AR19" s="23">
        <v>10</v>
      </c>
      <c r="AS19" s="23"/>
      <c r="AT19" s="23"/>
      <c r="AU19" s="14" t="str">
        <f>HYPERLINK("http://www.openstreetmap.org/?mlat=34.3888&amp;mlon=40.9736&amp;zoom=12#map=12/34.3888/40.9736","Maplink1")</f>
        <v>Maplink1</v>
      </c>
      <c r="AV19" s="14" t="str">
        <f>HYPERLINK("https://www.google.iq/maps/search/+34.3888,40.9736/@34.3888,40.9736,14z?hl=en","Maplink2")</f>
        <v>Maplink2</v>
      </c>
      <c r="AW19" s="14" t="str">
        <f>HYPERLINK("http://www.bing.com/maps/?lvl=14&amp;sty=h&amp;cp=34.3888~40.9736&amp;sp=point.34.3888_40.9736_Door Al-Sikak","Maplink3")</f>
        <v>Maplink3</v>
      </c>
    </row>
    <row r="20" spans="1:49" ht="15" customHeight="1" x14ac:dyDescent="0.25">
      <c r="A20" s="21">
        <v>272</v>
      </c>
      <c r="B20" s="22" t="s">
        <v>9</v>
      </c>
      <c r="C20" s="22" t="s">
        <v>70</v>
      </c>
      <c r="D20" s="22" t="s">
        <v>116</v>
      </c>
      <c r="E20" s="22" t="s">
        <v>117</v>
      </c>
      <c r="F20" s="22">
        <v>34.392991000000002</v>
      </c>
      <c r="G20" s="22">
        <v>40.981133999999997</v>
      </c>
      <c r="H20" s="21" t="s">
        <v>73</v>
      </c>
      <c r="I20" s="21" t="s">
        <v>74</v>
      </c>
      <c r="J20" s="21" t="s">
        <v>118</v>
      </c>
      <c r="K20" s="24">
        <v>119</v>
      </c>
      <c r="L20" s="24">
        <v>714</v>
      </c>
      <c r="M20" s="23">
        <v>109</v>
      </c>
      <c r="N20" s="23"/>
      <c r="O20" s="23">
        <v>10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81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103</v>
      </c>
      <c r="AP20" s="23">
        <v>10</v>
      </c>
      <c r="AQ20" s="23"/>
      <c r="AR20" s="23">
        <v>6</v>
      </c>
      <c r="AS20" s="23"/>
      <c r="AT20" s="23"/>
      <c r="AU20" s="14" t="str">
        <f>HYPERLINK("http://www.openstreetmap.org/?mlat=34.393&amp;mlon=40.9811&amp;zoom=12#map=12/34.393/40.9811","Maplink1")</f>
        <v>Maplink1</v>
      </c>
      <c r="AV20" s="14" t="str">
        <f>HYPERLINK("https://www.google.iq/maps/search/+34.393,40.9811/@34.393,40.9811,14z?hl=en","Maplink2")</f>
        <v>Maplink2</v>
      </c>
      <c r="AW20" s="14" t="str">
        <f>HYPERLINK("http://www.bing.com/maps/?lvl=14&amp;sty=h&amp;cp=34.393~40.9811&amp;sp=point.34.393_40.9811_Hay 12 Rabee Alawal","Maplink3")</f>
        <v>Maplink3</v>
      </c>
    </row>
    <row r="21" spans="1:49" ht="15" customHeight="1" x14ac:dyDescent="0.25">
      <c r="A21" s="21">
        <v>23793</v>
      </c>
      <c r="B21" s="22" t="s">
        <v>9</v>
      </c>
      <c r="C21" s="22" t="s">
        <v>70</v>
      </c>
      <c r="D21" s="22" t="s">
        <v>119</v>
      </c>
      <c r="E21" s="22" t="s">
        <v>120</v>
      </c>
      <c r="F21" s="22">
        <v>34.384689999999999</v>
      </c>
      <c r="G21" s="22">
        <v>41.031804000000001</v>
      </c>
      <c r="H21" s="21" t="s">
        <v>73</v>
      </c>
      <c r="I21" s="21" t="s">
        <v>74</v>
      </c>
      <c r="J21" s="21" t="s">
        <v>121</v>
      </c>
      <c r="K21" s="24">
        <v>33</v>
      </c>
      <c r="L21" s="24">
        <v>198</v>
      </c>
      <c r="M21" s="23">
        <v>33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17</v>
      </c>
      <c r="AL21" s="23"/>
      <c r="AM21" s="23"/>
      <c r="AN21" s="23"/>
      <c r="AO21" s="23">
        <v>28</v>
      </c>
      <c r="AP21" s="23"/>
      <c r="AQ21" s="23"/>
      <c r="AR21" s="23">
        <v>5</v>
      </c>
      <c r="AS21" s="23"/>
      <c r="AT21" s="23"/>
      <c r="AU21" s="14" t="str">
        <f>HYPERLINK("http://www.openstreetmap.org/?mlat=34.3847&amp;mlon=41.0318&amp;zoom=12#map=12/34.3847/41.0318","Maplink1")</f>
        <v>Maplink1</v>
      </c>
      <c r="AV21" s="14" t="str">
        <f>HYPERLINK("https://www.google.iq/maps/search/+34.3847,41.0318/@34.3847,41.0318,14z?hl=en","Maplink2")</f>
        <v>Maplink2</v>
      </c>
      <c r="AW21" s="14" t="str">
        <f>HYPERLINK("http://www.bing.com/maps/?lvl=14&amp;sty=h&amp;cp=34.3847~41.0318&amp;sp=point.34.3847_41.0318_Hay Al Askary","Maplink3")</f>
        <v>Maplink3</v>
      </c>
    </row>
    <row r="22" spans="1:49" ht="15" customHeight="1" x14ac:dyDescent="0.25">
      <c r="A22" s="21">
        <v>23788</v>
      </c>
      <c r="B22" s="22" t="s">
        <v>9</v>
      </c>
      <c r="C22" s="22" t="s">
        <v>70</v>
      </c>
      <c r="D22" s="22" t="s">
        <v>122</v>
      </c>
      <c r="E22" s="22" t="s">
        <v>123</v>
      </c>
      <c r="F22" s="22">
        <v>34.392969000000001</v>
      </c>
      <c r="G22" s="22">
        <v>40.984309000000003</v>
      </c>
      <c r="H22" s="21" t="s">
        <v>73</v>
      </c>
      <c r="I22" s="21" t="s">
        <v>74</v>
      </c>
      <c r="J22" s="21" t="s">
        <v>124</v>
      </c>
      <c r="K22" s="24">
        <v>85</v>
      </c>
      <c r="L22" s="24">
        <v>510</v>
      </c>
      <c r="M22" s="23">
        <v>85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47</v>
      </c>
      <c r="AG22" s="23"/>
      <c r="AH22" s="23"/>
      <c r="AI22" s="23"/>
      <c r="AJ22" s="23"/>
      <c r="AK22" s="23">
        <v>38</v>
      </c>
      <c r="AL22" s="23"/>
      <c r="AM22" s="23"/>
      <c r="AN22" s="23"/>
      <c r="AO22" s="23">
        <v>77</v>
      </c>
      <c r="AP22" s="23"/>
      <c r="AQ22" s="23"/>
      <c r="AR22" s="23">
        <v>8</v>
      </c>
      <c r="AS22" s="23"/>
      <c r="AT22" s="23"/>
      <c r="AU22" s="14" t="str">
        <f>HYPERLINK("http://www.openstreetmap.org/?mlat=34.393&amp;mlon=40.9843&amp;zoom=12#map=12/34.393/40.9843","Maplink1")</f>
        <v>Maplink1</v>
      </c>
      <c r="AV22" s="14" t="str">
        <f>HYPERLINK("https://www.google.iq/maps/search/+34.393,40.9843/@34.393,40.9843,14z?hl=en","Maplink2")</f>
        <v>Maplink2</v>
      </c>
      <c r="AW22" s="14" t="str">
        <f>HYPERLINK("http://www.bing.com/maps/?lvl=14&amp;sty=h&amp;cp=34.393~40.9843&amp;sp=point.34.393_40.9843_Hay Al Rashid","Maplink3")</f>
        <v>Maplink3</v>
      </c>
    </row>
    <row r="23" spans="1:49" ht="15" customHeight="1" x14ac:dyDescent="0.25">
      <c r="A23" s="21">
        <v>23787</v>
      </c>
      <c r="B23" s="22" t="s">
        <v>9</v>
      </c>
      <c r="C23" s="22" t="s">
        <v>70</v>
      </c>
      <c r="D23" s="22" t="s">
        <v>125</v>
      </c>
      <c r="E23" s="22" t="s">
        <v>126</v>
      </c>
      <c r="F23" s="22">
        <v>34.394981000000001</v>
      </c>
      <c r="G23" s="22">
        <v>40.988816</v>
      </c>
      <c r="H23" s="21" t="s">
        <v>73</v>
      </c>
      <c r="I23" s="21" t="s">
        <v>74</v>
      </c>
      <c r="J23" s="21" t="s">
        <v>127</v>
      </c>
      <c r="K23" s="24">
        <v>77</v>
      </c>
      <c r="L23" s="24">
        <v>462</v>
      </c>
      <c r="M23" s="23">
        <v>77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52</v>
      </c>
      <c r="AG23" s="23"/>
      <c r="AH23" s="23"/>
      <c r="AI23" s="23"/>
      <c r="AJ23" s="23"/>
      <c r="AK23" s="23">
        <v>25</v>
      </c>
      <c r="AL23" s="23"/>
      <c r="AM23" s="23"/>
      <c r="AN23" s="23"/>
      <c r="AO23" s="23">
        <v>77</v>
      </c>
      <c r="AP23" s="23"/>
      <c r="AQ23" s="23"/>
      <c r="AR23" s="23"/>
      <c r="AS23" s="23"/>
      <c r="AT23" s="23"/>
      <c r="AU23" s="14" t="str">
        <f>HYPERLINK("http://www.openstreetmap.org/?mlat=34.395&amp;mlon=40.9888&amp;zoom=12#map=12/34.395/40.9888","Maplink1")</f>
        <v>Maplink1</v>
      </c>
      <c r="AV23" s="14" t="str">
        <f>HYPERLINK("https://www.google.iq/maps/search/+34.395,40.9888/@34.395,40.9888,14z?hl=en","Maplink2")</f>
        <v>Maplink2</v>
      </c>
      <c r="AW23" s="14" t="str">
        <f>HYPERLINK("http://www.bing.com/maps/?lvl=14&amp;sty=h&amp;cp=34.395~40.9888&amp;sp=point.34.395_40.9888_Hay Al Sham","Maplink3")</f>
        <v>Maplink3</v>
      </c>
    </row>
    <row r="24" spans="1:49" ht="15" customHeight="1" x14ac:dyDescent="0.25">
      <c r="A24" s="21">
        <v>23790</v>
      </c>
      <c r="B24" s="22" t="s">
        <v>9</v>
      </c>
      <c r="C24" s="22" t="s">
        <v>70</v>
      </c>
      <c r="D24" s="22" t="s">
        <v>128</v>
      </c>
      <c r="E24" s="22" t="s">
        <v>129</v>
      </c>
      <c r="F24" s="22">
        <v>34.374747999999997</v>
      </c>
      <c r="G24" s="22">
        <v>41.062559</v>
      </c>
      <c r="H24" s="21" t="s">
        <v>73</v>
      </c>
      <c r="I24" s="21" t="s">
        <v>74</v>
      </c>
      <c r="J24" s="21" t="s">
        <v>130</v>
      </c>
      <c r="K24" s="24">
        <v>106</v>
      </c>
      <c r="L24" s="24">
        <v>636</v>
      </c>
      <c r="M24" s="23">
        <v>106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47</v>
      </c>
      <c r="AG24" s="23"/>
      <c r="AH24" s="23"/>
      <c r="AI24" s="23"/>
      <c r="AJ24" s="23"/>
      <c r="AK24" s="23">
        <v>59</v>
      </c>
      <c r="AL24" s="23"/>
      <c r="AM24" s="23"/>
      <c r="AN24" s="23"/>
      <c r="AO24" s="23"/>
      <c r="AP24" s="23">
        <v>99</v>
      </c>
      <c r="AQ24" s="23"/>
      <c r="AR24" s="23">
        <v>7</v>
      </c>
      <c r="AS24" s="23"/>
      <c r="AT24" s="23"/>
      <c r="AU24" s="14" t="str">
        <f>HYPERLINK("http://www.openstreetmap.org/?mlat=34.3747&amp;mlon=41.0626&amp;zoom=12#map=12/34.3747/41.0626","Maplink1")</f>
        <v>Maplink1</v>
      </c>
      <c r="AV24" s="14" t="str">
        <f>HYPERLINK("https://www.google.iq/maps/search/+34.3747,41.0626/@34.3747,41.0626,14z?hl=en","Maplink2")</f>
        <v>Maplink2</v>
      </c>
      <c r="AW24" s="14" t="str">
        <f>HYPERLINK("http://www.bing.com/maps/?lvl=14&amp;sty=h&amp;cp=34.3747~41.0626&amp;sp=point.34.3747_41.0626_Hay Al Shuhadaa","Maplink3")</f>
        <v>Maplink3</v>
      </c>
    </row>
    <row r="25" spans="1:49" ht="15" customHeight="1" x14ac:dyDescent="0.25">
      <c r="A25" s="21">
        <v>23794</v>
      </c>
      <c r="B25" s="22" t="s">
        <v>9</v>
      </c>
      <c r="C25" s="22" t="s">
        <v>70</v>
      </c>
      <c r="D25" s="22" t="s">
        <v>131</v>
      </c>
      <c r="E25" s="22" t="s">
        <v>132</v>
      </c>
      <c r="F25" s="22">
        <v>34.380502999999997</v>
      </c>
      <c r="G25" s="22">
        <v>41.035055999999997</v>
      </c>
      <c r="H25" s="21" t="s">
        <v>73</v>
      </c>
      <c r="I25" s="21" t="s">
        <v>74</v>
      </c>
      <c r="J25" s="21" t="s">
        <v>133</v>
      </c>
      <c r="K25" s="24">
        <v>74</v>
      </c>
      <c r="L25" s="24">
        <v>444</v>
      </c>
      <c r="M25" s="23">
        <v>74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45</v>
      </c>
      <c r="AL25" s="23"/>
      <c r="AM25" s="23"/>
      <c r="AN25" s="23"/>
      <c r="AO25" s="23">
        <v>69</v>
      </c>
      <c r="AP25" s="23"/>
      <c r="AQ25" s="23"/>
      <c r="AR25" s="23">
        <v>5</v>
      </c>
      <c r="AS25" s="23"/>
      <c r="AT25" s="23"/>
      <c r="AU25" s="14" t="str">
        <f>HYPERLINK("http://www.openstreetmap.org/?mlat=34.3805&amp;mlon=41.0351&amp;zoom=12#map=12/34.3805/41.0351","Maplink1")</f>
        <v>Maplink1</v>
      </c>
      <c r="AV25" s="14" t="str">
        <f>HYPERLINK("https://www.google.iq/maps/search/+34.3805,41.0351/@34.3805,41.0351,14z?hl=en","Maplink2")</f>
        <v>Maplink2</v>
      </c>
      <c r="AW25" s="14" t="str">
        <f>HYPERLINK("http://www.bing.com/maps/?lvl=14&amp;sty=h&amp;cp=34.3805~41.0351&amp;sp=point.34.3805_41.0351_Hay Al Sinay","Maplink3")</f>
        <v>Maplink3</v>
      </c>
    </row>
    <row r="26" spans="1:49" ht="15" customHeight="1" x14ac:dyDescent="0.25">
      <c r="A26" s="21">
        <v>276</v>
      </c>
      <c r="B26" s="22" t="s">
        <v>9</v>
      </c>
      <c r="C26" s="22" t="s">
        <v>70</v>
      </c>
      <c r="D26" s="22" t="s">
        <v>134</v>
      </c>
      <c r="E26" s="22" t="s">
        <v>135</v>
      </c>
      <c r="F26" s="22">
        <v>34.390970000000003</v>
      </c>
      <c r="G26" s="22">
        <v>40.989699999999999</v>
      </c>
      <c r="H26" s="21" t="s">
        <v>73</v>
      </c>
      <c r="I26" s="21" t="s">
        <v>74</v>
      </c>
      <c r="J26" s="21" t="s">
        <v>136</v>
      </c>
      <c r="K26" s="24">
        <v>153</v>
      </c>
      <c r="L26" s="24">
        <v>918</v>
      </c>
      <c r="M26" s="23">
        <v>153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102</v>
      </c>
      <c r="AG26" s="23"/>
      <c r="AH26" s="23"/>
      <c r="AI26" s="23"/>
      <c r="AJ26" s="23"/>
      <c r="AK26" s="23">
        <v>51</v>
      </c>
      <c r="AL26" s="23"/>
      <c r="AM26" s="23"/>
      <c r="AN26" s="23"/>
      <c r="AO26" s="23"/>
      <c r="AP26" s="23">
        <v>100</v>
      </c>
      <c r="AQ26" s="23"/>
      <c r="AR26" s="23">
        <v>53</v>
      </c>
      <c r="AS26" s="23"/>
      <c r="AT26" s="23"/>
      <c r="AU26" s="14" t="str">
        <f>HYPERLINK("http://www.openstreetmap.org/?mlat=34.391&amp;mlon=40.9897&amp;zoom=12#map=12/34.391/40.9897","Maplink1")</f>
        <v>Maplink1</v>
      </c>
      <c r="AV26" s="14" t="str">
        <f>HYPERLINK("https://www.google.iq/maps/search/+34.391,40.9897/@34.391,40.9897,14z?hl=en","Maplink2")</f>
        <v>Maplink2</v>
      </c>
      <c r="AW26" s="14" t="str">
        <f>HYPERLINK("http://www.bing.com/maps/?lvl=14&amp;sty=h&amp;cp=34.391~40.9897&amp;sp=point.34.391_40.9897_Hay Al-Andalus","Maplink3")</f>
        <v>Maplink3</v>
      </c>
    </row>
    <row r="27" spans="1:49" ht="15" customHeight="1" x14ac:dyDescent="0.25">
      <c r="A27" s="21">
        <v>286</v>
      </c>
      <c r="B27" s="22" t="s">
        <v>9</v>
      </c>
      <c r="C27" s="22" t="s">
        <v>70</v>
      </c>
      <c r="D27" s="22" t="s">
        <v>137</v>
      </c>
      <c r="E27" s="22" t="s">
        <v>138</v>
      </c>
      <c r="F27" s="22">
        <v>34.377071000000001</v>
      </c>
      <c r="G27" s="22">
        <v>41.066633000000003</v>
      </c>
      <c r="H27" s="21" t="s">
        <v>73</v>
      </c>
      <c r="I27" s="21" t="s">
        <v>74</v>
      </c>
      <c r="J27" s="21" t="s">
        <v>139</v>
      </c>
      <c r="K27" s="24">
        <v>55</v>
      </c>
      <c r="L27" s="24">
        <v>330</v>
      </c>
      <c r="M27" s="23">
        <v>55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26</v>
      </c>
      <c r="AG27" s="23"/>
      <c r="AH27" s="23"/>
      <c r="AI27" s="23"/>
      <c r="AJ27" s="23"/>
      <c r="AK27" s="23">
        <v>29</v>
      </c>
      <c r="AL27" s="23"/>
      <c r="AM27" s="23"/>
      <c r="AN27" s="23"/>
      <c r="AO27" s="23">
        <v>50</v>
      </c>
      <c r="AP27" s="23"/>
      <c r="AQ27" s="23"/>
      <c r="AR27" s="23">
        <v>5</v>
      </c>
      <c r="AS27" s="23"/>
      <c r="AT27" s="23"/>
      <c r="AU27" s="14" t="str">
        <f>HYPERLINK("http://www.openstreetmap.org/?mlat=34.3771&amp;mlon=41.0666&amp;zoom=12#map=12/34.3771/41.0666","Maplink1")</f>
        <v>Maplink1</v>
      </c>
      <c r="AV27" s="14" t="str">
        <f>HYPERLINK("https://www.google.iq/maps/search/+34.3771,41.0666/@34.3771,41.0666,14z?hl=en","Maplink2")</f>
        <v>Maplink2</v>
      </c>
      <c r="AW27" s="14" t="str">
        <f>HYPERLINK("http://www.bing.com/maps/?lvl=14&amp;sty=h&amp;cp=34.3771~41.0666&amp;sp=point.34.3771_41.0666_Hay Al-Athar","Maplink3")</f>
        <v>Maplink3</v>
      </c>
    </row>
    <row r="28" spans="1:49" ht="15" customHeight="1" x14ac:dyDescent="0.25">
      <c r="A28" s="21">
        <v>279</v>
      </c>
      <c r="B28" s="22" t="s">
        <v>9</v>
      </c>
      <c r="C28" s="22" t="s">
        <v>70</v>
      </c>
      <c r="D28" s="22" t="s">
        <v>140</v>
      </c>
      <c r="E28" s="22" t="s">
        <v>141</v>
      </c>
      <c r="F28" s="22">
        <v>34.396211999999998</v>
      </c>
      <c r="G28" s="22">
        <v>41.002968000000003</v>
      </c>
      <c r="H28" s="21" t="s">
        <v>73</v>
      </c>
      <c r="I28" s="21" t="s">
        <v>74</v>
      </c>
      <c r="J28" s="21" t="s">
        <v>142</v>
      </c>
      <c r="K28" s="24">
        <v>61</v>
      </c>
      <c r="L28" s="24">
        <v>366</v>
      </c>
      <c r="M28" s="23">
        <v>61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29</v>
      </c>
      <c r="AG28" s="23"/>
      <c r="AH28" s="23"/>
      <c r="AI28" s="23"/>
      <c r="AJ28" s="23"/>
      <c r="AK28" s="23">
        <v>32</v>
      </c>
      <c r="AL28" s="23"/>
      <c r="AM28" s="23"/>
      <c r="AN28" s="23"/>
      <c r="AO28" s="23">
        <v>54</v>
      </c>
      <c r="AP28" s="23"/>
      <c r="AQ28" s="23"/>
      <c r="AR28" s="23">
        <v>7</v>
      </c>
      <c r="AS28" s="23"/>
      <c r="AT28" s="23"/>
      <c r="AU28" s="14" t="str">
        <f>HYPERLINK("http://www.openstreetmap.org/?mlat=34.3962&amp;mlon=41.003&amp;zoom=12#map=12/34.3962/41.003","Maplink1")</f>
        <v>Maplink1</v>
      </c>
      <c r="AV28" s="14" t="str">
        <f>HYPERLINK("https://www.google.iq/maps/search/+34.3962,41.003/@34.3962,41.003,14z?hl=en","Maplink2")</f>
        <v>Maplink2</v>
      </c>
      <c r="AW28" s="14" t="str">
        <f>HYPERLINK("http://www.bing.com/maps/?lvl=14&amp;sty=h&amp;cp=34.3962~41.003&amp;sp=point.34.3962_41.003_Hay Al-Farooq","Maplink3")</f>
        <v>Maplink3</v>
      </c>
    </row>
    <row r="29" spans="1:49" ht="15" customHeight="1" x14ac:dyDescent="0.25">
      <c r="A29" s="21">
        <v>277</v>
      </c>
      <c r="B29" s="22" t="s">
        <v>9</v>
      </c>
      <c r="C29" s="22" t="s">
        <v>70</v>
      </c>
      <c r="D29" s="22" t="s">
        <v>143</v>
      </c>
      <c r="E29" s="22" t="s">
        <v>144</v>
      </c>
      <c r="F29" s="22">
        <v>34.392414000000002</v>
      </c>
      <c r="G29" s="22">
        <v>41.004367999999999</v>
      </c>
      <c r="H29" s="21" t="s">
        <v>73</v>
      </c>
      <c r="I29" s="21" t="s">
        <v>74</v>
      </c>
      <c r="J29" s="21" t="s">
        <v>145</v>
      </c>
      <c r="K29" s="24">
        <v>111</v>
      </c>
      <c r="L29" s="24">
        <v>666</v>
      </c>
      <c r="M29" s="23">
        <v>111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50</v>
      </c>
      <c r="AG29" s="23"/>
      <c r="AH29" s="23"/>
      <c r="AI29" s="23"/>
      <c r="AJ29" s="23"/>
      <c r="AK29" s="23">
        <v>61</v>
      </c>
      <c r="AL29" s="23"/>
      <c r="AM29" s="23"/>
      <c r="AN29" s="23"/>
      <c r="AO29" s="23">
        <v>86</v>
      </c>
      <c r="AP29" s="23"/>
      <c r="AQ29" s="23"/>
      <c r="AR29" s="23">
        <v>25</v>
      </c>
      <c r="AS29" s="23"/>
      <c r="AT29" s="23"/>
      <c r="AU29" s="14" t="str">
        <f>HYPERLINK("http://www.openstreetmap.org/?mlat=34.3924&amp;mlon=41.0044&amp;zoom=12#map=12/34.3924/41.0044","Maplink1")</f>
        <v>Maplink1</v>
      </c>
      <c r="AV29" s="14" t="str">
        <f>HYPERLINK("https://www.google.iq/maps/search/+34.3924,41.0044/@34.3924,41.0044,14z?hl=en","Maplink2")</f>
        <v>Maplink2</v>
      </c>
      <c r="AW29" s="14" t="str">
        <f>HYPERLINK("http://www.bing.com/maps/?lvl=14&amp;sty=h&amp;cp=34.3924~41.0044&amp;sp=point.34.3924_41.0044_Hay Al-Maamon","Maplink3")</f>
        <v>Maplink3</v>
      </c>
    </row>
    <row r="30" spans="1:49" ht="15" customHeight="1" x14ac:dyDescent="0.25">
      <c r="A30" s="21">
        <v>287</v>
      </c>
      <c r="B30" s="22" t="s">
        <v>9</v>
      </c>
      <c r="C30" s="22" t="s">
        <v>70</v>
      </c>
      <c r="D30" s="22" t="s">
        <v>146</v>
      </c>
      <c r="E30" s="22" t="s">
        <v>147</v>
      </c>
      <c r="F30" s="22">
        <v>34.383073000000003</v>
      </c>
      <c r="G30" s="22">
        <v>41.028503999999998</v>
      </c>
      <c r="H30" s="21" t="s">
        <v>73</v>
      </c>
      <c r="I30" s="21" t="s">
        <v>74</v>
      </c>
      <c r="J30" s="21" t="s">
        <v>148</v>
      </c>
      <c r="K30" s="24">
        <v>56</v>
      </c>
      <c r="L30" s="24">
        <v>336</v>
      </c>
      <c r="M30" s="23">
        <v>56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31</v>
      </c>
      <c r="AG30" s="23"/>
      <c r="AH30" s="23"/>
      <c r="AI30" s="23"/>
      <c r="AJ30" s="23"/>
      <c r="AK30" s="23">
        <v>25</v>
      </c>
      <c r="AL30" s="23"/>
      <c r="AM30" s="23"/>
      <c r="AN30" s="23"/>
      <c r="AO30" s="23">
        <v>56</v>
      </c>
      <c r="AP30" s="23"/>
      <c r="AQ30" s="23"/>
      <c r="AR30" s="23"/>
      <c r="AS30" s="23"/>
      <c r="AT30" s="23"/>
      <c r="AU30" s="14" t="str">
        <f>HYPERLINK("http://www.openstreetmap.org/?mlat=34.3831&amp;mlon=41.0285&amp;zoom=12#map=12/34.3831/41.0285","Maplink1")</f>
        <v>Maplink1</v>
      </c>
      <c r="AV30" s="14" t="str">
        <f>HYPERLINK("https://www.google.iq/maps/search/+34.3831,41.0285/@34.3831,41.0285,14z?hl=en","Maplink2")</f>
        <v>Maplink2</v>
      </c>
      <c r="AW30" s="14" t="str">
        <f>HYPERLINK("http://www.bing.com/maps/?lvl=14&amp;sty=h&amp;cp=34.3831~41.0285&amp;sp=point.34.3831_41.0285_Hay Al-Makarim","Maplink3")</f>
        <v>Maplink3</v>
      </c>
    </row>
    <row r="31" spans="1:49" ht="15" customHeight="1" x14ac:dyDescent="0.25">
      <c r="A31" s="21">
        <v>268</v>
      </c>
      <c r="B31" s="22" t="s">
        <v>9</v>
      </c>
      <c r="C31" s="22" t="s">
        <v>70</v>
      </c>
      <c r="D31" s="22" t="s">
        <v>149</v>
      </c>
      <c r="E31" s="22" t="s">
        <v>150</v>
      </c>
      <c r="F31" s="22">
        <v>34.392349000000003</v>
      </c>
      <c r="G31" s="22">
        <v>40.996698000000002</v>
      </c>
      <c r="H31" s="21" t="s">
        <v>73</v>
      </c>
      <c r="I31" s="21" t="s">
        <v>74</v>
      </c>
      <c r="J31" s="21" t="s">
        <v>151</v>
      </c>
      <c r="K31" s="24">
        <v>82</v>
      </c>
      <c r="L31" s="24">
        <v>492</v>
      </c>
      <c r="M31" s="23">
        <v>82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53</v>
      </c>
      <c r="AG31" s="23"/>
      <c r="AH31" s="23">
        <v>5</v>
      </c>
      <c r="AI31" s="23"/>
      <c r="AJ31" s="23"/>
      <c r="AK31" s="23">
        <v>24</v>
      </c>
      <c r="AL31" s="23"/>
      <c r="AM31" s="23"/>
      <c r="AN31" s="23"/>
      <c r="AO31" s="23">
        <v>74</v>
      </c>
      <c r="AP31" s="23"/>
      <c r="AQ31" s="23"/>
      <c r="AR31" s="23">
        <v>8</v>
      </c>
      <c r="AS31" s="23"/>
      <c r="AT31" s="23"/>
      <c r="AU31" s="14" t="str">
        <f>HYPERLINK("http://www.openstreetmap.org/?mlat=34.3923&amp;mlon=40.9967&amp;zoom=12#map=12/34.3923/40.9967","Maplink1")</f>
        <v>Maplink1</v>
      </c>
      <c r="AV31" s="14" t="str">
        <f>HYPERLINK("https://www.google.iq/maps/search/+34.3923,40.9967/@34.3923,40.9967,14z?hl=en","Maplink2")</f>
        <v>Maplink2</v>
      </c>
      <c r="AW31" s="14" t="str">
        <f>HYPERLINK("http://www.bing.com/maps/?lvl=14&amp;sty=h&amp;cp=34.3923~40.9967&amp;sp=point.34.3923_40.9967_Hay Al-Salam","Maplink3")</f>
        <v>Maplink3</v>
      </c>
    </row>
    <row r="32" spans="1:49" ht="15" customHeight="1" x14ac:dyDescent="0.25">
      <c r="A32" s="21">
        <v>269</v>
      </c>
      <c r="B32" s="22" t="s">
        <v>9</v>
      </c>
      <c r="C32" s="22" t="s">
        <v>70</v>
      </c>
      <c r="D32" s="22" t="s">
        <v>152</v>
      </c>
      <c r="E32" s="22" t="s">
        <v>153</v>
      </c>
      <c r="F32" s="22">
        <v>34.398009999999999</v>
      </c>
      <c r="G32" s="22">
        <v>40.992722999999998</v>
      </c>
      <c r="H32" s="21" t="s">
        <v>73</v>
      </c>
      <c r="I32" s="21" t="s">
        <v>74</v>
      </c>
      <c r="J32" s="21" t="s">
        <v>154</v>
      </c>
      <c r="K32" s="24">
        <v>96</v>
      </c>
      <c r="L32" s="24">
        <v>576</v>
      </c>
      <c r="M32" s="23">
        <v>96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/>
      <c r="AI32" s="23"/>
      <c r="AJ32" s="23"/>
      <c r="AK32" s="23">
        <v>43</v>
      </c>
      <c r="AL32" s="23"/>
      <c r="AM32" s="23"/>
      <c r="AN32" s="23"/>
      <c r="AO32" s="23">
        <v>88</v>
      </c>
      <c r="AP32" s="23"/>
      <c r="AQ32" s="23"/>
      <c r="AR32" s="23">
        <v>8</v>
      </c>
      <c r="AS32" s="23"/>
      <c r="AT32" s="23"/>
      <c r="AU32" s="14" t="str">
        <f>HYPERLINK("http://www.openstreetmap.org/?mlat=34.398&amp;mlon=40.9927&amp;zoom=12#map=12/34.398/40.9927","Maplink1")</f>
        <v>Maplink1</v>
      </c>
      <c r="AV32" s="14" t="str">
        <f>HYPERLINK("https://www.google.iq/maps/search/+34.398,40.9927/@34.398,40.9927,14z?hl=en","Maplink2")</f>
        <v>Maplink2</v>
      </c>
      <c r="AW32" s="14" t="str">
        <f>HYPERLINK("http://www.bing.com/maps/?lvl=14&amp;sty=h&amp;cp=34.398~40.9927&amp;sp=point.34.398_40.9927_Hay Al-Yarmook","Maplink3")</f>
        <v>Maplink3</v>
      </c>
    </row>
    <row r="33" spans="1:49" ht="15" customHeight="1" x14ac:dyDescent="0.25">
      <c r="A33" s="21">
        <v>66</v>
      </c>
      <c r="B33" s="22" t="s">
        <v>9</v>
      </c>
      <c r="C33" s="22" t="s">
        <v>70</v>
      </c>
      <c r="D33" s="22" t="s">
        <v>155</v>
      </c>
      <c r="E33" s="22" t="s">
        <v>156</v>
      </c>
      <c r="F33" s="22">
        <v>34.363895999999997</v>
      </c>
      <c r="G33" s="22">
        <v>41.097366999999998</v>
      </c>
      <c r="H33" s="21" t="s">
        <v>73</v>
      </c>
      <c r="I33" s="21" t="s">
        <v>74</v>
      </c>
      <c r="J33" s="21" t="s">
        <v>157</v>
      </c>
      <c r="K33" s="24">
        <v>62</v>
      </c>
      <c r="L33" s="24">
        <v>372</v>
      </c>
      <c r="M33" s="23">
        <v>62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20</v>
      </c>
      <c r="AG33" s="23"/>
      <c r="AH33" s="23"/>
      <c r="AI33" s="23"/>
      <c r="AJ33" s="23"/>
      <c r="AK33" s="23">
        <v>20</v>
      </c>
      <c r="AL33" s="23"/>
      <c r="AM33" s="23">
        <v>22</v>
      </c>
      <c r="AN33" s="23"/>
      <c r="AO33" s="23">
        <v>62</v>
      </c>
      <c r="AP33" s="23"/>
      <c r="AQ33" s="23"/>
      <c r="AR33" s="23"/>
      <c r="AS33" s="23"/>
      <c r="AT33" s="23"/>
      <c r="AU33" s="14" t="str">
        <f>HYPERLINK("http://www.openstreetmap.org/?mlat=34.3639&amp;mlon=41.0974&amp;zoom=12#map=12/34.3639/41.0974","Maplink1")</f>
        <v>Maplink1</v>
      </c>
      <c r="AV33" s="14" t="str">
        <f>HYPERLINK("https://www.google.iq/maps/search/+34.3639,41.0974/@34.3639,41.0974,14z?hl=en","Maplink2")</f>
        <v>Maplink2</v>
      </c>
      <c r="AW33" s="14" t="str">
        <f>HYPERLINK("http://www.bing.com/maps/?lvl=14&amp;sty=h&amp;cp=34.3639~41.0974&amp;sp=point.34.3639_41.0974_Sadah","Maplink3")</f>
        <v>Maplink3</v>
      </c>
    </row>
    <row r="34" spans="1:49" ht="15" customHeight="1" x14ac:dyDescent="0.25">
      <c r="A34" s="21">
        <v>156</v>
      </c>
      <c r="B34" s="22" t="s">
        <v>9</v>
      </c>
      <c r="C34" s="22" t="s">
        <v>70</v>
      </c>
      <c r="D34" s="22" t="s">
        <v>158</v>
      </c>
      <c r="E34" s="22" t="s">
        <v>159</v>
      </c>
      <c r="F34" s="22">
        <v>34.377090000000003</v>
      </c>
      <c r="G34" s="22">
        <v>41.046540999999998</v>
      </c>
      <c r="H34" s="21" t="s">
        <v>73</v>
      </c>
      <c r="I34" s="21" t="s">
        <v>74</v>
      </c>
      <c r="J34" s="21" t="s">
        <v>160</v>
      </c>
      <c r="K34" s="24">
        <v>60</v>
      </c>
      <c r="L34" s="24">
        <v>360</v>
      </c>
      <c r="M34" s="23">
        <v>60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27</v>
      </c>
      <c r="AG34" s="23"/>
      <c r="AH34" s="23"/>
      <c r="AI34" s="23"/>
      <c r="AJ34" s="23"/>
      <c r="AK34" s="23">
        <v>33</v>
      </c>
      <c r="AL34" s="23"/>
      <c r="AM34" s="23"/>
      <c r="AN34" s="23"/>
      <c r="AO34" s="23">
        <v>60</v>
      </c>
      <c r="AP34" s="23"/>
      <c r="AQ34" s="23"/>
      <c r="AR34" s="23"/>
      <c r="AS34" s="23"/>
      <c r="AT34" s="23"/>
      <c r="AU34" s="14" t="str">
        <f>HYPERLINK("http://www.openstreetmap.org/?mlat=34.3771&amp;mlon=41.0465&amp;zoom=12#map=12/34.3771/41.0465","Maplink1")</f>
        <v>Maplink1</v>
      </c>
      <c r="AV34" s="14" t="str">
        <f>HYPERLINK("https://www.google.iq/maps/search/+34.3771,41.0465/@34.3771,41.0465,14z?hl=en","Maplink2")</f>
        <v>Maplink2</v>
      </c>
      <c r="AW34" s="14" t="str">
        <f>HYPERLINK("http://www.bing.com/maps/?lvl=14&amp;sty=h&amp;cp=34.3771~41.0465&amp;sp=point.34.3771_41.0465_Wazeeriya","Maplink3")</f>
        <v>Maplink3</v>
      </c>
    </row>
    <row r="35" spans="1:49" ht="15" customHeight="1" x14ac:dyDescent="0.25">
      <c r="A35" s="21">
        <v>165</v>
      </c>
      <c r="B35" s="22" t="s">
        <v>9</v>
      </c>
      <c r="C35" s="22" t="s">
        <v>161</v>
      </c>
      <c r="D35" s="22" t="s">
        <v>162</v>
      </c>
      <c r="E35" s="22" t="s">
        <v>120</v>
      </c>
      <c r="F35" s="22">
        <v>33.038952000000002</v>
      </c>
      <c r="G35" s="22">
        <v>40.277075000000004</v>
      </c>
      <c r="H35" s="21" t="s">
        <v>73</v>
      </c>
      <c r="I35" s="21" t="s">
        <v>163</v>
      </c>
      <c r="J35" s="21" t="s">
        <v>164</v>
      </c>
      <c r="K35" s="24">
        <v>266</v>
      </c>
      <c r="L35" s="24">
        <v>1596</v>
      </c>
      <c r="M35" s="23">
        <v>266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126</v>
      </c>
      <c r="AG35" s="23"/>
      <c r="AH35" s="23">
        <v>25</v>
      </c>
      <c r="AI35" s="23"/>
      <c r="AJ35" s="23"/>
      <c r="AK35" s="23">
        <v>104</v>
      </c>
      <c r="AL35" s="23"/>
      <c r="AM35" s="23">
        <v>11</v>
      </c>
      <c r="AN35" s="23"/>
      <c r="AO35" s="23">
        <v>260</v>
      </c>
      <c r="AP35" s="23"/>
      <c r="AQ35" s="23"/>
      <c r="AR35" s="23">
        <v>6</v>
      </c>
      <c r="AS35" s="23"/>
      <c r="AT35" s="23"/>
      <c r="AU35" s="14" t="str">
        <f>HYPERLINK("http://www.openstreetmap.org/?mlat=33.039&amp;mlon=40.2771&amp;zoom=12#map=12/33.039/40.2771","Maplink1")</f>
        <v>Maplink1</v>
      </c>
      <c r="AV35" s="14" t="str">
        <f>HYPERLINK("https://www.google.iq/maps/search/+33.039,40.2771/@33.039,40.2771,14z?hl=en","Maplink2")</f>
        <v>Maplink2</v>
      </c>
      <c r="AW35" s="14" t="str">
        <f>HYPERLINK("http://www.bing.com/maps/?lvl=14&amp;sty=h&amp;cp=33.039~40.2771&amp;sp=point.33.039_40.2771_Al Askaree","Maplink3")</f>
        <v>Maplink3</v>
      </c>
    </row>
    <row r="36" spans="1:49" ht="15" customHeight="1" x14ac:dyDescent="0.25">
      <c r="A36" s="21">
        <v>24744</v>
      </c>
      <c r="B36" s="22" t="s">
        <v>9</v>
      </c>
      <c r="C36" s="22" t="s">
        <v>161</v>
      </c>
      <c r="D36" s="22" t="s">
        <v>167</v>
      </c>
      <c r="E36" s="22" t="s">
        <v>168</v>
      </c>
      <c r="F36" s="22">
        <v>32.165700999999999</v>
      </c>
      <c r="G36" s="22">
        <v>42.122835000000002</v>
      </c>
      <c r="H36" s="21" t="s">
        <v>73</v>
      </c>
      <c r="I36" s="21" t="s">
        <v>163</v>
      </c>
      <c r="J36" s="21"/>
      <c r="K36" s="24">
        <v>35</v>
      </c>
      <c r="L36" s="24">
        <v>210</v>
      </c>
      <c r="M36" s="23">
        <v>35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35</v>
      </c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>
        <v>35</v>
      </c>
      <c r="AS36" s="23"/>
      <c r="AT36" s="23"/>
      <c r="AU36" s="14" t="str">
        <f>HYPERLINK("http://www.openstreetmap.org/?mlat=32.1657&amp;mlon=42.1228&amp;zoom=12#map=12/32.1657/42.1228","Maplink1")</f>
        <v>Maplink1</v>
      </c>
      <c r="AV36" s="14" t="str">
        <f>HYPERLINK("https://www.google.iq/maps/search/+32.1657,42.1228/@32.1657,42.1228,14z?hl=en","Maplink2")</f>
        <v>Maplink2</v>
      </c>
      <c r="AW36" s="14" t="str">
        <f>HYPERLINK("http://www.bing.com/maps/?lvl=14&amp;sty=h&amp;cp=32.1657~42.1228&amp;sp=point.32.1657_42.1228_Al Habaria","Maplink3")</f>
        <v>Maplink3</v>
      </c>
    </row>
    <row r="37" spans="1:49" ht="15" customHeight="1" x14ac:dyDescent="0.25">
      <c r="A37" s="21">
        <v>150</v>
      </c>
      <c r="B37" s="22" t="s">
        <v>9</v>
      </c>
      <c r="C37" s="22" t="s">
        <v>161</v>
      </c>
      <c r="D37" s="22" t="s">
        <v>8307</v>
      </c>
      <c r="E37" s="22" t="s">
        <v>165</v>
      </c>
      <c r="F37" s="22">
        <v>33.038459000000003</v>
      </c>
      <c r="G37" s="22">
        <v>40.293291000000004</v>
      </c>
      <c r="H37" s="21" t="s">
        <v>73</v>
      </c>
      <c r="I37" s="21" t="s">
        <v>163</v>
      </c>
      <c r="J37" s="21" t="s">
        <v>166</v>
      </c>
      <c r="K37" s="24">
        <v>338</v>
      </c>
      <c r="L37" s="24">
        <v>2028</v>
      </c>
      <c r="M37" s="23">
        <v>338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125</v>
      </c>
      <c r="AG37" s="23"/>
      <c r="AH37" s="23">
        <v>13</v>
      </c>
      <c r="AI37" s="23"/>
      <c r="AJ37" s="23">
        <v>12</v>
      </c>
      <c r="AK37" s="23">
        <v>182</v>
      </c>
      <c r="AL37" s="23"/>
      <c r="AM37" s="23">
        <v>6</v>
      </c>
      <c r="AN37" s="23"/>
      <c r="AO37" s="23">
        <v>331</v>
      </c>
      <c r="AP37" s="23"/>
      <c r="AQ37" s="23"/>
      <c r="AR37" s="23">
        <v>7</v>
      </c>
      <c r="AS37" s="23"/>
      <c r="AT37" s="23"/>
      <c r="AU37" s="14" t="str">
        <f>HYPERLINK("http://www.openstreetmap.org/?mlat=33.0385&amp;mlon=40.2933&amp;zoom=12#map=12/33.0385/40.2933","Maplink1")</f>
        <v>Maplink1</v>
      </c>
      <c r="AV37" s="14" t="str">
        <f>HYPERLINK("https://www.google.iq/maps/search/+33.0385,40.2933/@33.0385,40.2933,14z?hl=en","Maplink2")</f>
        <v>Maplink2</v>
      </c>
      <c r="AW37" s="14" t="str">
        <f>HYPERLINK("http://www.bing.com/maps/?lvl=14&amp;sty=h&amp;cp=33.0385~40.2933&amp;sp=point.33.0385_40.2933_Al Haara","Maplink3")</f>
        <v>Maplink3</v>
      </c>
    </row>
    <row r="38" spans="1:49" ht="15" customHeight="1" x14ac:dyDescent="0.25">
      <c r="A38" s="21">
        <v>167</v>
      </c>
      <c r="B38" s="22" t="s">
        <v>9</v>
      </c>
      <c r="C38" s="22" t="s">
        <v>161</v>
      </c>
      <c r="D38" s="22" t="s">
        <v>8308</v>
      </c>
      <c r="E38" s="22" t="s">
        <v>180</v>
      </c>
      <c r="F38" s="22">
        <v>33.041953999999997</v>
      </c>
      <c r="G38" s="22">
        <v>40.275979999999997</v>
      </c>
      <c r="H38" s="21" t="s">
        <v>73</v>
      </c>
      <c r="I38" s="21" t="s">
        <v>163</v>
      </c>
      <c r="J38" s="21" t="s">
        <v>181</v>
      </c>
      <c r="K38" s="24">
        <v>345</v>
      </c>
      <c r="L38" s="24">
        <v>2070</v>
      </c>
      <c r="M38" s="23">
        <v>340</v>
      </c>
      <c r="N38" s="23"/>
      <c r="O38" s="23">
        <v>5</v>
      </c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15</v>
      </c>
      <c r="AG38" s="23"/>
      <c r="AH38" s="23">
        <v>117</v>
      </c>
      <c r="AI38" s="23"/>
      <c r="AJ38" s="23">
        <v>3</v>
      </c>
      <c r="AK38" s="23">
        <v>171</v>
      </c>
      <c r="AL38" s="23">
        <v>28</v>
      </c>
      <c r="AM38" s="23">
        <v>11</v>
      </c>
      <c r="AN38" s="23"/>
      <c r="AO38" s="23">
        <v>330</v>
      </c>
      <c r="AP38" s="23">
        <v>5</v>
      </c>
      <c r="AQ38" s="23"/>
      <c r="AR38" s="23">
        <v>10</v>
      </c>
      <c r="AS38" s="23"/>
      <c r="AT38" s="23"/>
      <c r="AU38" s="14" t="str">
        <f>HYPERLINK("http://www.openstreetmap.org/?mlat=33.042&amp;mlon=40.276&amp;zoom=12#map=12/33.042/40.276","Maplink1")</f>
        <v>Maplink1</v>
      </c>
      <c r="AV38" s="14" t="str">
        <f>HYPERLINK("https://www.google.iq/maps/search/+33.042,40.276/@33.042,40.276,14z?hl=en","Maplink2")</f>
        <v>Maplink2</v>
      </c>
      <c r="AW38" s="14" t="str">
        <f>HYPERLINK("http://www.bing.com/maps/?lvl=14&amp;sty=h&amp;cp=33.042~40.276&amp;sp=point.33.042_40.276_Antesar","Maplink3")</f>
        <v>Maplink3</v>
      </c>
    </row>
    <row r="39" spans="1:49" ht="15" customHeight="1" x14ac:dyDescent="0.25">
      <c r="A39" s="21">
        <v>24745</v>
      </c>
      <c r="B39" s="22" t="s">
        <v>9</v>
      </c>
      <c r="C39" s="22" t="s">
        <v>161</v>
      </c>
      <c r="D39" s="22" t="s">
        <v>169</v>
      </c>
      <c r="E39" s="22" t="s">
        <v>170</v>
      </c>
      <c r="F39" s="22">
        <v>32.273108999999998</v>
      </c>
      <c r="G39" s="22">
        <v>42.050932000000003</v>
      </c>
      <c r="H39" s="21" t="s">
        <v>73</v>
      </c>
      <c r="I39" s="21" t="s">
        <v>163</v>
      </c>
      <c r="J39" s="21"/>
      <c r="K39" s="24">
        <v>22</v>
      </c>
      <c r="L39" s="24">
        <v>132</v>
      </c>
      <c r="M39" s="23">
        <v>22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22</v>
      </c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>
        <v>22</v>
      </c>
      <c r="AS39" s="23"/>
      <c r="AT39" s="23"/>
      <c r="AU39" s="14" t="str">
        <f>HYPERLINK("http://www.openstreetmap.org/?mlat=32.2731&amp;mlon=42.0509&amp;zoom=12#map=12/32.2731/42.0509","Maplink1")</f>
        <v>Maplink1</v>
      </c>
      <c r="AV39" s="14" t="str">
        <f>HYPERLINK("https://www.google.iq/maps/search/+32.2731,42.0509/@32.2731,42.0509,14z?hl=en","Maplink2")</f>
        <v>Maplink2</v>
      </c>
      <c r="AW39" s="14" t="str">
        <f>HYPERLINK("http://www.bing.com/maps/?lvl=14&amp;sty=h&amp;cp=32.2731~42.0509&amp;sp=point.32.2731_42.0509_Al kasra","Maplink3")</f>
        <v>Maplink3</v>
      </c>
    </row>
    <row r="40" spans="1:49" ht="15" customHeight="1" x14ac:dyDescent="0.25">
      <c r="A40" s="21">
        <v>61</v>
      </c>
      <c r="B40" s="22" t="s">
        <v>9</v>
      </c>
      <c r="C40" s="22" t="s">
        <v>161</v>
      </c>
      <c r="D40" s="22" t="s">
        <v>171</v>
      </c>
      <c r="E40" s="22" t="s">
        <v>172</v>
      </c>
      <c r="F40" s="22">
        <v>32.042732999999998</v>
      </c>
      <c r="G40" s="22">
        <v>42.252977000000001</v>
      </c>
      <c r="H40" s="21" t="s">
        <v>73</v>
      </c>
      <c r="I40" s="21" t="s">
        <v>163</v>
      </c>
      <c r="J40" s="21" t="s">
        <v>173</v>
      </c>
      <c r="K40" s="24">
        <v>890</v>
      </c>
      <c r="L40" s="24">
        <v>5340</v>
      </c>
      <c r="M40" s="23">
        <v>890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566</v>
      </c>
      <c r="AG40" s="23"/>
      <c r="AH40" s="23">
        <v>108</v>
      </c>
      <c r="AI40" s="23"/>
      <c r="AJ40" s="23">
        <v>13</v>
      </c>
      <c r="AK40" s="23"/>
      <c r="AL40" s="23">
        <v>60</v>
      </c>
      <c r="AM40" s="23">
        <v>143</v>
      </c>
      <c r="AN40" s="23"/>
      <c r="AO40" s="23">
        <v>285</v>
      </c>
      <c r="AP40" s="23"/>
      <c r="AQ40" s="23"/>
      <c r="AR40" s="23">
        <v>605</v>
      </c>
      <c r="AS40" s="23"/>
      <c r="AT40" s="23"/>
      <c r="AU40" s="14" t="str">
        <f>HYPERLINK("http://www.openstreetmap.org/?mlat=32.0427&amp;mlon=42.253&amp;zoom=12#map=12/32.0427/42.253","Maplink1")</f>
        <v>Maplink1</v>
      </c>
      <c r="AV40" s="14" t="str">
        <f>HYPERLINK("https://www.google.iq/maps/search/+32.0427,42.253/@32.0427,42.253,14z?hl=en","Maplink2")</f>
        <v>Maplink2</v>
      </c>
      <c r="AW40" s="14" t="str">
        <f>HYPERLINK("http://www.bing.com/maps/?lvl=14&amp;sty=h&amp;cp=32.0427~42.253&amp;sp=point.32.0427_42.253_Al Nakheeb","Maplink3")</f>
        <v>Maplink3</v>
      </c>
    </row>
    <row r="41" spans="1:49" ht="15" customHeight="1" x14ac:dyDescent="0.25">
      <c r="A41" s="21">
        <v>231</v>
      </c>
      <c r="B41" s="22" t="s">
        <v>9</v>
      </c>
      <c r="C41" s="22" t="s">
        <v>161</v>
      </c>
      <c r="D41" s="22" t="s">
        <v>174</v>
      </c>
      <c r="E41" s="22" t="s">
        <v>175</v>
      </c>
      <c r="F41" s="22">
        <v>33.036414000000001</v>
      </c>
      <c r="G41" s="22">
        <v>40.284368999999998</v>
      </c>
      <c r="H41" s="21" t="s">
        <v>73</v>
      </c>
      <c r="I41" s="21" t="s">
        <v>163</v>
      </c>
      <c r="J41" s="21" t="s">
        <v>176</v>
      </c>
      <c r="K41" s="24">
        <v>271</v>
      </c>
      <c r="L41" s="24">
        <v>1626</v>
      </c>
      <c r="M41" s="23">
        <v>271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>
        <v>108</v>
      </c>
      <c r="AG41" s="23"/>
      <c r="AH41" s="23">
        <v>35</v>
      </c>
      <c r="AI41" s="23"/>
      <c r="AJ41" s="23"/>
      <c r="AK41" s="23">
        <v>109</v>
      </c>
      <c r="AL41" s="23">
        <v>8</v>
      </c>
      <c r="AM41" s="23">
        <v>11</v>
      </c>
      <c r="AN41" s="23"/>
      <c r="AO41" s="23">
        <v>265</v>
      </c>
      <c r="AP41" s="23"/>
      <c r="AQ41" s="23"/>
      <c r="AR41" s="23">
        <v>6</v>
      </c>
      <c r="AS41" s="23"/>
      <c r="AT41" s="23"/>
      <c r="AU41" s="14" t="str">
        <f>HYPERLINK("http://www.openstreetmap.org/?mlat=33.0364&amp;mlon=40.2844&amp;zoom=12#map=12/33.0364/40.2844","Maplink1")</f>
        <v>Maplink1</v>
      </c>
      <c r="AV41" s="14" t="str">
        <f>HYPERLINK("https://www.google.iq/maps/search/+33.0364,40.2844/@33.0364,40.2844,14z?hl=en","Maplink2")</f>
        <v>Maplink2</v>
      </c>
      <c r="AW41" s="14" t="str">
        <f>HYPERLINK("http://www.bing.com/maps/?lvl=14&amp;sty=h&amp;cp=33.0364~40.2844&amp;sp=point.33.0364_40.2844_Al Wadi","Maplink3")</f>
        <v>Maplink3</v>
      </c>
    </row>
    <row r="42" spans="1:49" ht="15" customHeight="1" x14ac:dyDescent="0.25">
      <c r="A42" s="21">
        <v>23935</v>
      </c>
      <c r="B42" s="22" t="s">
        <v>9</v>
      </c>
      <c r="C42" s="22" t="s">
        <v>161</v>
      </c>
      <c r="D42" s="22" t="s">
        <v>177</v>
      </c>
      <c r="E42" s="22" t="s">
        <v>178</v>
      </c>
      <c r="F42" s="22">
        <v>33.038586000000002</v>
      </c>
      <c r="G42" s="22">
        <v>40.285558000000002</v>
      </c>
      <c r="H42" s="21" t="s">
        <v>73</v>
      </c>
      <c r="I42" s="21" t="s">
        <v>163</v>
      </c>
      <c r="J42" s="21" t="s">
        <v>179</v>
      </c>
      <c r="K42" s="24">
        <v>276</v>
      </c>
      <c r="L42" s="24">
        <v>1656</v>
      </c>
      <c r="M42" s="23">
        <v>276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52</v>
      </c>
      <c r="AG42" s="23"/>
      <c r="AH42" s="23">
        <v>8</v>
      </c>
      <c r="AI42" s="23"/>
      <c r="AJ42" s="23">
        <v>5</v>
      </c>
      <c r="AK42" s="23">
        <v>81</v>
      </c>
      <c r="AL42" s="23"/>
      <c r="AM42" s="23">
        <v>130</v>
      </c>
      <c r="AN42" s="23"/>
      <c r="AO42" s="23">
        <v>276</v>
      </c>
      <c r="AP42" s="23"/>
      <c r="AQ42" s="23"/>
      <c r="AR42" s="23"/>
      <c r="AS42" s="23"/>
      <c r="AT42" s="23"/>
      <c r="AU42" s="14" t="str">
        <f>HYPERLINK("http://www.openstreetmap.org/?mlat=33.0386&amp;mlon=40.2856&amp;zoom=12#map=12/33.0386/40.2856","Maplink1")</f>
        <v>Maplink1</v>
      </c>
      <c r="AV42" s="14" t="str">
        <f>HYPERLINK("https://www.google.iq/maps/search/+33.0386,40.2856/@33.0386,40.2856,14z?hl=en","Maplink2")</f>
        <v>Maplink2</v>
      </c>
      <c r="AW42" s="14" t="str">
        <f>HYPERLINK("http://www.bing.com/maps/?lvl=14&amp;sty=h&amp;cp=33.0386~40.2856&amp;sp=point.33.0386_40.2856_Al-Daraemah Village","Maplink3")</f>
        <v>Maplink3</v>
      </c>
    </row>
    <row r="43" spans="1:49" ht="15" customHeight="1" x14ac:dyDescent="0.25">
      <c r="A43" s="21">
        <v>189</v>
      </c>
      <c r="B43" s="22" t="s">
        <v>9</v>
      </c>
      <c r="C43" s="22" t="s">
        <v>161</v>
      </c>
      <c r="D43" s="22" t="s">
        <v>182</v>
      </c>
      <c r="E43" s="22" t="s">
        <v>183</v>
      </c>
      <c r="F43" s="22">
        <v>33.042614999999998</v>
      </c>
      <c r="G43" s="22">
        <v>40.341484000000001</v>
      </c>
      <c r="H43" s="21" t="s">
        <v>73</v>
      </c>
      <c r="I43" s="21" t="s">
        <v>163</v>
      </c>
      <c r="J43" s="21" t="s">
        <v>184</v>
      </c>
      <c r="K43" s="24">
        <v>76</v>
      </c>
      <c r="L43" s="24">
        <v>456</v>
      </c>
      <c r="M43" s="23">
        <v>76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>
        <v>76</v>
      </c>
      <c r="AI43" s="23"/>
      <c r="AJ43" s="23"/>
      <c r="AK43" s="23"/>
      <c r="AL43" s="23"/>
      <c r="AM43" s="23"/>
      <c r="AN43" s="23"/>
      <c r="AO43" s="23">
        <v>76</v>
      </c>
      <c r="AP43" s="23"/>
      <c r="AQ43" s="23"/>
      <c r="AR43" s="23"/>
      <c r="AS43" s="23"/>
      <c r="AT43" s="23"/>
      <c r="AU43" s="14" t="str">
        <f>HYPERLINK("http://www.openstreetmap.org/?mlat=33.0426&amp;mlon=40.3415&amp;zoom=12#map=12/33.0426/40.3415","Maplink1")</f>
        <v>Maplink1</v>
      </c>
      <c r="AV43" s="14" t="str">
        <f>HYPERLINK("https://www.google.iq/maps/search/+33.0426,40.3415/@33.0426,40.3415,14z?hl=en","Maplink2")</f>
        <v>Maplink2</v>
      </c>
      <c r="AW43" s="14" t="str">
        <f>HYPERLINK("http://www.bing.com/maps/?lvl=14&amp;sty=h&amp;cp=33.0426~40.3415&amp;sp=point.33.0426_40.3415_Germany Company Location","Maplink3")</f>
        <v>Maplink3</v>
      </c>
    </row>
    <row r="44" spans="1:49" ht="15" customHeight="1" x14ac:dyDescent="0.25">
      <c r="A44" s="21">
        <v>24761</v>
      </c>
      <c r="B44" s="22" t="s">
        <v>9</v>
      </c>
      <c r="C44" s="22" t="s">
        <v>161</v>
      </c>
      <c r="D44" s="22" t="s">
        <v>187</v>
      </c>
      <c r="E44" s="22" t="s">
        <v>188</v>
      </c>
      <c r="F44" s="22">
        <v>32.764845000000001</v>
      </c>
      <c r="G44" s="22">
        <v>43.388829999999999</v>
      </c>
      <c r="H44" s="21" t="s">
        <v>73</v>
      </c>
      <c r="I44" s="21" t="s">
        <v>163</v>
      </c>
      <c r="J44" s="21"/>
      <c r="K44" s="24">
        <v>194</v>
      </c>
      <c r="L44" s="24">
        <v>1164</v>
      </c>
      <c r="M44" s="23">
        <v>194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130</v>
      </c>
      <c r="AG44" s="23"/>
      <c r="AH44" s="23"/>
      <c r="AI44" s="23"/>
      <c r="AJ44" s="23"/>
      <c r="AK44" s="23"/>
      <c r="AL44" s="23">
        <v>44</v>
      </c>
      <c r="AM44" s="23">
        <v>20</v>
      </c>
      <c r="AN44" s="23"/>
      <c r="AO44" s="23">
        <v>138</v>
      </c>
      <c r="AP44" s="23"/>
      <c r="AQ44" s="23"/>
      <c r="AR44" s="23">
        <v>8</v>
      </c>
      <c r="AS44" s="23">
        <v>48</v>
      </c>
      <c r="AT44" s="23"/>
      <c r="AU44" s="14" t="str">
        <f>HYPERLINK("http://www.openstreetmap.org/?mlat=32.7648&amp;mlon=43.3888&amp;zoom=12#map=12/32.7648/43.3888","Maplink1")</f>
        <v>Maplink1</v>
      </c>
      <c r="AV44" s="14" t="str">
        <f>HYPERLINK("https://www.google.iq/maps/search/+32.7648,43.3888/@32.7648,43.3888,14z?hl=en","Maplink2")</f>
        <v>Maplink2</v>
      </c>
      <c r="AW44" s="14" t="str">
        <f>HYPERLINK("http://www.bing.com/maps/?lvl=14&amp;sty=h&amp;cp=32.7648~43.3888&amp;sp=point.32.7648_43.3888_Hay Abira","Maplink3")</f>
        <v>Maplink3</v>
      </c>
    </row>
    <row r="45" spans="1:49" ht="15" customHeight="1" x14ac:dyDescent="0.25">
      <c r="A45" s="21">
        <v>24762</v>
      </c>
      <c r="B45" s="22" t="s">
        <v>9</v>
      </c>
      <c r="C45" s="22" t="s">
        <v>161</v>
      </c>
      <c r="D45" s="22" t="s">
        <v>189</v>
      </c>
      <c r="E45" s="22" t="s">
        <v>190</v>
      </c>
      <c r="F45" s="22">
        <v>32.766503999999998</v>
      </c>
      <c r="G45" s="22">
        <v>43.387746999999997</v>
      </c>
      <c r="H45" s="21" t="s">
        <v>73</v>
      </c>
      <c r="I45" s="21" t="s">
        <v>163</v>
      </c>
      <c r="J45" s="21"/>
      <c r="K45" s="24">
        <v>130</v>
      </c>
      <c r="L45" s="24">
        <v>780</v>
      </c>
      <c r="M45" s="23">
        <v>130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77</v>
      </c>
      <c r="AG45" s="23"/>
      <c r="AH45" s="23"/>
      <c r="AI45" s="23"/>
      <c r="AJ45" s="23"/>
      <c r="AK45" s="23"/>
      <c r="AL45" s="23">
        <v>36</v>
      </c>
      <c r="AM45" s="23">
        <v>17</v>
      </c>
      <c r="AN45" s="23"/>
      <c r="AO45" s="23">
        <v>105</v>
      </c>
      <c r="AP45" s="23"/>
      <c r="AQ45" s="23"/>
      <c r="AR45" s="23">
        <v>7</v>
      </c>
      <c r="AS45" s="23">
        <v>18</v>
      </c>
      <c r="AT45" s="23"/>
      <c r="AU45" s="14" t="str">
        <f>HYPERLINK("http://www.openstreetmap.org/?mlat=32.7665&amp;mlon=43.3877&amp;zoom=12#map=12/32.7665/43.3877","Maplink1")</f>
        <v>Maplink1</v>
      </c>
      <c r="AV45" s="14" t="str">
        <f>HYPERLINK("https://www.google.iq/maps/search/+32.7665,43.3877/@32.7665,43.3877,14z?hl=en","Maplink2")</f>
        <v>Maplink2</v>
      </c>
      <c r="AW45" s="14" t="str">
        <f>HYPERLINK("http://www.bing.com/maps/?lvl=14&amp;sty=h&amp;cp=32.7665~43.3877&amp;sp=point.32.7665_43.3877_Hay Al Arben","Maplink3")</f>
        <v>Maplink3</v>
      </c>
    </row>
    <row r="46" spans="1:49" ht="15" customHeight="1" x14ac:dyDescent="0.25">
      <c r="A46" s="21">
        <v>233</v>
      </c>
      <c r="B46" s="22" t="s">
        <v>9</v>
      </c>
      <c r="C46" s="22" t="s">
        <v>161</v>
      </c>
      <c r="D46" s="22" t="s">
        <v>8309</v>
      </c>
      <c r="E46" s="22" t="s">
        <v>196</v>
      </c>
      <c r="F46" s="22">
        <v>33.038566000000003</v>
      </c>
      <c r="G46" s="22">
        <v>40.285538000000003</v>
      </c>
      <c r="H46" s="21" t="s">
        <v>73</v>
      </c>
      <c r="I46" s="21" t="s">
        <v>163</v>
      </c>
      <c r="J46" s="21" t="s">
        <v>197</v>
      </c>
      <c r="K46" s="24">
        <v>363</v>
      </c>
      <c r="L46" s="24">
        <v>2178</v>
      </c>
      <c r="M46" s="23">
        <v>313</v>
      </c>
      <c r="N46" s="23"/>
      <c r="O46" s="23">
        <v>50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156</v>
      </c>
      <c r="AG46" s="23"/>
      <c r="AH46" s="23">
        <v>17</v>
      </c>
      <c r="AI46" s="23"/>
      <c r="AJ46" s="23">
        <v>3</v>
      </c>
      <c r="AK46" s="23">
        <v>113</v>
      </c>
      <c r="AL46" s="23">
        <v>23</v>
      </c>
      <c r="AM46" s="23">
        <v>51</v>
      </c>
      <c r="AN46" s="23"/>
      <c r="AO46" s="23">
        <v>305</v>
      </c>
      <c r="AP46" s="23">
        <v>50</v>
      </c>
      <c r="AQ46" s="23"/>
      <c r="AR46" s="23">
        <v>8</v>
      </c>
      <c r="AS46" s="23"/>
      <c r="AT46" s="23"/>
      <c r="AU46" s="14" t="str">
        <f>HYPERLINK("http://www.openstreetmap.org/?mlat=33.0386&amp;mlon=40.2855&amp;zoom=12#map=12/33.0386/40.2855","Maplink1")</f>
        <v>Maplink1</v>
      </c>
      <c r="AV46" s="14" t="str">
        <f>HYPERLINK("https://www.google.iq/maps/search/+33.0386,40.2855/@33.0386,40.2855,14z?hl=en","Maplink2")</f>
        <v>Maplink2</v>
      </c>
      <c r="AW46" s="14" t="str">
        <f>HYPERLINK("http://www.bing.com/maps/?lvl=14&amp;sty=h&amp;cp=33.0386~40.2855&amp;sp=point.33.0386_40.2855_Hay Al-Matar","Maplink3")</f>
        <v>Maplink3</v>
      </c>
    </row>
    <row r="47" spans="1:49" ht="15" customHeight="1" x14ac:dyDescent="0.25">
      <c r="A47" s="21">
        <v>166</v>
      </c>
      <c r="B47" s="22" t="s">
        <v>9</v>
      </c>
      <c r="C47" s="22" t="s">
        <v>161</v>
      </c>
      <c r="D47" s="22" t="s">
        <v>191</v>
      </c>
      <c r="E47" s="22" t="s">
        <v>192</v>
      </c>
      <c r="F47" s="22">
        <v>33.039800999999997</v>
      </c>
      <c r="G47" s="22">
        <v>40.282946000000003</v>
      </c>
      <c r="H47" s="21" t="s">
        <v>73</v>
      </c>
      <c r="I47" s="21" t="s">
        <v>163</v>
      </c>
      <c r="J47" s="21" t="s">
        <v>193</v>
      </c>
      <c r="K47" s="24">
        <v>374</v>
      </c>
      <c r="L47" s="24">
        <v>2244</v>
      </c>
      <c r="M47" s="23">
        <v>374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83</v>
      </c>
      <c r="AG47" s="23"/>
      <c r="AH47" s="23">
        <v>54</v>
      </c>
      <c r="AI47" s="23"/>
      <c r="AJ47" s="23">
        <v>40</v>
      </c>
      <c r="AK47" s="23">
        <v>152</v>
      </c>
      <c r="AL47" s="23"/>
      <c r="AM47" s="23">
        <v>45</v>
      </c>
      <c r="AN47" s="23"/>
      <c r="AO47" s="23">
        <v>374</v>
      </c>
      <c r="AP47" s="23"/>
      <c r="AQ47" s="23"/>
      <c r="AR47" s="23"/>
      <c r="AS47" s="23"/>
      <c r="AT47" s="23"/>
      <c r="AU47" s="14" t="str">
        <f>HYPERLINK("http://www.openstreetmap.org/?mlat=33.0398&amp;mlon=40.2829&amp;zoom=12#map=12/33.0398/40.2829","Maplink1")</f>
        <v>Maplink1</v>
      </c>
      <c r="AV47" s="14" t="str">
        <f>HYPERLINK("https://www.google.iq/maps/search/+33.0398,40.2829/@33.0398,40.2829,14z?hl=en","Maplink2")</f>
        <v>Maplink2</v>
      </c>
      <c r="AW47" s="14" t="str">
        <f>HYPERLINK("http://www.bing.com/maps/?lvl=14&amp;sty=h&amp;cp=33.0398~40.2829&amp;sp=point.33.0398_40.2829_Hay Al Meethagh","Maplink3")</f>
        <v>Maplink3</v>
      </c>
    </row>
    <row r="48" spans="1:49" ht="15" customHeight="1" x14ac:dyDescent="0.25">
      <c r="A48" s="21">
        <v>24763</v>
      </c>
      <c r="B48" s="22" t="s">
        <v>9</v>
      </c>
      <c r="C48" s="22" t="s">
        <v>161</v>
      </c>
      <c r="D48" s="22" t="s">
        <v>194</v>
      </c>
      <c r="E48" s="22" t="s">
        <v>195</v>
      </c>
      <c r="F48" s="22">
        <v>32.764319</v>
      </c>
      <c r="G48" s="22">
        <v>43.386783000000001</v>
      </c>
      <c r="H48" s="21" t="s">
        <v>73</v>
      </c>
      <c r="I48" s="21" t="s">
        <v>163</v>
      </c>
      <c r="J48" s="21"/>
      <c r="K48" s="24">
        <v>57</v>
      </c>
      <c r="L48" s="24">
        <v>342</v>
      </c>
      <c r="M48" s="23">
        <v>57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12</v>
      </c>
      <c r="AG48" s="23"/>
      <c r="AH48" s="23"/>
      <c r="AI48" s="23"/>
      <c r="AJ48" s="23"/>
      <c r="AK48" s="23"/>
      <c r="AL48" s="23">
        <v>45</v>
      </c>
      <c r="AM48" s="23"/>
      <c r="AN48" s="23"/>
      <c r="AO48" s="23">
        <v>57</v>
      </c>
      <c r="AP48" s="23"/>
      <c r="AQ48" s="23"/>
      <c r="AR48" s="23"/>
      <c r="AS48" s="23"/>
      <c r="AT48" s="23"/>
      <c r="AU48" s="14" t="str">
        <f>HYPERLINK("http://www.openstreetmap.org/?mlat=32.7643&amp;mlon=43.3868&amp;zoom=12#map=12/32.7643/43.3868","Maplink1")</f>
        <v>Maplink1</v>
      </c>
      <c r="AV48" s="14" t="str">
        <f>HYPERLINK("https://www.google.iq/maps/search/+32.7643,43.3868/@32.7643,43.3868,14z?hl=en","Maplink2")</f>
        <v>Maplink2</v>
      </c>
      <c r="AW48" s="14" t="str">
        <f>HYPERLINK("http://www.bing.com/maps/?lvl=14&amp;sty=h&amp;cp=32.7643~43.3868&amp;sp=point.32.7643_43.3868_Hay Al-Dour","Maplink3")</f>
        <v>Maplink3</v>
      </c>
    </row>
    <row r="49" spans="1:49" ht="15" customHeight="1" x14ac:dyDescent="0.25">
      <c r="A49" s="21">
        <v>24767</v>
      </c>
      <c r="B49" s="22" t="s">
        <v>9</v>
      </c>
      <c r="C49" s="22" t="s">
        <v>161</v>
      </c>
      <c r="D49" s="22" t="s">
        <v>198</v>
      </c>
      <c r="E49" s="22" t="s">
        <v>199</v>
      </c>
      <c r="F49" s="22">
        <v>32.764232999999997</v>
      </c>
      <c r="G49" s="22">
        <v>43.389341999999999</v>
      </c>
      <c r="H49" s="21" t="s">
        <v>73</v>
      </c>
      <c r="I49" s="21" t="s">
        <v>163</v>
      </c>
      <c r="J49" s="21"/>
      <c r="K49" s="24">
        <v>85</v>
      </c>
      <c r="L49" s="24">
        <v>510</v>
      </c>
      <c r="M49" s="23">
        <v>85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40</v>
      </c>
      <c r="AG49" s="23"/>
      <c r="AH49" s="23"/>
      <c r="AI49" s="23"/>
      <c r="AJ49" s="23"/>
      <c r="AK49" s="23"/>
      <c r="AL49" s="23">
        <v>25</v>
      </c>
      <c r="AM49" s="23">
        <v>20</v>
      </c>
      <c r="AN49" s="23"/>
      <c r="AO49" s="23">
        <v>85</v>
      </c>
      <c r="AP49" s="23"/>
      <c r="AQ49" s="23"/>
      <c r="AR49" s="23"/>
      <c r="AS49" s="23"/>
      <c r="AT49" s="23"/>
      <c r="AU49" s="14" t="str">
        <f>HYPERLINK("http://www.openstreetmap.org/?mlat=32.7642&amp;mlon=43.3893&amp;zoom=12#map=12/32.7642/43.3893","Maplink1")</f>
        <v>Maplink1</v>
      </c>
      <c r="AV49" s="14" t="str">
        <f>HYPERLINK("https://www.google.iq/maps/search/+32.7642,43.3893/@32.7642,43.3893,14z?hl=en","Maplink2")</f>
        <v>Maplink2</v>
      </c>
      <c r="AW49" s="14" t="str">
        <f>HYPERLINK("http://www.bing.com/maps/?lvl=14&amp;sty=h&amp;cp=32.7642~43.3893&amp;sp=point.32.7642_43.3893_Hay Al-Qasar","Maplink3")</f>
        <v>Maplink3</v>
      </c>
    </row>
    <row r="50" spans="1:49" ht="15" customHeight="1" x14ac:dyDescent="0.25">
      <c r="A50" s="21">
        <v>24764</v>
      </c>
      <c r="B50" s="22" t="s">
        <v>9</v>
      </c>
      <c r="C50" s="22" t="s">
        <v>161</v>
      </c>
      <c r="D50" s="22" t="s">
        <v>200</v>
      </c>
      <c r="E50" s="22" t="s">
        <v>201</v>
      </c>
      <c r="F50" s="22">
        <v>32.767707000000001</v>
      </c>
      <c r="G50" s="22">
        <v>43.388323999999997</v>
      </c>
      <c r="H50" s="21" t="s">
        <v>73</v>
      </c>
      <c r="I50" s="21" t="s">
        <v>163</v>
      </c>
      <c r="J50" s="21"/>
      <c r="K50" s="24">
        <v>63</v>
      </c>
      <c r="L50" s="24">
        <v>378</v>
      </c>
      <c r="M50" s="23">
        <v>63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21</v>
      </c>
      <c r="AG50" s="23"/>
      <c r="AH50" s="23"/>
      <c r="AI50" s="23"/>
      <c r="AJ50" s="23"/>
      <c r="AK50" s="23"/>
      <c r="AL50" s="23">
        <v>42</v>
      </c>
      <c r="AM50" s="23"/>
      <c r="AN50" s="23"/>
      <c r="AO50" s="23">
        <v>63</v>
      </c>
      <c r="AP50" s="23"/>
      <c r="AQ50" s="23"/>
      <c r="AR50" s="23"/>
      <c r="AS50" s="23"/>
      <c r="AT50" s="23"/>
      <c r="AU50" s="14" t="str">
        <f>HYPERLINK("http://www.openstreetmap.org/?mlat=32.7677&amp;mlon=43.3883&amp;zoom=12#map=12/32.7677/43.3883","Maplink1")</f>
        <v>Maplink1</v>
      </c>
      <c r="AV50" s="14" t="str">
        <f>HYPERLINK("https://www.google.iq/maps/search/+32.7677,43.3883/@32.7677,43.3883,14z?hl=en","Maplink2")</f>
        <v>Maplink2</v>
      </c>
      <c r="AW50" s="14" t="str">
        <f>HYPERLINK("http://www.bing.com/maps/?lvl=14&amp;sty=h&amp;cp=32.7677~43.3883&amp;sp=point.32.7677_43.3883_Hay Al-Shoqaq","Maplink3")</f>
        <v>Maplink3</v>
      </c>
    </row>
    <row r="51" spans="1:49" ht="15" customHeight="1" x14ac:dyDescent="0.25">
      <c r="A51" s="21">
        <v>24765</v>
      </c>
      <c r="B51" s="22" t="s">
        <v>9</v>
      </c>
      <c r="C51" s="22" t="s">
        <v>161</v>
      </c>
      <c r="D51" s="22" t="s">
        <v>202</v>
      </c>
      <c r="E51" s="22" t="s">
        <v>203</v>
      </c>
      <c r="F51" s="22">
        <v>32.764038999999997</v>
      </c>
      <c r="G51" s="22">
        <v>43.387411</v>
      </c>
      <c r="H51" s="21" t="s">
        <v>73</v>
      </c>
      <c r="I51" s="21" t="s">
        <v>163</v>
      </c>
      <c r="J51" s="21"/>
      <c r="K51" s="24">
        <v>99</v>
      </c>
      <c r="L51" s="24">
        <v>594</v>
      </c>
      <c r="M51" s="23">
        <v>99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50</v>
      </c>
      <c r="AG51" s="23"/>
      <c r="AH51" s="23"/>
      <c r="AI51" s="23"/>
      <c r="AJ51" s="23"/>
      <c r="AK51" s="23"/>
      <c r="AL51" s="23">
        <v>22</v>
      </c>
      <c r="AM51" s="23">
        <v>27</v>
      </c>
      <c r="AN51" s="23"/>
      <c r="AO51" s="23">
        <v>99</v>
      </c>
      <c r="AP51" s="23"/>
      <c r="AQ51" s="23"/>
      <c r="AR51" s="23"/>
      <c r="AS51" s="23"/>
      <c r="AT51" s="23"/>
      <c r="AU51" s="14" t="str">
        <f>HYPERLINK("http://www.openstreetmap.org/?mlat=32.764&amp;mlon=43.3874&amp;zoom=12#map=12/32.764/43.3874","Maplink1")</f>
        <v>Maplink1</v>
      </c>
      <c r="AV51" s="14" t="str">
        <f>HYPERLINK("https://www.google.iq/maps/search/+32.764,43.3874/@32.764,43.3874,14z?hl=en","Maplink2")</f>
        <v>Maplink2</v>
      </c>
      <c r="AW51" s="14" t="str">
        <f>HYPERLINK("http://www.bing.com/maps/?lvl=14&amp;sty=h&amp;cp=32.764~43.3874&amp;sp=point.32.764_43.3874_Hay Al-Uwenah","Maplink3")</f>
        <v>Maplink3</v>
      </c>
    </row>
    <row r="52" spans="1:49" ht="15" customHeight="1" x14ac:dyDescent="0.25">
      <c r="A52" s="21">
        <v>23888</v>
      </c>
      <c r="B52" s="22" t="s">
        <v>9</v>
      </c>
      <c r="C52" s="22" t="s">
        <v>161</v>
      </c>
      <c r="D52" s="22" t="s">
        <v>8310</v>
      </c>
      <c r="E52" s="22" t="s">
        <v>185</v>
      </c>
      <c r="F52" s="22">
        <v>33.037021000000003</v>
      </c>
      <c r="G52" s="22">
        <v>40.279730999999998</v>
      </c>
      <c r="H52" s="21" t="s">
        <v>73</v>
      </c>
      <c r="I52" s="21" t="s">
        <v>163</v>
      </c>
      <c r="J52" s="21" t="s">
        <v>186</v>
      </c>
      <c r="K52" s="24">
        <v>281</v>
      </c>
      <c r="L52" s="24">
        <v>1686</v>
      </c>
      <c r="M52" s="23">
        <v>281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67</v>
      </c>
      <c r="AG52" s="23"/>
      <c r="AH52" s="23">
        <v>48</v>
      </c>
      <c r="AI52" s="23"/>
      <c r="AJ52" s="23"/>
      <c r="AK52" s="23">
        <v>128</v>
      </c>
      <c r="AL52" s="23">
        <v>8</v>
      </c>
      <c r="AM52" s="23">
        <v>30</v>
      </c>
      <c r="AN52" s="23"/>
      <c r="AO52" s="23">
        <v>275</v>
      </c>
      <c r="AP52" s="23"/>
      <c r="AQ52" s="23"/>
      <c r="AR52" s="23">
        <v>6</v>
      </c>
      <c r="AS52" s="23"/>
      <c r="AT52" s="23"/>
      <c r="AU52" s="14" t="str">
        <f>HYPERLINK("http://www.openstreetmap.org/?mlat=33.037&amp;mlon=40.2797&amp;zoom=12#map=12/33.037/40.2797","Maplink1")</f>
        <v>Maplink1</v>
      </c>
      <c r="AV52" s="14" t="str">
        <f>HYPERLINK("https://www.google.iq/maps/search/+33.037,40.2797/@33.037,40.2797,14z?hl=en","Maplink2")</f>
        <v>Maplink2</v>
      </c>
      <c r="AW52" s="14" t="str">
        <f>HYPERLINK("http://www.bing.com/maps/?lvl=14&amp;sty=h&amp;cp=33.037~40.2797&amp;sp=point.33.037_40.2797_Gharb Al-Wadi","Maplink3")</f>
        <v>Maplink3</v>
      </c>
    </row>
    <row r="53" spans="1:49" ht="15" customHeight="1" x14ac:dyDescent="0.25">
      <c r="A53" s="21">
        <v>23936</v>
      </c>
      <c r="B53" s="22" t="s">
        <v>9</v>
      </c>
      <c r="C53" s="22" t="s">
        <v>161</v>
      </c>
      <c r="D53" s="22" t="s">
        <v>204</v>
      </c>
      <c r="E53" s="22" t="s">
        <v>205</v>
      </c>
      <c r="F53" s="22">
        <v>33.036434</v>
      </c>
      <c r="G53" s="22">
        <v>40.284388999999997</v>
      </c>
      <c r="H53" s="21" t="s">
        <v>73</v>
      </c>
      <c r="I53" s="21" t="s">
        <v>163</v>
      </c>
      <c r="J53" s="21" t="s">
        <v>206</v>
      </c>
      <c r="K53" s="24">
        <v>203</v>
      </c>
      <c r="L53" s="24">
        <v>1218</v>
      </c>
      <c r="M53" s="23">
        <v>203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62</v>
      </c>
      <c r="AG53" s="23"/>
      <c r="AH53" s="23"/>
      <c r="AI53" s="23"/>
      <c r="AJ53" s="23"/>
      <c r="AK53" s="23">
        <v>47</v>
      </c>
      <c r="AL53" s="23">
        <v>9</v>
      </c>
      <c r="AM53" s="23">
        <v>85</v>
      </c>
      <c r="AN53" s="23"/>
      <c r="AO53" s="23">
        <v>203</v>
      </c>
      <c r="AP53" s="23"/>
      <c r="AQ53" s="23"/>
      <c r="AR53" s="23"/>
      <c r="AS53" s="23"/>
      <c r="AT53" s="23"/>
      <c r="AU53" s="14" t="str">
        <f>HYPERLINK("http://www.openstreetmap.org/?mlat=33.0364&amp;mlon=40.2844&amp;zoom=12#map=12/33.0364/40.2844","Maplink1")</f>
        <v>Maplink1</v>
      </c>
      <c r="AV53" s="14" t="str">
        <f>HYPERLINK("https://www.google.iq/maps/search/+33.0364,40.2844/@33.0364,40.2844,14z?hl=en","Maplink2")</f>
        <v>Maplink2</v>
      </c>
      <c r="AW53" s="14" t="str">
        <f>HYPERLINK("http://www.bing.com/maps/?lvl=14&amp;sty=h&amp;cp=33.0364~40.2844&amp;sp=point.33.0364_40.2844_Rumilah Village","Maplink3")</f>
        <v>Maplink3</v>
      </c>
    </row>
    <row r="54" spans="1:49" ht="15" customHeight="1" x14ac:dyDescent="0.25">
      <c r="A54" s="21">
        <v>248</v>
      </c>
      <c r="B54" s="22" t="s">
        <v>9</v>
      </c>
      <c r="C54" s="22" t="s">
        <v>207</v>
      </c>
      <c r="D54" s="22" t="s">
        <v>208</v>
      </c>
      <c r="E54" s="22" t="s">
        <v>209</v>
      </c>
      <c r="F54" s="22">
        <v>34.369351999999999</v>
      </c>
      <c r="G54" s="22">
        <v>41.977817999999999</v>
      </c>
      <c r="H54" s="21" t="s">
        <v>73</v>
      </c>
      <c r="I54" s="21" t="s">
        <v>210</v>
      </c>
      <c r="J54" s="21" t="s">
        <v>211</v>
      </c>
      <c r="K54" s="24">
        <v>242</v>
      </c>
      <c r="L54" s="24">
        <v>1452</v>
      </c>
      <c r="M54" s="23">
        <v>242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72</v>
      </c>
      <c r="AG54" s="23"/>
      <c r="AH54" s="23"/>
      <c r="AI54" s="23"/>
      <c r="AJ54" s="23"/>
      <c r="AK54" s="23">
        <v>170</v>
      </c>
      <c r="AL54" s="23"/>
      <c r="AM54" s="23"/>
      <c r="AN54" s="23"/>
      <c r="AO54" s="23">
        <v>235</v>
      </c>
      <c r="AP54" s="23"/>
      <c r="AQ54" s="23"/>
      <c r="AR54" s="23">
        <v>7</v>
      </c>
      <c r="AS54" s="23"/>
      <c r="AT54" s="23"/>
      <c r="AU54" s="14" t="str">
        <f>HYPERLINK("http://www.openstreetmap.org/?mlat=34.3694&amp;mlon=41.9778&amp;zoom=12#map=12/34.3694/41.9778","Maplink1")</f>
        <v>Maplink1</v>
      </c>
      <c r="AV54" s="14" t="str">
        <f>HYPERLINK("https://www.google.iq/maps/search/+34.3694,41.9778/@34.3694,41.9778,14z?hl=en","Maplink2")</f>
        <v>Maplink2</v>
      </c>
      <c r="AW54" s="14" t="str">
        <f>HYPERLINK("http://www.bing.com/maps/?lvl=14&amp;sty=h&amp;cp=34.3694~41.9778&amp;sp=point.34.3694_41.9778_Al bor (Shishan)","Maplink3")</f>
        <v>Maplink3</v>
      </c>
    </row>
    <row r="55" spans="1:49" ht="15" customHeight="1" x14ac:dyDescent="0.25">
      <c r="A55" s="21">
        <v>246</v>
      </c>
      <c r="B55" s="22" t="s">
        <v>9</v>
      </c>
      <c r="C55" s="22" t="s">
        <v>207</v>
      </c>
      <c r="D55" s="22" t="s">
        <v>212</v>
      </c>
      <c r="E55" s="22" t="s">
        <v>213</v>
      </c>
      <c r="F55" s="22">
        <v>34.226543999999997</v>
      </c>
      <c r="G55" s="22">
        <v>42.145226999999998</v>
      </c>
      <c r="H55" s="21" t="s">
        <v>73</v>
      </c>
      <c r="I55" s="21" t="s">
        <v>210</v>
      </c>
      <c r="J55" s="21" t="s">
        <v>214</v>
      </c>
      <c r="K55" s="24">
        <v>226</v>
      </c>
      <c r="L55" s="24">
        <v>1356</v>
      </c>
      <c r="M55" s="23">
        <v>226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84</v>
      </c>
      <c r="AG55" s="23"/>
      <c r="AH55" s="23">
        <v>38</v>
      </c>
      <c r="AI55" s="23"/>
      <c r="AJ55" s="23"/>
      <c r="AK55" s="23">
        <v>104</v>
      </c>
      <c r="AL55" s="23"/>
      <c r="AM55" s="23"/>
      <c r="AN55" s="23"/>
      <c r="AO55" s="23">
        <v>215</v>
      </c>
      <c r="AP55" s="23"/>
      <c r="AQ55" s="23"/>
      <c r="AR55" s="23">
        <v>11</v>
      </c>
      <c r="AS55" s="23"/>
      <c r="AT55" s="23"/>
      <c r="AU55" s="14" t="str">
        <f>HYPERLINK("http://www.openstreetmap.org/?mlat=34.2265&amp;mlon=42.1452&amp;zoom=12#map=12/34.2265/42.1452","Maplink1")</f>
        <v>Maplink1</v>
      </c>
      <c r="AV55" s="14" t="str">
        <f>HYPERLINK("https://www.google.iq/maps/search/+34.2265,42.1452/@34.2265,42.1452,14z?hl=en","Maplink2")</f>
        <v>Maplink2</v>
      </c>
      <c r="AW55" s="14" t="str">
        <f>HYPERLINK("http://www.bing.com/maps/?lvl=14&amp;sty=h&amp;cp=34.2265~42.1452&amp;sp=point.34.2265_42.1452_Al maadid","Maplink3")</f>
        <v>Maplink3</v>
      </c>
    </row>
    <row r="56" spans="1:49" ht="15" customHeight="1" x14ac:dyDescent="0.25">
      <c r="A56" s="21">
        <v>252</v>
      </c>
      <c r="B56" s="22" t="s">
        <v>9</v>
      </c>
      <c r="C56" s="22" t="s">
        <v>207</v>
      </c>
      <c r="D56" s="22" t="s">
        <v>215</v>
      </c>
      <c r="E56" s="22" t="s">
        <v>216</v>
      </c>
      <c r="F56" s="22">
        <v>34.367327000000003</v>
      </c>
      <c r="G56" s="22">
        <v>41.972490000000001</v>
      </c>
      <c r="H56" s="21" t="s">
        <v>73</v>
      </c>
      <c r="I56" s="21" t="s">
        <v>210</v>
      </c>
      <c r="J56" s="21" t="s">
        <v>217</v>
      </c>
      <c r="K56" s="24">
        <v>337</v>
      </c>
      <c r="L56" s="24">
        <v>2022</v>
      </c>
      <c r="M56" s="23">
        <v>337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98</v>
      </c>
      <c r="AG56" s="23"/>
      <c r="AH56" s="23"/>
      <c r="AI56" s="23"/>
      <c r="AJ56" s="23"/>
      <c r="AK56" s="23">
        <v>178</v>
      </c>
      <c r="AL56" s="23">
        <v>4</v>
      </c>
      <c r="AM56" s="23">
        <v>57</v>
      </c>
      <c r="AN56" s="23"/>
      <c r="AO56" s="23">
        <v>329</v>
      </c>
      <c r="AP56" s="23"/>
      <c r="AQ56" s="23"/>
      <c r="AR56" s="23">
        <v>8</v>
      </c>
      <c r="AS56" s="23"/>
      <c r="AT56" s="23"/>
      <c r="AU56" s="14" t="str">
        <f>HYPERLINK("http://www.openstreetmap.org/?mlat=34.3673&amp;mlon=41.9725&amp;zoom=12#map=12/34.3673/41.9725","Maplink1")</f>
        <v>Maplink1</v>
      </c>
      <c r="AV56" s="14" t="str">
        <f>HYPERLINK("https://www.google.iq/maps/search/+34.3673,41.9725/@34.3673,41.9725,14z?hl=en","Maplink2")</f>
        <v>Maplink2</v>
      </c>
      <c r="AW56" s="14" t="str">
        <f>HYPERLINK("http://www.bing.com/maps/?lvl=14&amp;sty=h&amp;cp=34.3673~41.9725&amp;sp=point.34.3673_41.9725_Al Tadamon","Maplink3")</f>
        <v>Maplink3</v>
      </c>
    </row>
    <row r="57" spans="1:49" ht="15" customHeight="1" x14ac:dyDescent="0.25">
      <c r="A57" s="21">
        <v>23937</v>
      </c>
      <c r="B57" s="22" t="s">
        <v>9</v>
      </c>
      <c r="C57" s="22" t="s">
        <v>207</v>
      </c>
      <c r="D57" s="22" t="s">
        <v>218</v>
      </c>
      <c r="E57" s="22" t="s">
        <v>219</v>
      </c>
      <c r="F57" s="22">
        <v>34.466434999999997</v>
      </c>
      <c r="G57" s="22">
        <v>41.738821000000002</v>
      </c>
      <c r="H57" s="21" t="s">
        <v>73</v>
      </c>
      <c r="I57" s="21" t="s">
        <v>210</v>
      </c>
      <c r="J57" s="21" t="s">
        <v>220</v>
      </c>
      <c r="K57" s="24">
        <v>30</v>
      </c>
      <c r="L57" s="24">
        <v>180</v>
      </c>
      <c r="M57" s="23">
        <v>30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21</v>
      </c>
      <c r="AG57" s="23"/>
      <c r="AH57" s="23"/>
      <c r="AI57" s="23"/>
      <c r="AJ57" s="23"/>
      <c r="AK57" s="23">
        <v>6</v>
      </c>
      <c r="AL57" s="23"/>
      <c r="AM57" s="23">
        <v>3</v>
      </c>
      <c r="AN57" s="23"/>
      <c r="AO57" s="23">
        <v>20</v>
      </c>
      <c r="AP57" s="23"/>
      <c r="AQ57" s="23"/>
      <c r="AR57" s="23">
        <v>10</v>
      </c>
      <c r="AS57" s="23"/>
      <c r="AT57" s="23"/>
      <c r="AU57" s="14" t="str">
        <f>HYPERLINK("http://www.openstreetmap.org/?mlat=34.4664&amp;mlon=41.7388&amp;zoom=12#map=12/34.4664/41.7388","Maplink1")</f>
        <v>Maplink1</v>
      </c>
      <c r="AV57" s="14" t="str">
        <f>HYPERLINK("https://www.google.iq/maps/search/+34.4664,41.7388/@34.4664,41.7388,14z?hl=en","Maplink2")</f>
        <v>Maplink2</v>
      </c>
      <c r="AW57" s="14" t="str">
        <f>HYPERLINK("http://www.bing.com/maps/?lvl=14&amp;sty=h&amp;cp=34.4664~41.7388&amp;sp=point.34.4664_41.7388_Al-Awany Village","Maplink3")</f>
        <v>Maplink3</v>
      </c>
    </row>
    <row r="58" spans="1:49" ht="15" customHeight="1" x14ac:dyDescent="0.25">
      <c r="A58" s="21">
        <v>250</v>
      </c>
      <c r="B58" s="22" t="s">
        <v>9</v>
      </c>
      <c r="C58" s="22" t="s">
        <v>207</v>
      </c>
      <c r="D58" s="22" t="s">
        <v>221</v>
      </c>
      <c r="E58" s="22" t="s">
        <v>222</v>
      </c>
      <c r="F58" s="22">
        <v>34.366033000000002</v>
      </c>
      <c r="G58" s="22">
        <v>41.990583000000001</v>
      </c>
      <c r="H58" s="21" t="s">
        <v>73</v>
      </c>
      <c r="I58" s="21" t="s">
        <v>210</v>
      </c>
      <c r="J58" s="21" t="s">
        <v>223</v>
      </c>
      <c r="K58" s="24">
        <v>414</v>
      </c>
      <c r="L58" s="24">
        <v>2484</v>
      </c>
      <c r="M58" s="23">
        <v>414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212</v>
      </c>
      <c r="AG58" s="23"/>
      <c r="AH58" s="23"/>
      <c r="AI58" s="23"/>
      <c r="AJ58" s="23"/>
      <c r="AK58" s="23">
        <v>194</v>
      </c>
      <c r="AL58" s="23">
        <v>8</v>
      </c>
      <c r="AM58" s="23"/>
      <c r="AN58" s="23"/>
      <c r="AO58" s="23">
        <v>304</v>
      </c>
      <c r="AP58" s="23"/>
      <c r="AQ58" s="23"/>
      <c r="AR58" s="23">
        <v>110</v>
      </c>
      <c r="AS58" s="23"/>
      <c r="AT58" s="23"/>
      <c r="AU58" s="14" t="str">
        <f>HYPERLINK("http://www.openstreetmap.org/?mlat=34.366&amp;mlon=41.9906&amp;zoom=12#map=12/34.366/41.9906","Maplink1")</f>
        <v>Maplink1</v>
      </c>
      <c r="AV58" s="14" t="str">
        <f>HYPERLINK("https://www.google.iq/maps/search/+34.366,41.9906/@34.366,41.9906,14z?hl=en","Maplink2")</f>
        <v>Maplink2</v>
      </c>
      <c r="AW58" s="14" t="str">
        <f>HYPERLINK("http://www.bing.com/maps/?lvl=14&amp;sty=h&amp;cp=34.366~41.9906&amp;sp=point.34.366_41.9906_Hay Al Nasir","Maplink3")</f>
        <v>Maplink3</v>
      </c>
    </row>
    <row r="59" spans="1:49" ht="15" customHeight="1" x14ac:dyDescent="0.25">
      <c r="A59" s="21">
        <v>251</v>
      </c>
      <c r="B59" s="22" t="s">
        <v>9</v>
      </c>
      <c r="C59" s="22" t="s">
        <v>207</v>
      </c>
      <c r="D59" s="22" t="s">
        <v>224</v>
      </c>
      <c r="E59" s="22" t="s">
        <v>225</v>
      </c>
      <c r="F59" s="22">
        <v>34.376623000000002</v>
      </c>
      <c r="G59" s="22">
        <v>41.980873000000003</v>
      </c>
      <c r="H59" s="21" t="s">
        <v>73</v>
      </c>
      <c r="I59" s="21" t="s">
        <v>210</v>
      </c>
      <c r="J59" s="21" t="s">
        <v>226</v>
      </c>
      <c r="K59" s="24">
        <v>294</v>
      </c>
      <c r="L59" s="24">
        <v>1764</v>
      </c>
      <c r="M59" s="23">
        <v>294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122</v>
      </c>
      <c r="AG59" s="23"/>
      <c r="AH59" s="23"/>
      <c r="AI59" s="23"/>
      <c r="AJ59" s="23"/>
      <c r="AK59" s="23">
        <v>164</v>
      </c>
      <c r="AL59" s="23">
        <v>8</v>
      </c>
      <c r="AM59" s="23"/>
      <c r="AN59" s="23"/>
      <c r="AO59" s="23">
        <v>289</v>
      </c>
      <c r="AP59" s="23"/>
      <c r="AQ59" s="23"/>
      <c r="AR59" s="23">
        <v>5</v>
      </c>
      <c r="AS59" s="23"/>
      <c r="AT59" s="23"/>
      <c r="AU59" s="14" t="str">
        <f>HYPERLINK("http://www.openstreetmap.org/?mlat=34.3766&amp;mlon=41.9809&amp;zoom=12#map=12/34.3766/41.9809","Maplink1")</f>
        <v>Maplink1</v>
      </c>
      <c r="AV59" s="14" t="str">
        <f>HYPERLINK("https://www.google.iq/maps/search/+34.3766,41.9809/@34.3766,41.9809,14z?hl=en","Maplink2")</f>
        <v>Maplink2</v>
      </c>
      <c r="AW59" s="14" t="str">
        <f>HYPERLINK("http://www.bing.com/maps/?lvl=14&amp;sty=h&amp;cp=34.3766~41.9809&amp;sp=point.34.3766_41.9809_Hay Al Qadissiyah","Maplink3")</f>
        <v>Maplink3</v>
      </c>
    </row>
    <row r="60" spans="1:49" ht="15" customHeight="1" x14ac:dyDescent="0.25">
      <c r="A60" s="21">
        <v>253</v>
      </c>
      <c r="B60" s="22" t="s">
        <v>9</v>
      </c>
      <c r="C60" s="22" t="s">
        <v>207</v>
      </c>
      <c r="D60" s="22" t="s">
        <v>227</v>
      </c>
      <c r="E60" s="22" t="s">
        <v>150</v>
      </c>
      <c r="F60" s="22">
        <v>34.364510000000003</v>
      </c>
      <c r="G60" s="22">
        <v>41.980243999999999</v>
      </c>
      <c r="H60" s="21" t="s">
        <v>73</v>
      </c>
      <c r="I60" s="21" t="s">
        <v>210</v>
      </c>
      <c r="J60" s="21" t="s">
        <v>228</v>
      </c>
      <c r="K60" s="24">
        <v>252</v>
      </c>
      <c r="L60" s="24">
        <v>1512</v>
      </c>
      <c r="M60" s="23">
        <v>252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93</v>
      </c>
      <c r="AG60" s="23"/>
      <c r="AH60" s="23">
        <v>35</v>
      </c>
      <c r="AI60" s="23"/>
      <c r="AJ60" s="23"/>
      <c r="AK60" s="23">
        <v>110</v>
      </c>
      <c r="AL60" s="23"/>
      <c r="AM60" s="23">
        <v>14</v>
      </c>
      <c r="AN60" s="23"/>
      <c r="AO60" s="23">
        <v>247</v>
      </c>
      <c r="AP60" s="23"/>
      <c r="AQ60" s="23"/>
      <c r="AR60" s="23">
        <v>5</v>
      </c>
      <c r="AS60" s="23"/>
      <c r="AT60" s="23"/>
      <c r="AU60" s="14" t="str">
        <f>HYPERLINK("http://www.openstreetmap.org/?mlat=34.3645&amp;mlon=41.9802&amp;zoom=12#map=12/34.3645/41.9802","Maplink1")</f>
        <v>Maplink1</v>
      </c>
      <c r="AV60" s="14" t="str">
        <f>HYPERLINK("https://www.google.iq/maps/search/+34.3645,41.9802/@34.3645,41.9802,14z?hl=en","Maplink2")</f>
        <v>Maplink2</v>
      </c>
      <c r="AW60" s="14" t="str">
        <f>HYPERLINK("http://www.bing.com/maps/?lvl=14&amp;sty=h&amp;cp=34.3645~41.9802&amp;sp=point.34.3645_41.9802_Hay Al Salam","Maplink3")</f>
        <v>Maplink3</v>
      </c>
    </row>
    <row r="61" spans="1:49" ht="15" customHeight="1" x14ac:dyDescent="0.25">
      <c r="A61" s="21">
        <v>249</v>
      </c>
      <c r="B61" s="22" t="s">
        <v>9</v>
      </c>
      <c r="C61" s="22" t="s">
        <v>207</v>
      </c>
      <c r="D61" s="22" t="s">
        <v>229</v>
      </c>
      <c r="E61" s="22" t="s">
        <v>230</v>
      </c>
      <c r="F61" s="22">
        <v>34.369382999999999</v>
      </c>
      <c r="G61" s="22">
        <v>41.991556000000003</v>
      </c>
      <c r="H61" s="21" t="s">
        <v>73</v>
      </c>
      <c r="I61" s="21" t="s">
        <v>210</v>
      </c>
      <c r="J61" s="21" t="s">
        <v>231</v>
      </c>
      <c r="K61" s="24">
        <v>241</v>
      </c>
      <c r="L61" s="24">
        <v>1446</v>
      </c>
      <c r="M61" s="23">
        <v>241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143</v>
      </c>
      <c r="AG61" s="23"/>
      <c r="AH61" s="23"/>
      <c r="AI61" s="23"/>
      <c r="AJ61" s="23"/>
      <c r="AK61" s="23">
        <v>91</v>
      </c>
      <c r="AL61" s="23">
        <v>7</v>
      </c>
      <c r="AM61" s="23"/>
      <c r="AN61" s="23"/>
      <c r="AO61" s="23">
        <v>171</v>
      </c>
      <c r="AP61" s="23"/>
      <c r="AQ61" s="23"/>
      <c r="AR61" s="23">
        <v>70</v>
      </c>
      <c r="AS61" s="23"/>
      <c r="AT61" s="23"/>
      <c r="AU61" s="14" t="str">
        <f>HYPERLINK("http://www.openstreetmap.org/?mlat=34.3694&amp;mlon=41.9916&amp;zoom=12#map=12/34.3694/41.9916","Maplink1")</f>
        <v>Maplink1</v>
      </c>
      <c r="AV61" s="14" t="str">
        <f>HYPERLINK("https://www.google.iq/maps/search/+34.3694,41.9916/@34.3694,41.9916,14z?hl=en","Maplink2")</f>
        <v>Maplink2</v>
      </c>
      <c r="AW61" s="14" t="str">
        <f>HYPERLINK("http://www.bing.com/maps/?lvl=14&amp;sty=h&amp;cp=34.3694~41.9916&amp;sp=point.34.3694_41.9916_Hay Al Tammem","Maplink3")</f>
        <v>Maplink3</v>
      </c>
    </row>
    <row r="62" spans="1:49" ht="15" customHeight="1" x14ac:dyDescent="0.25">
      <c r="A62" s="21">
        <v>23799</v>
      </c>
      <c r="B62" s="22" t="s">
        <v>9</v>
      </c>
      <c r="C62" s="22" t="s">
        <v>207</v>
      </c>
      <c r="D62" s="22" t="s">
        <v>232</v>
      </c>
      <c r="E62" s="22" t="s">
        <v>233</v>
      </c>
      <c r="F62" s="22">
        <v>34.367452999999998</v>
      </c>
      <c r="G62" s="22">
        <v>41.99924</v>
      </c>
      <c r="H62" s="21" t="s">
        <v>73</v>
      </c>
      <c r="I62" s="21" t="s">
        <v>210</v>
      </c>
      <c r="J62" s="21" t="s">
        <v>234</v>
      </c>
      <c r="K62" s="24">
        <v>10</v>
      </c>
      <c r="L62" s="24">
        <v>60</v>
      </c>
      <c r="M62" s="23">
        <v>10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7</v>
      </c>
      <c r="AG62" s="23"/>
      <c r="AH62" s="23">
        <v>3</v>
      </c>
      <c r="AI62" s="23"/>
      <c r="AJ62" s="23"/>
      <c r="AK62" s="23"/>
      <c r="AL62" s="23"/>
      <c r="AM62" s="23"/>
      <c r="AN62" s="23"/>
      <c r="AO62" s="23">
        <v>3</v>
      </c>
      <c r="AP62" s="23"/>
      <c r="AQ62" s="23"/>
      <c r="AR62" s="23">
        <v>7</v>
      </c>
      <c r="AS62" s="23"/>
      <c r="AT62" s="23"/>
      <c r="AU62" s="14" t="str">
        <f>HYPERLINK("http://www.openstreetmap.org/?mlat=34.3675&amp;mlon=41.9992&amp;zoom=12#map=12/34.3675/41.9992","Maplink1")</f>
        <v>Maplink1</v>
      </c>
      <c r="AV62" s="14" t="str">
        <f>HYPERLINK("https://www.google.iq/maps/search/+34.3675,41.9992/@34.3675,41.9992,14z?hl=en","Maplink2")</f>
        <v>Maplink2</v>
      </c>
      <c r="AW62" s="14" t="str">
        <f>HYPERLINK("http://www.bing.com/maps/?lvl=14&amp;sty=h&amp;cp=34.3675~41.9992&amp;sp=point.34.3675_41.9992_Hay Al ZeraI","Maplink3")</f>
        <v>Maplink3</v>
      </c>
    </row>
    <row r="63" spans="1:49" ht="15" customHeight="1" x14ac:dyDescent="0.25">
      <c r="A63" s="21">
        <v>247</v>
      </c>
      <c r="B63" s="22" t="s">
        <v>9</v>
      </c>
      <c r="C63" s="22" t="s">
        <v>207</v>
      </c>
      <c r="D63" s="22" t="s">
        <v>235</v>
      </c>
      <c r="E63" s="22" t="s">
        <v>236</v>
      </c>
      <c r="F63" s="22">
        <v>34.340626</v>
      </c>
      <c r="G63" s="22">
        <v>42.029125000000001</v>
      </c>
      <c r="H63" s="21" t="s">
        <v>73</v>
      </c>
      <c r="I63" s="21" t="s">
        <v>210</v>
      </c>
      <c r="J63" s="21" t="s">
        <v>237</v>
      </c>
      <c r="K63" s="24">
        <v>132</v>
      </c>
      <c r="L63" s="24">
        <v>792</v>
      </c>
      <c r="M63" s="23">
        <v>132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62</v>
      </c>
      <c r="AG63" s="23"/>
      <c r="AH63" s="23"/>
      <c r="AI63" s="23"/>
      <c r="AJ63" s="23"/>
      <c r="AK63" s="23">
        <v>52</v>
      </c>
      <c r="AL63" s="23"/>
      <c r="AM63" s="23">
        <v>18</v>
      </c>
      <c r="AN63" s="23"/>
      <c r="AO63" s="23">
        <v>125</v>
      </c>
      <c r="AP63" s="23"/>
      <c r="AQ63" s="23"/>
      <c r="AR63" s="23">
        <v>7</v>
      </c>
      <c r="AS63" s="23"/>
      <c r="AT63" s="23"/>
      <c r="AU63" s="14" t="str">
        <f>HYPERLINK("http://www.openstreetmap.org/?mlat=34.3406&amp;mlon=42.0291&amp;zoom=12#map=12/34.3406/42.0291","Maplink1")</f>
        <v>Maplink1</v>
      </c>
      <c r="AV63" s="14" t="str">
        <f>HYPERLINK("https://www.google.iq/maps/search/+34.3406,42.0291/@34.3406,42.0291,14z?hl=en","Maplink2")</f>
        <v>Maplink2</v>
      </c>
      <c r="AW63" s="14" t="str">
        <f>HYPERLINK("http://www.bing.com/maps/?lvl=14&amp;sty=h&amp;cp=34.3406~42.0291&amp;sp=point.34.3406_42.0291_Rayhana","Maplink3")</f>
        <v>Maplink3</v>
      </c>
    </row>
    <row r="64" spans="1:49" ht="15" customHeight="1" x14ac:dyDescent="0.25">
      <c r="A64" s="21">
        <v>109</v>
      </c>
      <c r="B64" s="22" t="s">
        <v>9</v>
      </c>
      <c r="C64" s="22" t="s">
        <v>207</v>
      </c>
      <c r="D64" s="22" t="s">
        <v>238</v>
      </c>
      <c r="E64" s="22" t="s">
        <v>153</v>
      </c>
      <c r="F64" s="22">
        <v>34.373336000000002</v>
      </c>
      <c r="G64" s="22">
        <v>41.987462999999998</v>
      </c>
      <c r="H64" s="21" t="s">
        <v>73</v>
      </c>
      <c r="I64" s="21" t="s">
        <v>210</v>
      </c>
      <c r="J64" s="21" t="s">
        <v>239</v>
      </c>
      <c r="K64" s="24">
        <v>214</v>
      </c>
      <c r="L64" s="24">
        <v>1284</v>
      </c>
      <c r="M64" s="23">
        <v>214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88</v>
      </c>
      <c r="AG64" s="23"/>
      <c r="AH64" s="23">
        <v>2</v>
      </c>
      <c r="AI64" s="23"/>
      <c r="AJ64" s="23"/>
      <c r="AK64" s="23">
        <v>117</v>
      </c>
      <c r="AL64" s="23">
        <v>7</v>
      </c>
      <c r="AM64" s="23"/>
      <c r="AN64" s="23"/>
      <c r="AO64" s="23">
        <v>205</v>
      </c>
      <c r="AP64" s="23"/>
      <c r="AQ64" s="23"/>
      <c r="AR64" s="23">
        <v>9</v>
      </c>
      <c r="AS64" s="23"/>
      <c r="AT64" s="23"/>
      <c r="AU64" s="14" t="str">
        <f>HYPERLINK("http://www.openstreetmap.org/?mlat=34.3733&amp;mlon=41.9875&amp;zoom=12#map=12/34.3733/41.9875","Maplink1")</f>
        <v>Maplink1</v>
      </c>
      <c r="AV64" s="14" t="str">
        <f>HYPERLINK("https://www.google.iq/maps/search/+34.3733,41.9875/@34.3733,41.9875,14z?hl=en","Maplink2")</f>
        <v>Maplink2</v>
      </c>
      <c r="AW64" s="14" t="str">
        <f>HYPERLINK("http://www.bing.com/maps/?lvl=14&amp;sty=h&amp;cp=34.3733~41.9875&amp;sp=point.34.3733_41.9875_Yarmouk","Maplink3")</f>
        <v>Maplink3</v>
      </c>
    </row>
    <row r="65" spans="1:49" ht="15" customHeight="1" x14ac:dyDescent="0.25">
      <c r="A65" s="21">
        <v>24766</v>
      </c>
      <c r="B65" s="22" t="s">
        <v>9</v>
      </c>
      <c r="C65" s="22" t="s">
        <v>240</v>
      </c>
      <c r="D65" s="22" t="s">
        <v>241</v>
      </c>
      <c r="E65" s="22" t="s">
        <v>242</v>
      </c>
      <c r="F65" s="22">
        <v>33.408380000000001</v>
      </c>
      <c r="G65" s="22">
        <v>43.915799</v>
      </c>
      <c r="H65" s="21" t="s">
        <v>73</v>
      </c>
      <c r="I65" s="21" t="s">
        <v>243</v>
      </c>
      <c r="J65" s="21"/>
      <c r="K65" s="24">
        <v>60</v>
      </c>
      <c r="L65" s="24">
        <v>360</v>
      </c>
      <c r="M65" s="23">
        <v>60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40</v>
      </c>
      <c r="AG65" s="23"/>
      <c r="AH65" s="23"/>
      <c r="AI65" s="23"/>
      <c r="AJ65" s="23"/>
      <c r="AK65" s="23"/>
      <c r="AL65" s="23">
        <v>20</v>
      </c>
      <c r="AM65" s="23"/>
      <c r="AN65" s="23"/>
      <c r="AO65" s="23"/>
      <c r="AP65" s="23"/>
      <c r="AQ65" s="23"/>
      <c r="AR65" s="23">
        <v>60</v>
      </c>
      <c r="AS65" s="23"/>
      <c r="AT65" s="23"/>
      <c r="AU65" s="14" t="str">
        <f>HYPERLINK("http://www.openstreetmap.org/?mlat=33.4084&amp;mlon=43.9158&amp;zoom=12#map=12/33.4084/43.9158","Maplink1")</f>
        <v>Maplink1</v>
      </c>
      <c r="AV65" s="14" t="str">
        <f>HYPERLINK("https://www.google.iq/maps/search/+33.4084,43.9158/@33.4084,43.9158,14z?hl=en","Maplink2")</f>
        <v>Maplink2</v>
      </c>
      <c r="AW65" s="14" t="str">
        <f>HYPERLINK("http://www.bing.com/maps/?lvl=14&amp;sty=h&amp;cp=33.4084~43.9158&amp;sp=point.33.4084_43.9158_Al Abbah","Maplink3")</f>
        <v>Maplink3</v>
      </c>
    </row>
    <row r="66" spans="1:49" ht="15" customHeight="1" x14ac:dyDescent="0.25">
      <c r="A66" s="21">
        <v>107</v>
      </c>
      <c r="B66" s="22" t="s">
        <v>9</v>
      </c>
      <c r="C66" s="22" t="s">
        <v>240</v>
      </c>
      <c r="D66" s="22" t="s">
        <v>244</v>
      </c>
      <c r="E66" s="22" t="s">
        <v>245</v>
      </c>
      <c r="F66" s="22">
        <v>33.178967999999998</v>
      </c>
      <c r="G66" s="22">
        <v>43.858218999999998</v>
      </c>
      <c r="H66" s="21" t="s">
        <v>73</v>
      </c>
      <c r="I66" s="21" t="s">
        <v>243</v>
      </c>
      <c r="J66" s="21" t="s">
        <v>246</v>
      </c>
      <c r="K66" s="24">
        <v>782</v>
      </c>
      <c r="L66" s="24">
        <v>4692</v>
      </c>
      <c r="M66" s="23">
        <v>782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389</v>
      </c>
      <c r="AG66" s="23"/>
      <c r="AH66" s="23">
        <v>202</v>
      </c>
      <c r="AI66" s="23"/>
      <c r="AJ66" s="23">
        <v>18</v>
      </c>
      <c r="AK66" s="23">
        <v>50</v>
      </c>
      <c r="AL66" s="23">
        <v>23</v>
      </c>
      <c r="AM66" s="23">
        <v>100</v>
      </c>
      <c r="AN66" s="23"/>
      <c r="AO66" s="23">
        <v>279</v>
      </c>
      <c r="AP66" s="23"/>
      <c r="AQ66" s="23"/>
      <c r="AR66" s="23"/>
      <c r="AS66" s="23">
        <v>503</v>
      </c>
      <c r="AT66" s="23"/>
      <c r="AU66" s="14" t="str">
        <f>HYPERLINK("http://www.openstreetmap.org/?mlat=33.179&amp;mlon=43.8582&amp;zoom=12#map=12/33.179/43.8582","Maplink1")</f>
        <v>Maplink1</v>
      </c>
      <c r="AV66" s="14" t="str">
        <f>HYPERLINK("https://www.google.iq/maps/search/+33.179,43.8582/@33.179,43.8582,14z?hl=en","Maplink2")</f>
        <v>Maplink2</v>
      </c>
      <c r="AW66" s="14" t="str">
        <f>HYPERLINK("http://www.bing.com/maps/?lvl=14&amp;sty=h&amp;cp=33.179~43.8582&amp;sp=point.33.179_43.8582_Al Amiriyah","Maplink3")</f>
        <v>Maplink3</v>
      </c>
    </row>
    <row r="67" spans="1:49" ht="15" customHeight="1" x14ac:dyDescent="0.25">
      <c r="A67" s="21">
        <v>20781</v>
      </c>
      <c r="B67" s="22" t="s">
        <v>9</v>
      </c>
      <c r="C67" s="22" t="s">
        <v>240</v>
      </c>
      <c r="D67" s="22" t="s">
        <v>247</v>
      </c>
      <c r="E67" s="22" t="s">
        <v>248</v>
      </c>
      <c r="F67" s="22">
        <v>33.419756</v>
      </c>
      <c r="G67" s="22">
        <v>43.859093999999999</v>
      </c>
      <c r="H67" s="21" t="s">
        <v>73</v>
      </c>
      <c r="I67" s="21" t="s">
        <v>243</v>
      </c>
      <c r="J67" s="21" t="s">
        <v>249</v>
      </c>
      <c r="K67" s="24">
        <v>350</v>
      </c>
      <c r="L67" s="24">
        <v>2100</v>
      </c>
      <c r="M67" s="23">
        <v>350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223</v>
      </c>
      <c r="AG67" s="23"/>
      <c r="AH67" s="23">
        <v>10</v>
      </c>
      <c r="AI67" s="23"/>
      <c r="AJ67" s="23"/>
      <c r="AK67" s="23">
        <v>27</v>
      </c>
      <c r="AL67" s="23">
        <v>40</v>
      </c>
      <c r="AM67" s="23">
        <v>50</v>
      </c>
      <c r="AN67" s="23"/>
      <c r="AO67" s="23">
        <v>343</v>
      </c>
      <c r="AP67" s="23"/>
      <c r="AQ67" s="23"/>
      <c r="AR67" s="23">
        <v>7</v>
      </c>
      <c r="AS67" s="23"/>
      <c r="AT67" s="23"/>
      <c r="AU67" s="14" t="str">
        <f>HYPERLINK("http://www.openstreetmap.org/?mlat=33.4198&amp;mlon=43.8591&amp;zoom=12#map=12/33.4198/43.8591","Maplink1")</f>
        <v>Maplink1</v>
      </c>
      <c r="AV67" s="14" t="str">
        <f>HYPERLINK("https://www.google.iq/maps/search/+33.4198,43.8591/@33.4198,43.8591,14z?hl=en","Maplink2")</f>
        <v>Maplink2</v>
      </c>
      <c r="AW67" s="14" t="str">
        <f>HYPERLINK("http://www.bing.com/maps/?lvl=14&amp;sty=h&amp;cp=33.4198~43.8591&amp;sp=point.33.4198_43.8591_Al Dawayah village","Maplink3")</f>
        <v>Maplink3</v>
      </c>
    </row>
    <row r="68" spans="1:49" ht="15" customHeight="1" x14ac:dyDescent="0.25">
      <c r="A68" s="21">
        <v>20899</v>
      </c>
      <c r="B68" s="22" t="s">
        <v>9</v>
      </c>
      <c r="C68" s="22" t="s">
        <v>240</v>
      </c>
      <c r="D68" s="22" t="s">
        <v>8311</v>
      </c>
      <c r="E68" s="22" t="s">
        <v>285</v>
      </c>
      <c r="F68" s="22">
        <v>33.244751000000001</v>
      </c>
      <c r="G68" s="22">
        <v>43.741095999999999</v>
      </c>
      <c r="H68" s="21" t="s">
        <v>73</v>
      </c>
      <c r="I68" s="21" t="s">
        <v>243</v>
      </c>
      <c r="J68" s="21" t="s">
        <v>286</v>
      </c>
      <c r="K68" s="24">
        <v>163</v>
      </c>
      <c r="L68" s="24">
        <v>978</v>
      </c>
      <c r="M68" s="23">
        <v>163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>
        <v>107</v>
      </c>
      <c r="AG68" s="23"/>
      <c r="AH68" s="23"/>
      <c r="AI68" s="23"/>
      <c r="AJ68" s="23"/>
      <c r="AK68" s="23">
        <v>4</v>
      </c>
      <c r="AL68" s="23">
        <v>32</v>
      </c>
      <c r="AM68" s="23">
        <v>20</v>
      </c>
      <c r="AN68" s="23"/>
      <c r="AO68" s="23">
        <v>156</v>
      </c>
      <c r="AP68" s="23"/>
      <c r="AQ68" s="23"/>
      <c r="AR68" s="23">
        <v>7</v>
      </c>
      <c r="AS68" s="23"/>
      <c r="AT68" s="23"/>
      <c r="AU68" s="14" t="str">
        <f>HYPERLINK("http://www.openstreetmap.org/?mlat=33.2448&amp;mlon=43.7411&amp;zoom=12#map=12/33.2448/43.7411","Maplink1")</f>
        <v>Maplink1</v>
      </c>
      <c r="AV68" s="14" t="str">
        <f>HYPERLINK("https://www.google.iq/maps/search/+33.2448,43.7411/@33.2448,43.7411,14z?hl=en","Maplink2")</f>
        <v>Maplink2</v>
      </c>
      <c r="AW68" s="14" t="str">
        <f>HYPERLINK("http://www.bing.com/maps/?lvl=14&amp;sty=h&amp;cp=33.2448~43.7411&amp;sp=point.33.2448_43.7411_Al-Falahat","Maplink3")</f>
        <v>Maplink3</v>
      </c>
    </row>
    <row r="69" spans="1:49" ht="15" customHeight="1" x14ac:dyDescent="0.25">
      <c r="A69" s="21">
        <v>22133</v>
      </c>
      <c r="B69" s="22" t="s">
        <v>9</v>
      </c>
      <c r="C69" s="22" t="s">
        <v>240</v>
      </c>
      <c r="D69" s="22" t="s">
        <v>250</v>
      </c>
      <c r="E69" s="22" t="s">
        <v>251</v>
      </c>
      <c r="F69" s="22">
        <v>33.403486999999998</v>
      </c>
      <c r="G69" s="22">
        <v>43.896839999999997</v>
      </c>
      <c r="H69" s="21" t="s">
        <v>73</v>
      </c>
      <c r="I69" s="21" t="s">
        <v>243</v>
      </c>
      <c r="J69" s="21" t="s">
        <v>252</v>
      </c>
      <c r="K69" s="24">
        <v>235</v>
      </c>
      <c r="L69" s="24">
        <v>1410</v>
      </c>
      <c r="M69" s="23">
        <v>235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>
        <v>171</v>
      </c>
      <c r="AG69" s="23"/>
      <c r="AH69" s="23"/>
      <c r="AI69" s="23"/>
      <c r="AJ69" s="23"/>
      <c r="AK69" s="23">
        <v>19</v>
      </c>
      <c r="AL69" s="23">
        <v>24</v>
      </c>
      <c r="AM69" s="23">
        <v>21</v>
      </c>
      <c r="AN69" s="23"/>
      <c r="AO69" s="23">
        <v>220</v>
      </c>
      <c r="AP69" s="23"/>
      <c r="AQ69" s="23"/>
      <c r="AR69" s="23">
        <v>15</v>
      </c>
      <c r="AS69" s="23"/>
      <c r="AT69" s="23"/>
      <c r="AU69" s="14" t="str">
        <f>HYPERLINK("http://www.openstreetmap.org/?mlat=33.4035&amp;mlon=43.8968&amp;zoom=12#map=12/33.4035/43.8968","Maplink1")</f>
        <v>Maplink1</v>
      </c>
      <c r="AV69" s="14" t="str">
        <f>HYPERLINK("https://www.google.iq/maps/search/+33.4035,43.8968/@33.4035,43.8968,14z?hl=en","Maplink2")</f>
        <v>Maplink2</v>
      </c>
      <c r="AW69" s="14" t="str">
        <f>HYPERLINK("http://www.bing.com/maps/?lvl=14&amp;sty=h&amp;cp=33.4035~43.8968&amp;sp=point.33.4035_43.8968_Al Husaiwat","Maplink3")</f>
        <v>Maplink3</v>
      </c>
    </row>
    <row r="70" spans="1:49" ht="15" customHeight="1" x14ac:dyDescent="0.25">
      <c r="A70" s="21">
        <v>22864</v>
      </c>
      <c r="B70" s="22" t="s">
        <v>9</v>
      </c>
      <c r="C70" s="22" t="s">
        <v>240</v>
      </c>
      <c r="D70" s="22" t="s">
        <v>253</v>
      </c>
      <c r="E70" s="22" t="s">
        <v>254</v>
      </c>
      <c r="F70" s="22">
        <v>33.279702999999998</v>
      </c>
      <c r="G70" s="22">
        <v>43.795606999999997</v>
      </c>
      <c r="H70" s="21" t="s">
        <v>73</v>
      </c>
      <c r="I70" s="21" t="s">
        <v>243</v>
      </c>
      <c r="J70" s="21" t="s">
        <v>255</v>
      </c>
      <c r="K70" s="24">
        <v>207</v>
      </c>
      <c r="L70" s="24">
        <v>1242</v>
      </c>
      <c r="M70" s="23">
        <v>207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102</v>
      </c>
      <c r="AG70" s="23"/>
      <c r="AH70" s="23"/>
      <c r="AI70" s="23"/>
      <c r="AJ70" s="23"/>
      <c r="AK70" s="23">
        <v>19</v>
      </c>
      <c r="AL70" s="23">
        <v>40</v>
      </c>
      <c r="AM70" s="23">
        <v>46</v>
      </c>
      <c r="AN70" s="23"/>
      <c r="AO70" s="23">
        <v>190</v>
      </c>
      <c r="AP70" s="23"/>
      <c r="AQ70" s="23"/>
      <c r="AR70" s="23">
        <v>7</v>
      </c>
      <c r="AS70" s="23">
        <v>10</v>
      </c>
      <c r="AT70" s="23"/>
      <c r="AU70" s="14" t="str">
        <f>HYPERLINK("http://www.openstreetmap.org/?mlat=33.2797&amp;mlon=43.7956&amp;zoom=12#map=12/33.2797/43.7956","Maplink1")</f>
        <v>Maplink1</v>
      </c>
      <c r="AV70" s="14" t="str">
        <f>HYPERLINK("https://www.google.iq/maps/search/+33.2797,43.7956/@33.2797,43.7956,14z?hl=en","Maplink2")</f>
        <v>Maplink2</v>
      </c>
      <c r="AW70" s="14" t="str">
        <f>HYPERLINK("http://www.bing.com/maps/?lvl=14&amp;sty=h&amp;cp=33.2797~43.7956&amp;sp=point.33.2797_43.7956_Al Husi","Maplink3")</f>
        <v>Maplink3</v>
      </c>
    </row>
    <row r="71" spans="1:49" ht="15" customHeight="1" x14ac:dyDescent="0.25">
      <c r="A71" s="21">
        <v>122</v>
      </c>
      <c r="B71" s="22" t="s">
        <v>9</v>
      </c>
      <c r="C71" s="22" t="s">
        <v>240</v>
      </c>
      <c r="D71" s="22" t="s">
        <v>257</v>
      </c>
      <c r="E71" s="22" t="s">
        <v>258</v>
      </c>
      <c r="F71" s="22">
        <v>33.362133</v>
      </c>
      <c r="G71" s="22">
        <v>43.780704999999998</v>
      </c>
      <c r="H71" s="21" t="s">
        <v>73</v>
      </c>
      <c r="I71" s="21" t="s">
        <v>243</v>
      </c>
      <c r="J71" s="21" t="s">
        <v>259</v>
      </c>
      <c r="K71" s="24">
        <v>45</v>
      </c>
      <c r="L71" s="24">
        <v>270</v>
      </c>
      <c r="M71" s="23">
        <v>45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>
        <v>45</v>
      </c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>
        <v>45</v>
      </c>
      <c r="AT71" s="23"/>
      <c r="AU71" s="14" t="str">
        <f>HYPERLINK("http://www.openstreetmap.org/?mlat=33.35&amp;mlon=43.78&amp;zoom=12#map=12/33.35/43.78","Maplink1")</f>
        <v>Maplink1</v>
      </c>
      <c r="AV71" s="14" t="str">
        <f>HYPERLINK("https://www.google.iq/maps/search/+33.35,43.78/@33.35,43.78,14z?hl=en","Maplink2")</f>
        <v>Maplink2</v>
      </c>
      <c r="AW71" s="14" t="str">
        <f>HYPERLINK("http://www.bing.com/maps/?lvl=14&amp;sty=h&amp;cp=33.35~43.78&amp;sp=point.33.35_43.78_Al Mualmeen","Maplink3")</f>
        <v>Maplink3</v>
      </c>
    </row>
    <row r="72" spans="1:49" ht="15" customHeight="1" x14ac:dyDescent="0.25">
      <c r="A72" s="21">
        <v>143</v>
      </c>
      <c r="B72" s="22" t="s">
        <v>9</v>
      </c>
      <c r="C72" s="22" t="s">
        <v>240</v>
      </c>
      <c r="D72" s="22" t="s">
        <v>8312</v>
      </c>
      <c r="E72" s="22" t="s">
        <v>306</v>
      </c>
      <c r="F72" s="22">
        <v>33.386118000000003</v>
      </c>
      <c r="G72" s="22">
        <v>43.90437</v>
      </c>
      <c r="H72" s="21" t="s">
        <v>73</v>
      </c>
      <c r="I72" s="21" t="s">
        <v>243</v>
      </c>
      <c r="J72" s="21" t="s">
        <v>307</v>
      </c>
      <c r="K72" s="24">
        <v>27</v>
      </c>
      <c r="L72" s="24">
        <v>162</v>
      </c>
      <c r="M72" s="23">
        <v>27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>
        <v>27</v>
      </c>
      <c r="AN72" s="23"/>
      <c r="AO72" s="23">
        <v>27</v>
      </c>
      <c r="AP72" s="23"/>
      <c r="AQ72" s="23"/>
      <c r="AR72" s="23"/>
      <c r="AS72" s="23"/>
      <c r="AT72" s="23"/>
      <c r="AU72" s="14" t="str">
        <f>HYPERLINK("http://www.openstreetmap.org/?mlat=33.3861&amp;mlon=43.9044&amp;zoom=12#map=12/33.3861/43.9044","Maplink1")</f>
        <v>Maplink1</v>
      </c>
      <c r="AV72" s="14" t="str">
        <f>HYPERLINK("https://www.google.iq/maps/search/+33.3861,43.9044/@33.3861,43.9044,14z?hl=en","Maplink2")</f>
        <v>Maplink2</v>
      </c>
      <c r="AW72" s="14" t="str">
        <f>HYPERLINK("http://www.bing.com/maps/?lvl=14&amp;sty=h&amp;cp=33.3861~43.9044&amp;sp=point.33.3861_43.9044_Al-shahabi-1","Maplink3")</f>
        <v>Maplink3</v>
      </c>
    </row>
    <row r="73" spans="1:49" ht="15" customHeight="1" x14ac:dyDescent="0.25">
      <c r="A73" s="21">
        <v>142</v>
      </c>
      <c r="B73" s="22" t="s">
        <v>9</v>
      </c>
      <c r="C73" s="22" t="s">
        <v>240</v>
      </c>
      <c r="D73" s="22" t="s">
        <v>8313</v>
      </c>
      <c r="E73" s="22" t="s">
        <v>308</v>
      </c>
      <c r="F73" s="22">
        <v>33.384627999999999</v>
      </c>
      <c r="G73" s="22">
        <v>43.876576999999997</v>
      </c>
      <c r="H73" s="21" t="s">
        <v>73</v>
      </c>
      <c r="I73" s="21" t="s">
        <v>243</v>
      </c>
      <c r="J73" s="21" t="s">
        <v>309</v>
      </c>
      <c r="K73" s="24">
        <v>90</v>
      </c>
      <c r="L73" s="24">
        <v>540</v>
      </c>
      <c r="M73" s="23">
        <v>90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53</v>
      </c>
      <c r="AG73" s="23"/>
      <c r="AH73" s="23"/>
      <c r="AI73" s="23"/>
      <c r="AJ73" s="23"/>
      <c r="AK73" s="23">
        <v>8</v>
      </c>
      <c r="AL73" s="23"/>
      <c r="AM73" s="23">
        <v>29</v>
      </c>
      <c r="AN73" s="23"/>
      <c r="AO73" s="23">
        <v>90</v>
      </c>
      <c r="AP73" s="23"/>
      <c r="AQ73" s="23"/>
      <c r="AR73" s="23"/>
      <c r="AS73" s="23"/>
      <c r="AT73" s="23"/>
      <c r="AU73" s="14" t="str">
        <f>HYPERLINK("http://www.openstreetmap.org/?mlat=33.3846&amp;mlon=43.8766&amp;zoom=12#map=12/33.3846/43.8766","Maplink1")</f>
        <v>Maplink1</v>
      </c>
      <c r="AV73" s="14" t="str">
        <f>HYPERLINK("https://www.google.iq/maps/search/+33.3846,43.8766/@33.3846,43.8766,14z?hl=en","Maplink2")</f>
        <v>Maplink2</v>
      </c>
      <c r="AW73" s="14" t="str">
        <f>HYPERLINK("http://www.bing.com/maps/?lvl=14&amp;sty=h&amp;cp=33.3846~43.8766&amp;sp=point.33.3846_43.8766_Al-shahabi-2","Maplink3")</f>
        <v>Maplink3</v>
      </c>
    </row>
    <row r="74" spans="1:49" ht="15" customHeight="1" x14ac:dyDescent="0.25">
      <c r="A74" s="21">
        <v>169</v>
      </c>
      <c r="B74" s="22" t="s">
        <v>9</v>
      </c>
      <c r="C74" s="22" t="s">
        <v>240</v>
      </c>
      <c r="D74" s="22" t="s">
        <v>260</v>
      </c>
      <c r="E74" s="22" t="s">
        <v>261</v>
      </c>
      <c r="F74" s="22">
        <v>33.364052999999998</v>
      </c>
      <c r="G74" s="22">
        <v>43.789718999999998</v>
      </c>
      <c r="H74" s="21" t="s">
        <v>73</v>
      </c>
      <c r="I74" s="21" t="s">
        <v>243</v>
      </c>
      <c r="J74" s="21" t="s">
        <v>262</v>
      </c>
      <c r="K74" s="24">
        <v>506</v>
      </c>
      <c r="L74" s="24">
        <v>3036</v>
      </c>
      <c r="M74" s="23">
        <v>506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>
        <v>506</v>
      </c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506</v>
      </c>
      <c r="AT74" s="23"/>
      <c r="AU74" s="14" t="str">
        <f>HYPERLINK("http://www.openstreetmap.org/?mlat=33.3563&amp;mlon=43.7943&amp;zoom=12#map=12/33.3563/43.7943","Maplink1")</f>
        <v>Maplink1</v>
      </c>
      <c r="AV74" s="14" t="str">
        <f>HYPERLINK("https://www.google.iq/maps/search/+33.3563,43.7943/@33.3563,43.7943,14z?hl=en","Maplink2")</f>
        <v>Maplink2</v>
      </c>
      <c r="AW74" s="14" t="str">
        <f>HYPERLINK("http://www.bing.com/maps/?lvl=14&amp;sty=h&amp;cp=33.3563~43.7943&amp;sp=point.33.3563_43.7943_Al Shurta","Maplink3")</f>
        <v>Maplink3</v>
      </c>
    </row>
    <row r="75" spans="1:49" ht="15" customHeight="1" x14ac:dyDescent="0.25">
      <c r="A75" s="21">
        <v>319</v>
      </c>
      <c r="B75" s="22" t="s">
        <v>9</v>
      </c>
      <c r="C75" s="22" t="s">
        <v>240</v>
      </c>
      <c r="D75" s="22" t="s">
        <v>8314</v>
      </c>
      <c r="E75" s="22" t="s">
        <v>314</v>
      </c>
      <c r="F75" s="22">
        <v>33.339576000000001</v>
      </c>
      <c r="G75" s="22">
        <v>43.752777999999999</v>
      </c>
      <c r="H75" s="21" t="s">
        <v>73</v>
      </c>
      <c r="I75" s="21" t="s">
        <v>243</v>
      </c>
      <c r="J75" s="21" t="s">
        <v>315</v>
      </c>
      <c r="K75" s="24">
        <v>224</v>
      </c>
      <c r="L75" s="24">
        <v>1344</v>
      </c>
      <c r="M75" s="23">
        <v>224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102</v>
      </c>
      <c r="AG75" s="23"/>
      <c r="AH75" s="23"/>
      <c r="AI75" s="23"/>
      <c r="AJ75" s="23"/>
      <c r="AK75" s="23">
        <v>5</v>
      </c>
      <c r="AL75" s="23">
        <v>78</v>
      </c>
      <c r="AM75" s="23">
        <v>39</v>
      </c>
      <c r="AN75" s="23"/>
      <c r="AO75" s="23">
        <v>224</v>
      </c>
      <c r="AP75" s="23"/>
      <c r="AQ75" s="23"/>
      <c r="AR75" s="23"/>
      <c r="AS75" s="23"/>
      <c r="AT75" s="23"/>
      <c r="AU75" s="14" t="str">
        <f>HYPERLINK("http://www.openstreetmap.org/?mlat=33.3396&amp;mlon=43.7528&amp;zoom=12#map=12/33.3396/43.7528","Maplink1")</f>
        <v>Maplink1</v>
      </c>
      <c r="AV75" s="14" t="str">
        <f>HYPERLINK("https://www.google.iq/maps/search/+33.3396,43.7528/@33.3396,43.7528,14z?hl=en","Maplink2")</f>
        <v>Maplink2</v>
      </c>
      <c r="AW75" s="14" t="str">
        <f>HYPERLINK("http://www.bing.com/maps/?lvl=14&amp;sty=h&amp;cp=33.3396~43.7528&amp;sp=point.33.3396_43.7528_Al-Zuwayiah","Maplink3")</f>
        <v>Maplink3</v>
      </c>
    </row>
    <row r="76" spans="1:49" ht="15" customHeight="1" x14ac:dyDescent="0.25">
      <c r="A76" s="21">
        <v>26035</v>
      </c>
      <c r="B76" s="22" t="s">
        <v>9</v>
      </c>
      <c r="C76" s="22" t="s">
        <v>240</v>
      </c>
      <c r="D76" s="22" t="s">
        <v>8142</v>
      </c>
      <c r="E76" s="22" t="s">
        <v>264</v>
      </c>
      <c r="F76" s="22">
        <v>33.103451890000002</v>
      </c>
      <c r="G76" s="22">
        <v>43.799928350000002</v>
      </c>
      <c r="H76" s="21" t="s">
        <v>73</v>
      </c>
      <c r="I76" s="21" t="s">
        <v>243</v>
      </c>
      <c r="J76" s="21"/>
      <c r="K76" s="24">
        <v>400</v>
      </c>
      <c r="L76" s="24">
        <v>2400</v>
      </c>
      <c r="M76" s="23">
        <v>400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>
        <v>400</v>
      </c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400</v>
      </c>
      <c r="AT76" s="23"/>
      <c r="AU76" s="14" t="str">
        <f>HYPERLINK("http://www.openstreetmap.org/?mlat=33.1035&amp;mlon=43.7999&amp;zoom=12#map=12/33.1035/43.7999","Maplink1")</f>
        <v>Maplink1</v>
      </c>
      <c r="AV76" s="14" t="str">
        <f>HYPERLINK("https://www.google.iq/maps/search/+33.1035,43.7999/@33.1035,43.7999,14z?hl=en","Maplink2")</f>
        <v>Maplink2</v>
      </c>
      <c r="AW76" s="14" t="str">
        <f>HYPERLINK("http://www.bing.com/maps/?lvl=14&amp;sty=h&amp;cp=33.1035~43.7999&amp;sp=point.33.1035_43.7999_Al-Amirya-Al Abar","Maplink3")</f>
        <v>Maplink3</v>
      </c>
    </row>
    <row r="77" spans="1:49" ht="15" customHeight="1" x14ac:dyDescent="0.25">
      <c r="A77" s="21">
        <v>26084</v>
      </c>
      <c r="B77" s="22" t="s">
        <v>9</v>
      </c>
      <c r="C77" s="22" t="s">
        <v>240</v>
      </c>
      <c r="D77" s="22" t="s">
        <v>8143</v>
      </c>
      <c r="E77" s="22" t="s">
        <v>265</v>
      </c>
      <c r="F77" s="22">
        <v>33.121573959999999</v>
      </c>
      <c r="G77" s="22">
        <v>44.040859339999997</v>
      </c>
      <c r="H77" s="21" t="s">
        <v>73</v>
      </c>
      <c r="I77" s="21" t="s">
        <v>243</v>
      </c>
      <c r="J77" s="21"/>
      <c r="K77" s="24">
        <v>470</v>
      </c>
      <c r="L77" s="24">
        <v>2820</v>
      </c>
      <c r="M77" s="23">
        <v>470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>
        <v>170</v>
      </c>
      <c r="AG77" s="23"/>
      <c r="AH77" s="23">
        <v>300</v>
      </c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470</v>
      </c>
      <c r="AT77" s="23"/>
      <c r="AU77" s="14" t="str">
        <f>HYPERLINK("http://www.openstreetmap.org/?mlat=33.1216&amp;mlon=44.0409&amp;zoom=12#map=12/33.1216/44.0409","Maplink1")</f>
        <v>Maplink1</v>
      </c>
      <c r="AV77" s="14" t="str">
        <f>HYPERLINK("https://www.google.iq/maps/search/+33.1216,44.0409/@33.1216,44.0409,14z?hl=en","Maplink2")</f>
        <v>Maplink2</v>
      </c>
      <c r="AW77" s="14" t="str">
        <f>HYPERLINK("http://www.bing.com/maps/?lvl=14&amp;sty=h&amp;cp=33.1216~44.0409&amp;sp=point.33.1216_44.0409_Al-Amirya-Al Betra","Maplink3")</f>
        <v>Maplink3</v>
      </c>
    </row>
    <row r="78" spans="1:49" ht="15" customHeight="1" x14ac:dyDescent="0.25">
      <c r="A78" s="21">
        <v>26091</v>
      </c>
      <c r="B78" s="22" t="s">
        <v>9</v>
      </c>
      <c r="C78" s="22" t="s">
        <v>240</v>
      </c>
      <c r="D78" s="22" t="s">
        <v>8144</v>
      </c>
      <c r="E78" s="22" t="s">
        <v>266</v>
      </c>
      <c r="F78" s="22">
        <v>33.158228680000001</v>
      </c>
      <c r="G78" s="22">
        <v>43.936851109999999</v>
      </c>
      <c r="H78" s="21" t="s">
        <v>73</v>
      </c>
      <c r="I78" s="21" t="s">
        <v>243</v>
      </c>
      <c r="J78" s="21"/>
      <c r="K78" s="24">
        <v>276</v>
      </c>
      <c r="L78" s="24">
        <v>1656</v>
      </c>
      <c r="M78" s="23">
        <v>276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>
        <v>240</v>
      </c>
      <c r="AG78" s="23"/>
      <c r="AH78" s="23"/>
      <c r="AI78" s="23"/>
      <c r="AJ78" s="23"/>
      <c r="AK78" s="23"/>
      <c r="AL78" s="23"/>
      <c r="AM78" s="23">
        <v>36</v>
      </c>
      <c r="AN78" s="23"/>
      <c r="AO78" s="23"/>
      <c r="AP78" s="23"/>
      <c r="AQ78" s="23"/>
      <c r="AR78" s="23"/>
      <c r="AS78" s="23">
        <v>276</v>
      </c>
      <c r="AT78" s="23"/>
      <c r="AU78" s="14" t="str">
        <f>HYPERLINK("http://www.openstreetmap.org/?mlat=33.1582&amp;mlon=43.9369&amp;zoom=12#map=12/33.1582/43.9369","Maplink1")</f>
        <v>Maplink1</v>
      </c>
      <c r="AV78" s="14" t="str">
        <f>HYPERLINK("https://www.google.iq/maps/search/+33.1582,43.9369/@33.1582,43.9369,14z?hl=en","Maplink2")</f>
        <v>Maplink2</v>
      </c>
      <c r="AW78" s="14" t="str">
        <f>HYPERLINK("http://www.bing.com/maps/?lvl=14&amp;sty=h&amp;cp=33.1582~43.9369&amp;sp=point.33.1582_43.9369_Al-Amirya-Al Hmedin","Maplink3")</f>
        <v>Maplink3</v>
      </c>
    </row>
    <row r="79" spans="1:49" ht="15" customHeight="1" x14ac:dyDescent="0.25">
      <c r="A79" s="21">
        <v>26092</v>
      </c>
      <c r="B79" s="22" t="s">
        <v>9</v>
      </c>
      <c r="C79" s="22" t="s">
        <v>240</v>
      </c>
      <c r="D79" s="22" t="s">
        <v>8145</v>
      </c>
      <c r="E79" s="22" t="s">
        <v>267</v>
      </c>
      <c r="F79" s="22">
        <v>33.142531030000001</v>
      </c>
      <c r="G79" s="22">
        <v>43.959845510000001</v>
      </c>
      <c r="H79" s="21" t="s">
        <v>73</v>
      </c>
      <c r="I79" s="21" t="s">
        <v>243</v>
      </c>
      <c r="J79" s="21"/>
      <c r="K79" s="24">
        <v>973</v>
      </c>
      <c r="L79" s="24">
        <v>5838</v>
      </c>
      <c r="M79" s="23">
        <v>973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618</v>
      </c>
      <c r="AG79" s="23"/>
      <c r="AH79" s="23">
        <v>283</v>
      </c>
      <c r="AI79" s="23"/>
      <c r="AJ79" s="23"/>
      <c r="AK79" s="23"/>
      <c r="AL79" s="23"/>
      <c r="AM79" s="23">
        <v>72</v>
      </c>
      <c r="AN79" s="23"/>
      <c r="AO79" s="23"/>
      <c r="AP79" s="23"/>
      <c r="AQ79" s="23"/>
      <c r="AR79" s="23"/>
      <c r="AS79" s="23">
        <v>684</v>
      </c>
      <c r="AT79" s="23">
        <v>289</v>
      </c>
      <c r="AU79" s="14" t="str">
        <f>HYPERLINK("http://www.openstreetmap.org/?mlat=33.1425&amp;mlon=43.9598&amp;zoom=12#map=12/33.1425/43.9598","Maplink1")</f>
        <v>Maplink1</v>
      </c>
      <c r="AV79" s="14" t="str">
        <f>HYPERLINK("https://www.google.iq/maps/search/+33.1425,43.9598/@33.1425,43.9598,14z?hl=en","Maplink2")</f>
        <v>Maplink2</v>
      </c>
      <c r="AW79" s="14" t="str">
        <f>HYPERLINK("http://www.bing.com/maps/?lvl=14&amp;sty=h&amp;cp=33.1425~43.9598&amp;sp=point.33.1425_43.9598_Al-Amirya-Al Mouilha","Maplink3")</f>
        <v>Maplink3</v>
      </c>
    </row>
    <row r="80" spans="1:49" ht="15" customHeight="1" x14ac:dyDescent="0.25">
      <c r="A80" s="21">
        <v>26086</v>
      </c>
      <c r="B80" s="22" t="s">
        <v>9</v>
      </c>
      <c r="C80" s="22" t="s">
        <v>240</v>
      </c>
      <c r="D80" s="22" t="s">
        <v>8146</v>
      </c>
      <c r="E80" s="22" t="s">
        <v>268</v>
      </c>
      <c r="F80" s="22">
        <v>33.199199839999999</v>
      </c>
      <c r="G80" s="22">
        <v>43.925184020000003</v>
      </c>
      <c r="H80" s="21" t="s">
        <v>73</v>
      </c>
      <c r="I80" s="21" t="s">
        <v>243</v>
      </c>
      <c r="J80" s="21"/>
      <c r="K80" s="24">
        <v>200</v>
      </c>
      <c r="L80" s="24">
        <v>1200</v>
      </c>
      <c r="M80" s="23">
        <v>200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200</v>
      </c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>
        <v>200</v>
      </c>
      <c r="AT80" s="23"/>
      <c r="AU80" s="14" t="str">
        <f>HYPERLINK("http://www.openstreetmap.org/?mlat=33.1992&amp;mlon=43.9252&amp;zoom=12#map=12/33.1992/43.9252","Maplink1")</f>
        <v>Maplink1</v>
      </c>
      <c r="AV80" s="14" t="str">
        <f>HYPERLINK("https://www.google.iq/maps/search/+33.1992,43.9252/@33.1992,43.9252,14z?hl=en","Maplink2")</f>
        <v>Maplink2</v>
      </c>
      <c r="AW80" s="14" t="str">
        <f>HYPERLINK("http://www.bing.com/maps/?lvl=14&amp;sty=h&amp;cp=33.1992~43.9252&amp;sp=point.33.1992_43.9252_Al-Amirya-Albu Hamdan","Maplink3")</f>
        <v>Maplink3</v>
      </c>
    </row>
    <row r="81" spans="1:49" ht="15" customHeight="1" x14ac:dyDescent="0.25">
      <c r="A81" s="21">
        <v>26085</v>
      </c>
      <c r="B81" s="22" t="s">
        <v>9</v>
      </c>
      <c r="C81" s="22" t="s">
        <v>240</v>
      </c>
      <c r="D81" s="22" t="s">
        <v>8147</v>
      </c>
      <c r="E81" s="22" t="s">
        <v>269</v>
      </c>
      <c r="F81" s="22">
        <v>33.153899780000003</v>
      </c>
      <c r="G81" s="22">
        <v>44.001937390000002</v>
      </c>
      <c r="H81" s="21" t="s">
        <v>73</v>
      </c>
      <c r="I81" s="21" t="s">
        <v>243</v>
      </c>
      <c r="J81" s="21"/>
      <c r="K81" s="24">
        <v>210</v>
      </c>
      <c r="L81" s="24">
        <v>1260</v>
      </c>
      <c r="M81" s="23">
        <v>210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210</v>
      </c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>
        <v>210</v>
      </c>
      <c r="AT81" s="23"/>
      <c r="AU81" s="14" t="str">
        <f>HYPERLINK("http://www.openstreetmap.org/?mlat=33.1539&amp;mlon=44.0019&amp;zoom=12#map=12/33.1539/44.0019","Maplink1")</f>
        <v>Maplink1</v>
      </c>
      <c r="AV81" s="14" t="str">
        <f>HYPERLINK("https://www.google.iq/maps/search/+33.1539,44.0019/@33.1539,44.0019,14z?hl=en","Maplink2")</f>
        <v>Maplink2</v>
      </c>
      <c r="AW81" s="14" t="str">
        <f>HYPERLINK("http://www.bing.com/maps/?lvl=14&amp;sty=h&amp;cp=33.1539~44.0019&amp;sp=point.33.1539_44.0019_Al-Amirya-Albu Jaber","Maplink3")</f>
        <v>Maplink3</v>
      </c>
    </row>
    <row r="82" spans="1:49" ht="15" customHeight="1" x14ac:dyDescent="0.25">
      <c r="A82" s="21">
        <v>26036</v>
      </c>
      <c r="B82" s="22" t="s">
        <v>9</v>
      </c>
      <c r="C82" s="22" t="s">
        <v>240</v>
      </c>
      <c r="D82" s="22" t="s">
        <v>8148</v>
      </c>
      <c r="E82" s="22" t="s">
        <v>270</v>
      </c>
      <c r="F82" s="22">
        <v>33.176157080000003</v>
      </c>
      <c r="G82" s="22">
        <v>43.903428990000002</v>
      </c>
      <c r="H82" s="21" t="s">
        <v>73</v>
      </c>
      <c r="I82" s="21" t="s">
        <v>243</v>
      </c>
      <c r="J82" s="21"/>
      <c r="K82" s="24">
        <v>587</v>
      </c>
      <c r="L82" s="24">
        <v>3522</v>
      </c>
      <c r="M82" s="23">
        <v>587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>
        <v>260</v>
      </c>
      <c r="AI82" s="23"/>
      <c r="AJ82" s="23"/>
      <c r="AK82" s="23"/>
      <c r="AL82" s="23"/>
      <c r="AM82" s="23">
        <v>327</v>
      </c>
      <c r="AN82" s="23"/>
      <c r="AO82" s="23"/>
      <c r="AP82" s="23"/>
      <c r="AQ82" s="23"/>
      <c r="AR82" s="23"/>
      <c r="AS82" s="23">
        <v>587</v>
      </c>
      <c r="AT82" s="23"/>
      <c r="AU82" s="14" t="str">
        <f>HYPERLINK("http://www.openstreetmap.org/?mlat=33.1762&amp;mlon=43.9034&amp;zoom=12#map=12/33.1762/43.9034","Maplink1")</f>
        <v>Maplink1</v>
      </c>
      <c r="AV82" s="14" t="str">
        <f>HYPERLINK("https://www.google.iq/maps/search/+33.1762,43.9034/@33.1762,43.9034,14z?hl=en","Maplink2")</f>
        <v>Maplink2</v>
      </c>
      <c r="AW82" s="14" t="str">
        <f>HYPERLINK("http://www.bing.com/maps/?lvl=14&amp;sty=h&amp;cp=33.1762~43.9034&amp;sp=point.33.1762_43.9034_Al-Amirya-Albu Jasim","Maplink3")</f>
        <v>Maplink3</v>
      </c>
    </row>
    <row r="83" spans="1:49" ht="15" customHeight="1" x14ac:dyDescent="0.25">
      <c r="A83" s="21">
        <v>26037</v>
      </c>
      <c r="B83" s="22" t="s">
        <v>9</v>
      </c>
      <c r="C83" s="22" t="s">
        <v>240</v>
      </c>
      <c r="D83" s="22" t="s">
        <v>8149</v>
      </c>
      <c r="E83" s="22" t="s">
        <v>271</v>
      </c>
      <c r="F83" s="22">
        <v>33.14891935</v>
      </c>
      <c r="G83" s="22">
        <v>43.990697859999997</v>
      </c>
      <c r="H83" s="21" t="s">
        <v>73</v>
      </c>
      <c r="I83" s="21" t="s">
        <v>243</v>
      </c>
      <c r="J83" s="21"/>
      <c r="K83" s="24">
        <v>488</v>
      </c>
      <c r="L83" s="24">
        <v>2928</v>
      </c>
      <c r="M83" s="23">
        <v>488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>
        <v>163</v>
      </c>
      <c r="AG83" s="23"/>
      <c r="AH83" s="23">
        <v>325</v>
      </c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>
        <v>325</v>
      </c>
      <c r="AT83" s="23">
        <v>163</v>
      </c>
      <c r="AU83" s="14" t="str">
        <f>HYPERLINK("http://www.openstreetmap.org/?mlat=33.1489&amp;mlon=43.9907&amp;zoom=12#map=12/33.1489/43.9907","Maplink1")</f>
        <v>Maplink1</v>
      </c>
      <c r="AV83" s="14" t="str">
        <f>HYPERLINK("https://www.google.iq/maps/search/+33.1489,43.9907/@33.1489,43.9907,14z?hl=en","Maplink2")</f>
        <v>Maplink2</v>
      </c>
      <c r="AW83" s="14" t="str">
        <f>HYPERLINK("http://www.bing.com/maps/?lvl=14&amp;sty=h&amp;cp=33.1489~43.9907&amp;sp=point.33.1489_43.9907_Al-Amirya-Albu Jwad","Maplink3")</f>
        <v>Maplink3</v>
      </c>
    </row>
    <row r="84" spans="1:49" ht="15" customHeight="1" x14ac:dyDescent="0.25">
      <c r="A84" s="21">
        <v>26090</v>
      </c>
      <c r="B84" s="22" t="s">
        <v>9</v>
      </c>
      <c r="C84" s="22" t="s">
        <v>240</v>
      </c>
      <c r="D84" s="22" t="s">
        <v>8150</v>
      </c>
      <c r="E84" s="22" t="s">
        <v>272</v>
      </c>
      <c r="F84" s="22">
        <v>33.19919994</v>
      </c>
      <c r="G84" s="22">
        <v>43.925184119999997</v>
      </c>
      <c r="H84" s="21" t="s">
        <v>73</v>
      </c>
      <c r="I84" s="21" t="s">
        <v>243</v>
      </c>
      <c r="J84" s="21"/>
      <c r="K84" s="24">
        <v>368</v>
      </c>
      <c r="L84" s="24">
        <v>2208</v>
      </c>
      <c r="M84" s="23">
        <v>368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324</v>
      </c>
      <c r="AG84" s="23"/>
      <c r="AH84" s="23"/>
      <c r="AI84" s="23"/>
      <c r="AJ84" s="23"/>
      <c r="AK84" s="23"/>
      <c r="AL84" s="23"/>
      <c r="AM84" s="23">
        <v>44</v>
      </c>
      <c r="AN84" s="23"/>
      <c r="AO84" s="23"/>
      <c r="AP84" s="23"/>
      <c r="AQ84" s="23"/>
      <c r="AR84" s="23"/>
      <c r="AS84" s="23">
        <v>189</v>
      </c>
      <c r="AT84" s="23">
        <v>179</v>
      </c>
      <c r="AU84" s="14" t="str">
        <f>HYPERLINK("http://www.openstreetmap.org/?mlat=33.1992&amp;mlon=43.9252&amp;zoom=12#map=12/33.1992/43.9252","Maplink1")</f>
        <v>Maplink1</v>
      </c>
      <c r="AV84" s="14" t="str">
        <f>HYPERLINK("https://www.google.iq/maps/search/+33.1992,43.9252/@33.1992,43.9252,14z?hl=en","Maplink2")</f>
        <v>Maplink2</v>
      </c>
      <c r="AW84" s="14" t="str">
        <f>HYPERLINK("http://www.bing.com/maps/?lvl=14&amp;sty=h&amp;cp=33.1992~43.9252&amp;sp=point.33.1992_43.9252_Al-Amirya-Albu Mrir","Maplink3")</f>
        <v>Maplink3</v>
      </c>
    </row>
    <row r="85" spans="1:49" ht="15" customHeight="1" x14ac:dyDescent="0.25">
      <c r="A85" s="21">
        <v>26088</v>
      </c>
      <c r="B85" s="22" t="s">
        <v>9</v>
      </c>
      <c r="C85" s="22" t="s">
        <v>240</v>
      </c>
      <c r="D85" s="22" t="s">
        <v>8151</v>
      </c>
      <c r="E85" s="22" t="s">
        <v>273</v>
      </c>
      <c r="F85" s="22">
        <v>33.147234079999997</v>
      </c>
      <c r="G85" s="22">
        <v>44.014265999999999</v>
      </c>
      <c r="H85" s="21" t="s">
        <v>73</v>
      </c>
      <c r="I85" s="21" t="s">
        <v>243</v>
      </c>
      <c r="J85" s="21"/>
      <c r="K85" s="24">
        <v>1091</v>
      </c>
      <c r="L85" s="24">
        <v>6546</v>
      </c>
      <c r="M85" s="23">
        <v>1091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212</v>
      </c>
      <c r="AG85" s="23"/>
      <c r="AH85" s="23">
        <v>786</v>
      </c>
      <c r="AI85" s="23"/>
      <c r="AJ85" s="23"/>
      <c r="AK85" s="23"/>
      <c r="AL85" s="23"/>
      <c r="AM85" s="23">
        <v>93</v>
      </c>
      <c r="AN85" s="23"/>
      <c r="AO85" s="23"/>
      <c r="AP85" s="23"/>
      <c r="AQ85" s="23"/>
      <c r="AR85" s="23"/>
      <c r="AS85" s="23">
        <v>1091</v>
      </c>
      <c r="AT85" s="23"/>
      <c r="AU85" s="14" t="str">
        <f>HYPERLINK("http://www.openstreetmap.org/?mlat=33.1472&amp;mlon=44.0143&amp;zoom=12#map=12/33.1472/44.0143","Maplink1")</f>
        <v>Maplink1</v>
      </c>
      <c r="AV85" s="14" t="str">
        <f>HYPERLINK("https://www.google.iq/maps/search/+33.1472,44.0143/@33.1472,44.0143,14z?hl=en","Maplink2")</f>
        <v>Maplink2</v>
      </c>
      <c r="AW85" s="14" t="str">
        <f>HYPERLINK("http://www.bing.com/maps/?lvl=14&amp;sty=h&amp;cp=33.1472~44.0143&amp;sp=point.33.1472_44.0143_Al-Amirya-Albu Saleh","Maplink3")</f>
        <v>Maplink3</v>
      </c>
    </row>
    <row r="86" spans="1:49" ht="15" customHeight="1" x14ac:dyDescent="0.25">
      <c r="A86" s="21">
        <v>26087</v>
      </c>
      <c r="B86" s="22" t="s">
        <v>9</v>
      </c>
      <c r="C86" s="22" t="s">
        <v>240</v>
      </c>
      <c r="D86" s="22" t="s">
        <v>8152</v>
      </c>
      <c r="E86" s="22" t="s">
        <v>274</v>
      </c>
      <c r="F86" s="22">
        <v>33.153899879999997</v>
      </c>
      <c r="G86" s="22">
        <v>44.001937490000003</v>
      </c>
      <c r="H86" s="21" t="s">
        <v>73</v>
      </c>
      <c r="I86" s="21" t="s">
        <v>243</v>
      </c>
      <c r="J86" s="21"/>
      <c r="K86" s="24">
        <v>350</v>
      </c>
      <c r="L86" s="24">
        <v>2100</v>
      </c>
      <c r="M86" s="23">
        <v>350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350</v>
      </c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>
        <v>350</v>
      </c>
      <c r="AT86" s="23"/>
      <c r="AU86" s="14" t="str">
        <f>HYPERLINK("http://www.openstreetmap.org/?mlat=33.1539&amp;mlon=44.0019&amp;zoom=12#map=12/33.1539/44.0019","Maplink1")</f>
        <v>Maplink1</v>
      </c>
      <c r="AV86" s="14" t="str">
        <f>HYPERLINK("https://www.google.iq/maps/search/+33.1539,44.0019/@33.1539,44.0019,14z?hl=en","Maplink2")</f>
        <v>Maplink2</v>
      </c>
      <c r="AW86" s="14" t="str">
        <f>HYPERLINK("http://www.bing.com/maps/?lvl=14&amp;sty=h&amp;cp=33.1539~44.0019&amp;sp=point.33.1539_44.0019_Al-Amirya-Albu Salman","Maplink3")</f>
        <v>Maplink3</v>
      </c>
    </row>
    <row r="87" spans="1:49" ht="15" customHeight="1" x14ac:dyDescent="0.25">
      <c r="A87" s="21">
        <v>26093</v>
      </c>
      <c r="B87" s="22" t="s">
        <v>9</v>
      </c>
      <c r="C87" s="22" t="s">
        <v>240</v>
      </c>
      <c r="D87" s="22" t="s">
        <v>8153</v>
      </c>
      <c r="E87" s="22" t="s">
        <v>275</v>
      </c>
      <c r="F87" s="22">
        <v>33.183853859999999</v>
      </c>
      <c r="G87" s="22">
        <v>43.925886980000001</v>
      </c>
      <c r="H87" s="21" t="s">
        <v>73</v>
      </c>
      <c r="I87" s="21" t="s">
        <v>243</v>
      </c>
      <c r="J87" s="21"/>
      <c r="K87" s="24">
        <v>406</v>
      </c>
      <c r="L87" s="24">
        <v>2436</v>
      </c>
      <c r="M87" s="23">
        <v>406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330</v>
      </c>
      <c r="AG87" s="23"/>
      <c r="AH87" s="23"/>
      <c r="AI87" s="23"/>
      <c r="AJ87" s="23"/>
      <c r="AK87" s="23"/>
      <c r="AL87" s="23"/>
      <c r="AM87" s="23">
        <v>76</v>
      </c>
      <c r="AN87" s="23"/>
      <c r="AO87" s="23"/>
      <c r="AP87" s="23"/>
      <c r="AQ87" s="23"/>
      <c r="AR87" s="23"/>
      <c r="AS87" s="23">
        <v>172</v>
      </c>
      <c r="AT87" s="23">
        <v>234</v>
      </c>
      <c r="AU87" s="14" t="str">
        <f>HYPERLINK("http://www.openstreetmap.org/?mlat=33.1839&amp;mlon=43.9259&amp;zoom=12#map=12/33.1839/43.9259","Maplink1")</f>
        <v>Maplink1</v>
      </c>
      <c r="AV87" s="14" t="str">
        <f>HYPERLINK("https://www.google.iq/maps/search/+33.1839,43.9259/@33.1839,43.9259,14z?hl=en","Maplink2")</f>
        <v>Maplink2</v>
      </c>
      <c r="AW87" s="14" t="str">
        <f>HYPERLINK("http://www.bing.com/maps/?lvl=14&amp;sty=h&amp;cp=33.1839~43.9259&amp;sp=point.33.1839_43.9259_Al-Amirya-Tal Ghatas","Maplink3")</f>
        <v>Maplink3</v>
      </c>
    </row>
    <row r="88" spans="1:49" ht="15" customHeight="1" x14ac:dyDescent="0.25">
      <c r="A88" s="21">
        <v>176</v>
      </c>
      <c r="B88" s="22" t="s">
        <v>9</v>
      </c>
      <c r="C88" s="22" t="s">
        <v>240</v>
      </c>
      <c r="D88" s="22" t="s">
        <v>276</v>
      </c>
      <c r="E88" s="22" t="s">
        <v>277</v>
      </c>
      <c r="F88" s="22">
        <v>33.349815999999997</v>
      </c>
      <c r="G88" s="22">
        <v>43.772097000000002</v>
      </c>
      <c r="H88" s="21" t="s">
        <v>73</v>
      </c>
      <c r="I88" s="21" t="s">
        <v>243</v>
      </c>
      <c r="J88" s="21" t="s">
        <v>278</v>
      </c>
      <c r="K88" s="24">
        <v>2092</v>
      </c>
      <c r="L88" s="24">
        <v>12552</v>
      </c>
      <c r="M88" s="23">
        <v>2092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2092</v>
      </c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>
        <v>2092</v>
      </c>
      <c r="AT88" s="23"/>
      <c r="AU88" s="14" t="str">
        <f>HYPERLINK("http://www.openstreetmap.org/?mlat=33.3476&amp;mlon=43.7633&amp;zoom=12#map=12/33.3476/43.7633","Maplink1")</f>
        <v>Maplink1</v>
      </c>
      <c r="AV88" s="14" t="str">
        <f>HYPERLINK("https://www.google.iq/maps/search/+33.3476,43.7633/@33.3476,43.7633,14z?hl=en","Maplink2")</f>
        <v>Maplink2</v>
      </c>
      <c r="AW88" s="14" t="str">
        <f>HYPERLINK("http://www.bing.com/maps/?lvl=14&amp;sty=h&amp;cp=33.3476~43.7633&amp;sp=point.33.3476_43.7633_Al-andalus","Maplink3")</f>
        <v>Maplink3</v>
      </c>
    </row>
    <row r="89" spans="1:49" ht="15" customHeight="1" x14ac:dyDescent="0.25">
      <c r="A89" s="21">
        <v>177</v>
      </c>
      <c r="B89" s="22" t="s">
        <v>9</v>
      </c>
      <c r="C89" s="22" t="s">
        <v>240</v>
      </c>
      <c r="D89" s="22" t="s">
        <v>279</v>
      </c>
      <c r="E89" s="22" t="s">
        <v>280</v>
      </c>
      <c r="F89" s="22">
        <v>33.352469999999997</v>
      </c>
      <c r="G89" s="22">
        <v>43.767167999999998</v>
      </c>
      <c r="H89" s="21" t="s">
        <v>73</v>
      </c>
      <c r="I89" s="21" t="s">
        <v>243</v>
      </c>
      <c r="J89" s="21" t="s">
        <v>281</v>
      </c>
      <c r="K89" s="24">
        <v>1982</v>
      </c>
      <c r="L89" s="24">
        <v>11892</v>
      </c>
      <c r="M89" s="23">
        <v>1982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1982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>
        <v>1982</v>
      </c>
      <c r="AT89" s="23"/>
      <c r="AU89" s="14" t="str">
        <f>HYPERLINK("http://www.openstreetmap.org/?mlat=33.3518&amp;mlon=43.7689&amp;zoom=12#map=12/33.3518/43.7689","Maplink1")</f>
        <v>Maplink1</v>
      </c>
      <c r="AV89" s="14" t="str">
        <f>HYPERLINK("https://www.google.iq/maps/search/+33.3518,43.7689/@33.3518,43.7689,14z?hl=en","Maplink2")</f>
        <v>Maplink2</v>
      </c>
      <c r="AW89" s="14" t="str">
        <f>HYPERLINK("http://www.bing.com/maps/?lvl=14&amp;sty=h&amp;cp=33.3518~43.7689&amp;sp=point.33.3518_43.7689_Al-bazara","Maplink3")</f>
        <v>Maplink3</v>
      </c>
    </row>
    <row r="90" spans="1:49" ht="15" customHeight="1" x14ac:dyDescent="0.25">
      <c r="A90" s="21">
        <v>180</v>
      </c>
      <c r="B90" s="22" t="s">
        <v>9</v>
      </c>
      <c r="C90" s="22" t="s">
        <v>240</v>
      </c>
      <c r="D90" s="22" t="s">
        <v>282</v>
      </c>
      <c r="E90" s="22" t="s">
        <v>283</v>
      </c>
      <c r="F90" s="22">
        <v>33.163629999999998</v>
      </c>
      <c r="G90" s="22">
        <v>43.863435000000003</v>
      </c>
      <c r="H90" s="21" t="s">
        <v>73</v>
      </c>
      <c r="I90" s="21" t="s">
        <v>243</v>
      </c>
      <c r="J90" s="21" t="s">
        <v>284</v>
      </c>
      <c r="K90" s="24">
        <v>2502</v>
      </c>
      <c r="L90" s="24">
        <v>15012</v>
      </c>
      <c r="M90" s="23">
        <v>2502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454</v>
      </c>
      <c r="AG90" s="23"/>
      <c r="AH90" s="23">
        <v>1345</v>
      </c>
      <c r="AI90" s="23"/>
      <c r="AJ90" s="23"/>
      <c r="AK90" s="23">
        <v>240</v>
      </c>
      <c r="AL90" s="23">
        <v>320</v>
      </c>
      <c r="AM90" s="23">
        <v>143</v>
      </c>
      <c r="AN90" s="23"/>
      <c r="AO90" s="23">
        <v>910</v>
      </c>
      <c r="AP90" s="23"/>
      <c r="AQ90" s="23"/>
      <c r="AR90" s="23">
        <v>100</v>
      </c>
      <c r="AS90" s="23">
        <v>1352</v>
      </c>
      <c r="AT90" s="23">
        <v>140</v>
      </c>
      <c r="AU90" s="14" t="str">
        <f>HYPERLINK("http://www.openstreetmap.org/?mlat=33.1636&amp;mlon=43.8634&amp;zoom=12#map=12/33.1636/43.8634","Maplink1")</f>
        <v>Maplink1</v>
      </c>
      <c r="AV90" s="14" t="str">
        <f>HYPERLINK("https://www.google.iq/maps/search/+33.1636,43.8634/@33.1636,43.8634,14z?hl=en","Maplink2")</f>
        <v>Maplink2</v>
      </c>
      <c r="AW90" s="14" t="str">
        <f>HYPERLINK("http://www.bing.com/maps/?lvl=14&amp;sty=h&amp;cp=33.1636~43.8634&amp;sp=point.33.1636_43.8634_Al-Ekhaa Compaund","Maplink3")</f>
        <v>Maplink3</v>
      </c>
    </row>
    <row r="91" spans="1:49" ht="15" customHeight="1" x14ac:dyDescent="0.25">
      <c r="A91" s="21">
        <v>21410</v>
      </c>
      <c r="B91" s="22" t="s">
        <v>9</v>
      </c>
      <c r="C91" s="22" t="s">
        <v>240</v>
      </c>
      <c r="D91" s="22" t="s">
        <v>287</v>
      </c>
      <c r="E91" s="22" t="s">
        <v>288</v>
      </c>
      <c r="F91" s="22">
        <v>33.164126000000003</v>
      </c>
      <c r="G91" s="22">
        <v>43.882216999999997</v>
      </c>
      <c r="H91" s="21" t="s">
        <v>73</v>
      </c>
      <c r="I91" s="21" t="s">
        <v>243</v>
      </c>
      <c r="J91" s="21" t="s">
        <v>289</v>
      </c>
      <c r="K91" s="24">
        <v>411</v>
      </c>
      <c r="L91" s="24">
        <v>2466</v>
      </c>
      <c r="M91" s="23">
        <v>411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376</v>
      </c>
      <c r="AG91" s="23"/>
      <c r="AH91" s="23"/>
      <c r="AI91" s="23"/>
      <c r="AJ91" s="23"/>
      <c r="AK91" s="23"/>
      <c r="AL91" s="23">
        <v>14</v>
      </c>
      <c r="AM91" s="23">
        <v>21</v>
      </c>
      <c r="AN91" s="23"/>
      <c r="AO91" s="23">
        <v>40</v>
      </c>
      <c r="AP91" s="23"/>
      <c r="AQ91" s="23"/>
      <c r="AR91" s="23">
        <v>14</v>
      </c>
      <c r="AS91" s="23">
        <v>223</v>
      </c>
      <c r="AT91" s="23">
        <v>134</v>
      </c>
      <c r="AU91" s="14" t="str">
        <f>HYPERLINK("http://www.openstreetmap.org/?mlat=33.1641&amp;mlon=43.8822&amp;zoom=12#map=12/33.1641/43.8822","Maplink1")</f>
        <v>Maplink1</v>
      </c>
      <c r="AV91" s="14" t="str">
        <f>HYPERLINK("https://www.google.iq/maps/search/+33.1641,43.8822/@33.1641,43.8822,14z?hl=en","Maplink2")</f>
        <v>Maplink2</v>
      </c>
      <c r="AW91" s="14" t="str">
        <f>HYPERLINK("http://www.bing.com/maps/?lvl=14&amp;sty=h&amp;cp=33.1641~43.8822&amp;sp=point.33.1641_43.8822_Al-Huraimat","Maplink3")</f>
        <v>Maplink3</v>
      </c>
    </row>
    <row r="92" spans="1:49" ht="15" customHeight="1" x14ac:dyDescent="0.25">
      <c r="A92" s="21">
        <v>173</v>
      </c>
      <c r="B92" s="22" t="s">
        <v>9</v>
      </c>
      <c r="C92" s="22" t="s">
        <v>240</v>
      </c>
      <c r="D92" s="22" t="s">
        <v>290</v>
      </c>
      <c r="E92" s="22" t="s">
        <v>291</v>
      </c>
      <c r="F92" s="22">
        <v>33.353059000000002</v>
      </c>
      <c r="G92" s="22">
        <v>43.772905000000002</v>
      </c>
      <c r="H92" s="21" t="s">
        <v>73</v>
      </c>
      <c r="I92" s="21" t="s">
        <v>243</v>
      </c>
      <c r="J92" s="21" t="s">
        <v>292</v>
      </c>
      <c r="K92" s="24">
        <v>3746</v>
      </c>
      <c r="L92" s="24">
        <v>22476</v>
      </c>
      <c r="M92" s="23">
        <v>3746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3746</v>
      </c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>
        <v>3746</v>
      </c>
      <c r="AT92" s="23"/>
      <c r="AU92" s="14" t="str">
        <f>HYPERLINK("http://www.openstreetmap.org/?mlat=33.3533&amp;mlon=43.7734&amp;zoom=12#map=12/33.3533/43.7734","Maplink1")</f>
        <v>Maplink1</v>
      </c>
      <c r="AV92" s="14" t="str">
        <f>HYPERLINK("https://www.google.iq/maps/search/+33.3533,43.7734/@33.3533,43.7734,14z?hl=en","Maplink2")</f>
        <v>Maplink2</v>
      </c>
      <c r="AW92" s="14" t="str">
        <f>HYPERLINK("http://www.bing.com/maps/?lvl=14&amp;sty=h&amp;cp=33.3533~43.7734&amp;sp=point.33.3533_43.7734_Al-jamhuriya","Maplink3")</f>
        <v>Maplink3</v>
      </c>
    </row>
    <row r="93" spans="1:49" ht="15" customHeight="1" x14ac:dyDescent="0.25">
      <c r="A93" s="21">
        <v>299</v>
      </c>
      <c r="B93" s="22" t="s">
        <v>9</v>
      </c>
      <c r="C93" s="22" t="s">
        <v>240</v>
      </c>
      <c r="D93" s="22" t="s">
        <v>293</v>
      </c>
      <c r="E93" s="22" t="s">
        <v>294</v>
      </c>
      <c r="F93" s="22">
        <v>33.361091000000002</v>
      </c>
      <c r="G93" s="22">
        <v>43.764626</v>
      </c>
      <c r="H93" s="21" t="s">
        <v>73</v>
      </c>
      <c r="I93" s="21" t="s">
        <v>243</v>
      </c>
      <c r="J93" s="21" t="s">
        <v>295</v>
      </c>
      <c r="K93" s="24">
        <v>4399</v>
      </c>
      <c r="L93" s="24">
        <v>26394</v>
      </c>
      <c r="M93" s="23">
        <v>4399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4399</v>
      </c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>
        <v>4399</v>
      </c>
      <c r="AT93" s="23"/>
      <c r="AU93" s="14" t="str">
        <f>HYPERLINK("http://www.openstreetmap.org/?mlat=33.3611&amp;mlon=43.7646&amp;zoom=12#map=12/33.3611/43.7646","Maplink1")</f>
        <v>Maplink1</v>
      </c>
      <c r="AV93" s="14" t="str">
        <f>HYPERLINK("https://www.google.iq/maps/search/+33.3611,43.7646/@33.3611,43.7646,14z?hl=en","Maplink2")</f>
        <v>Maplink2</v>
      </c>
      <c r="AW93" s="14" t="str">
        <f>HYPERLINK("http://www.bing.com/maps/?lvl=14&amp;sty=h&amp;cp=33.3611~43.7646&amp;sp=point.33.3611_43.7646_Al-Julan","Maplink3")</f>
        <v>Maplink3</v>
      </c>
    </row>
    <row r="94" spans="1:49" ht="15" customHeight="1" x14ac:dyDescent="0.25">
      <c r="A94" s="21">
        <v>313</v>
      </c>
      <c r="B94" s="22" t="s">
        <v>9</v>
      </c>
      <c r="C94" s="22" t="s">
        <v>240</v>
      </c>
      <c r="D94" s="22" t="s">
        <v>296</v>
      </c>
      <c r="E94" s="22" t="s">
        <v>297</v>
      </c>
      <c r="F94" s="22">
        <v>33.415488000000003</v>
      </c>
      <c r="G94" s="22">
        <v>43.938712000000002</v>
      </c>
      <c r="H94" s="21" t="s">
        <v>73</v>
      </c>
      <c r="I94" s="21" t="s">
        <v>243</v>
      </c>
      <c r="J94" s="21" t="s">
        <v>298</v>
      </c>
      <c r="K94" s="24">
        <v>205</v>
      </c>
      <c r="L94" s="24">
        <v>1230</v>
      </c>
      <c r="M94" s="23">
        <v>205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135</v>
      </c>
      <c r="AG94" s="23"/>
      <c r="AH94" s="23"/>
      <c r="AI94" s="23"/>
      <c r="AJ94" s="23"/>
      <c r="AK94" s="23">
        <v>15</v>
      </c>
      <c r="AL94" s="23">
        <v>22</v>
      </c>
      <c r="AM94" s="23">
        <v>33</v>
      </c>
      <c r="AN94" s="23"/>
      <c r="AO94" s="23">
        <v>196</v>
      </c>
      <c r="AP94" s="23"/>
      <c r="AQ94" s="23"/>
      <c r="AR94" s="23">
        <v>9</v>
      </c>
      <c r="AS94" s="23"/>
      <c r="AT94" s="23"/>
      <c r="AU94" s="14" t="str">
        <f>HYPERLINK("http://www.openstreetmap.org/?mlat=33.4155&amp;mlon=43.9387&amp;zoom=12#map=12/33.4155/43.9387","Maplink1")</f>
        <v>Maplink1</v>
      </c>
      <c r="AV94" s="14" t="str">
        <f>HYPERLINK("https://www.google.iq/maps/search/+33.4155,43.9387/@33.4155,43.9387,14z?hl=en","Maplink2")</f>
        <v>Maplink2</v>
      </c>
      <c r="AW94" s="14" t="str">
        <f>HYPERLINK("http://www.bing.com/maps/?lvl=14&amp;sty=h&amp;cp=33.4155~43.9387&amp;sp=point.33.4155_43.9387_Al-Karagul","Maplink3")</f>
        <v>Maplink3</v>
      </c>
    </row>
    <row r="95" spans="1:49" ht="15" customHeight="1" x14ac:dyDescent="0.25">
      <c r="A95" s="21">
        <v>20958</v>
      </c>
      <c r="B95" s="22" t="s">
        <v>9</v>
      </c>
      <c r="C95" s="22" t="s">
        <v>240</v>
      </c>
      <c r="D95" s="22" t="s">
        <v>299</v>
      </c>
      <c r="E95" s="22" t="s">
        <v>300</v>
      </c>
      <c r="F95" s="22">
        <v>33.189554000000001</v>
      </c>
      <c r="G95" s="22">
        <v>43.491903000000001</v>
      </c>
      <c r="H95" s="21" t="s">
        <v>73</v>
      </c>
      <c r="I95" s="21" t="s">
        <v>243</v>
      </c>
      <c r="J95" s="21" t="s">
        <v>301</v>
      </c>
      <c r="K95" s="24">
        <v>198</v>
      </c>
      <c r="L95" s="24">
        <v>1188</v>
      </c>
      <c r="M95" s="23">
        <v>198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140</v>
      </c>
      <c r="AG95" s="23"/>
      <c r="AH95" s="23"/>
      <c r="AI95" s="23"/>
      <c r="AJ95" s="23">
        <v>12</v>
      </c>
      <c r="AK95" s="23"/>
      <c r="AL95" s="23">
        <v>20</v>
      </c>
      <c r="AM95" s="23">
        <v>26</v>
      </c>
      <c r="AN95" s="23"/>
      <c r="AO95" s="23">
        <v>88</v>
      </c>
      <c r="AP95" s="23"/>
      <c r="AQ95" s="23"/>
      <c r="AR95" s="23">
        <v>8</v>
      </c>
      <c r="AS95" s="23">
        <v>102</v>
      </c>
      <c r="AT95" s="23"/>
      <c r="AU95" s="14" t="str">
        <f>HYPERLINK("http://www.openstreetmap.org/?mlat=33.1896&amp;mlon=43.4919&amp;zoom=12#map=12/33.1896/43.4919","Maplink1")</f>
        <v>Maplink1</v>
      </c>
      <c r="AV95" s="14" t="str">
        <f>HYPERLINK("https://www.google.iq/maps/search/+33.1896,43.4919/@33.1896,43.4919,14z?hl=en","Maplink2")</f>
        <v>Maplink2</v>
      </c>
      <c r="AW95" s="14" t="str">
        <f>HYPERLINK("http://www.bing.com/maps/?lvl=14&amp;sty=h&amp;cp=33.1896~43.4919&amp;sp=point.33.1896_43.4919_Al-Mejar","Maplink3")</f>
        <v>Maplink3</v>
      </c>
    </row>
    <row r="96" spans="1:49" ht="15" customHeight="1" x14ac:dyDescent="0.25">
      <c r="A96" s="21">
        <v>20937</v>
      </c>
      <c r="B96" s="22" t="s">
        <v>9</v>
      </c>
      <c r="C96" s="22" t="s">
        <v>240</v>
      </c>
      <c r="D96" s="22" t="s">
        <v>303</v>
      </c>
      <c r="E96" s="22" t="s">
        <v>304</v>
      </c>
      <c r="F96" s="22">
        <v>33.392164000000001</v>
      </c>
      <c r="G96" s="22">
        <v>43.869338999999997</v>
      </c>
      <c r="H96" s="21" t="s">
        <v>73</v>
      </c>
      <c r="I96" s="21" t="s">
        <v>243</v>
      </c>
      <c r="J96" s="21" t="s">
        <v>305</v>
      </c>
      <c r="K96" s="24">
        <v>85</v>
      </c>
      <c r="L96" s="24">
        <v>510</v>
      </c>
      <c r="M96" s="23">
        <v>85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68</v>
      </c>
      <c r="AG96" s="23"/>
      <c r="AH96" s="23"/>
      <c r="AI96" s="23"/>
      <c r="AJ96" s="23"/>
      <c r="AK96" s="23"/>
      <c r="AL96" s="23">
        <v>17</v>
      </c>
      <c r="AM96" s="23"/>
      <c r="AN96" s="23"/>
      <c r="AO96" s="23"/>
      <c r="AP96" s="23"/>
      <c r="AQ96" s="23"/>
      <c r="AR96" s="23">
        <v>85</v>
      </c>
      <c r="AS96" s="23"/>
      <c r="AT96" s="23"/>
      <c r="AU96" s="14" t="str">
        <f>HYPERLINK("http://www.openstreetmap.org/?mlat=33.3922&amp;mlon=43.8693&amp;zoom=12#map=12/33.3922/43.8693","Maplink1")</f>
        <v>Maplink1</v>
      </c>
      <c r="AV96" s="14" t="str">
        <f>HYPERLINK("https://www.google.iq/maps/search/+33.3922,43.8693/@33.3922,43.8693,14z?hl=en","Maplink2")</f>
        <v>Maplink2</v>
      </c>
      <c r="AW96" s="14" t="str">
        <f>HYPERLINK("http://www.bing.com/maps/?lvl=14&amp;sty=h&amp;cp=33.3922~43.8693&amp;sp=point.33.3922_43.8693_Al-Rufa","Maplink3")</f>
        <v>Maplink3</v>
      </c>
    </row>
    <row r="97" spans="1:49" ht="15" customHeight="1" x14ac:dyDescent="0.25">
      <c r="A97" s="21">
        <v>291</v>
      </c>
      <c r="B97" s="22" t="s">
        <v>9</v>
      </c>
      <c r="C97" s="22" t="s">
        <v>240</v>
      </c>
      <c r="D97" s="22" t="s">
        <v>310</v>
      </c>
      <c r="E97" s="22" t="s">
        <v>311</v>
      </c>
      <c r="F97" s="22">
        <v>33.403159000000002</v>
      </c>
      <c r="G97" s="22">
        <v>43.938961999999997</v>
      </c>
      <c r="H97" s="21" t="s">
        <v>73</v>
      </c>
      <c r="I97" s="21" t="s">
        <v>243</v>
      </c>
      <c r="J97" s="21" t="s">
        <v>312</v>
      </c>
      <c r="K97" s="24">
        <v>153</v>
      </c>
      <c r="L97" s="24">
        <v>918</v>
      </c>
      <c r="M97" s="23">
        <v>153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112</v>
      </c>
      <c r="AG97" s="23"/>
      <c r="AH97" s="23"/>
      <c r="AI97" s="23"/>
      <c r="AJ97" s="23"/>
      <c r="AK97" s="23">
        <v>4</v>
      </c>
      <c r="AL97" s="23">
        <v>20</v>
      </c>
      <c r="AM97" s="23">
        <v>17</v>
      </c>
      <c r="AN97" s="23"/>
      <c r="AO97" s="23">
        <v>139</v>
      </c>
      <c r="AP97" s="23"/>
      <c r="AQ97" s="23"/>
      <c r="AR97" s="23">
        <v>14</v>
      </c>
      <c r="AS97" s="23"/>
      <c r="AT97" s="23"/>
      <c r="AU97" s="14" t="str">
        <f>HYPERLINK("http://www.openstreetmap.org/?mlat=33.4032&amp;mlon=43.939&amp;zoom=12#map=12/33.4032/43.939","Maplink1")</f>
        <v>Maplink1</v>
      </c>
      <c r="AV97" s="14" t="str">
        <f>HYPERLINK("https://www.google.iq/maps/search/+33.4032,43.939/@33.4032,43.939,14z?hl=en","Maplink2")</f>
        <v>Maplink2</v>
      </c>
      <c r="AW97" s="14" t="str">
        <f>HYPERLINK("http://www.bing.com/maps/?lvl=14&amp;sty=h&amp;cp=33.4032~43.939&amp;sp=point.33.4032_43.939_Al-Shurtan","Maplink3")</f>
        <v>Maplink3</v>
      </c>
    </row>
    <row r="98" spans="1:49" ht="15" customHeight="1" x14ac:dyDescent="0.25">
      <c r="A98" s="21">
        <v>23803</v>
      </c>
      <c r="B98" s="22" t="s">
        <v>9</v>
      </c>
      <c r="C98" s="22" t="s">
        <v>240</v>
      </c>
      <c r="D98" s="22" t="s">
        <v>316</v>
      </c>
      <c r="E98" s="22" t="s">
        <v>317</v>
      </c>
      <c r="F98" s="22">
        <v>33.304110000000001</v>
      </c>
      <c r="G98" s="22">
        <v>43.703724000000001</v>
      </c>
      <c r="H98" s="21" t="s">
        <v>73</v>
      </c>
      <c r="I98" s="21" t="s">
        <v>243</v>
      </c>
      <c r="J98" s="21" t="s">
        <v>318</v>
      </c>
      <c r="K98" s="24">
        <v>181</v>
      </c>
      <c r="L98" s="24">
        <v>1086</v>
      </c>
      <c r="M98" s="23">
        <v>181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>
        <v>168</v>
      </c>
      <c r="AG98" s="23"/>
      <c r="AH98" s="23"/>
      <c r="AI98" s="23"/>
      <c r="AJ98" s="23"/>
      <c r="AK98" s="23"/>
      <c r="AL98" s="23"/>
      <c r="AM98" s="23">
        <v>13</v>
      </c>
      <c r="AN98" s="23"/>
      <c r="AO98" s="23">
        <v>66</v>
      </c>
      <c r="AP98" s="23"/>
      <c r="AQ98" s="23"/>
      <c r="AR98" s="23">
        <v>8</v>
      </c>
      <c r="AS98" s="23">
        <v>107</v>
      </c>
      <c r="AT98" s="23"/>
      <c r="AU98" s="14" t="str">
        <f>HYPERLINK("http://www.openstreetmap.org/?mlat=33.3041&amp;mlon=43.7037&amp;zoom=12#map=12/33.3041/43.7037","Maplink1")</f>
        <v>Maplink1</v>
      </c>
      <c r="AV98" s="14" t="str">
        <f>HYPERLINK("https://www.google.iq/maps/search/+33.3041,43.7037/@33.3041,43.7037,14z?hl=en","Maplink2")</f>
        <v>Maplink2</v>
      </c>
      <c r="AW98" s="14" t="str">
        <f>HYPERLINK("http://www.bing.com/maps/?lvl=14&amp;sty=h&amp;cp=33.3041~43.7037&amp;sp=point.33.3041_43.7037_Albo Abd Hasan","Maplink3")</f>
        <v>Maplink3</v>
      </c>
    </row>
    <row r="99" spans="1:49" ht="15" customHeight="1" x14ac:dyDescent="0.25">
      <c r="A99" s="21">
        <v>24771</v>
      </c>
      <c r="B99" s="22" t="s">
        <v>9</v>
      </c>
      <c r="C99" s="22" t="s">
        <v>240</v>
      </c>
      <c r="D99" s="22" t="s">
        <v>319</v>
      </c>
      <c r="E99" s="22" t="s">
        <v>320</v>
      </c>
      <c r="F99" s="22">
        <v>33.431215000000002</v>
      </c>
      <c r="G99" s="22">
        <v>43.894855999999997</v>
      </c>
      <c r="H99" s="21" t="s">
        <v>73</v>
      </c>
      <c r="I99" s="21" t="s">
        <v>243</v>
      </c>
      <c r="J99" s="21"/>
      <c r="K99" s="24">
        <v>98</v>
      </c>
      <c r="L99" s="24">
        <v>588</v>
      </c>
      <c r="M99" s="23">
        <v>98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80</v>
      </c>
      <c r="AG99" s="23"/>
      <c r="AH99" s="23"/>
      <c r="AI99" s="23"/>
      <c r="AJ99" s="23"/>
      <c r="AK99" s="23"/>
      <c r="AL99" s="23">
        <v>18</v>
      </c>
      <c r="AM99" s="23"/>
      <c r="AN99" s="23"/>
      <c r="AO99" s="23"/>
      <c r="AP99" s="23"/>
      <c r="AQ99" s="23"/>
      <c r="AR99" s="23">
        <v>98</v>
      </c>
      <c r="AS99" s="23"/>
      <c r="AT99" s="23"/>
      <c r="AU99" s="14" t="str">
        <f>HYPERLINK("http://www.openstreetmap.org/?mlat=33.4312&amp;mlon=43.8949&amp;zoom=12#map=12/33.4312/43.8949","Maplink1")</f>
        <v>Maplink1</v>
      </c>
      <c r="AV99" s="14" t="str">
        <f>HYPERLINK("https://www.google.iq/maps/search/+33.4312,43.8949/@33.4312,43.8949,14z?hl=en","Maplink2")</f>
        <v>Maplink2</v>
      </c>
      <c r="AW99" s="14" t="str">
        <f>HYPERLINK("http://www.bing.com/maps/?lvl=14&amp;sty=h&amp;cp=33.4312~43.8949&amp;sp=point.33.4312_43.8949_Albo Aklah","Maplink3")</f>
        <v>Maplink3</v>
      </c>
    </row>
    <row r="100" spans="1:49" ht="15" customHeight="1" x14ac:dyDescent="0.25">
      <c r="A100" s="21">
        <v>24770</v>
      </c>
      <c r="B100" s="22" t="s">
        <v>9</v>
      </c>
      <c r="C100" s="22" t="s">
        <v>240</v>
      </c>
      <c r="D100" s="22" t="s">
        <v>321</v>
      </c>
      <c r="E100" s="22" t="s">
        <v>322</v>
      </c>
      <c r="F100" s="22">
        <v>33.417757999999999</v>
      </c>
      <c r="G100" s="22">
        <v>43.894772000000003</v>
      </c>
      <c r="H100" s="21" t="s">
        <v>73</v>
      </c>
      <c r="I100" s="21" t="s">
        <v>243</v>
      </c>
      <c r="J100" s="21"/>
      <c r="K100" s="24">
        <v>91</v>
      </c>
      <c r="L100" s="24">
        <v>546</v>
      </c>
      <c r="M100" s="23">
        <v>91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75</v>
      </c>
      <c r="AG100" s="23"/>
      <c r="AH100" s="23"/>
      <c r="AI100" s="23"/>
      <c r="AJ100" s="23"/>
      <c r="AK100" s="23"/>
      <c r="AL100" s="23">
        <v>16</v>
      </c>
      <c r="AM100" s="23"/>
      <c r="AN100" s="23"/>
      <c r="AO100" s="23"/>
      <c r="AP100" s="23"/>
      <c r="AQ100" s="23"/>
      <c r="AR100" s="23">
        <v>91</v>
      </c>
      <c r="AS100" s="23"/>
      <c r="AT100" s="23"/>
      <c r="AU100" s="14" t="str">
        <f>HYPERLINK("http://www.openstreetmap.org/?mlat=33.4178&amp;mlon=43.8948&amp;zoom=12#map=12/33.4178/43.8948","Maplink1")</f>
        <v>Maplink1</v>
      </c>
      <c r="AV100" s="14" t="str">
        <f>HYPERLINK("https://www.google.iq/maps/search/+33.4178,43.8948/@33.4178,43.8948,14z?hl=en","Maplink2")</f>
        <v>Maplink2</v>
      </c>
      <c r="AW100" s="14" t="str">
        <f>HYPERLINK("http://www.bing.com/maps/?lvl=14&amp;sty=h&amp;cp=33.4178~43.8948&amp;sp=point.33.4178_43.8948_Albo Akoll","Maplink3")</f>
        <v>Maplink3</v>
      </c>
    </row>
    <row r="101" spans="1:49" ht="15" customHeight="1" x14ac:dyDescent="0.25">
      <c r="A101" s="21">
        <v>24769</v>
      </c>
      <c r="B101" s="22" t="s">
        <v>9</v>
      </c>
      <c r="C101" s="22" t="s">
        <v>240</v>
      </c>
      <c r="D101" s="22" t="s">
        <v>323</v>
      </c>
      <c r="E101" s="22" t="s">
        <v>324</v>
      </c>
      <c r="F101" s="22">
        <v>33.419187999999998</v>
      </c>
      <c r="G101" s="22">
        <v>43.87321</v>
      </c>
      <c r="H101" s="21" t="s">
        <v>73</v>
      </c>
      <c r="I101" s="21" t="s">
        <v>243</v>
      </c>
      <c r="J101" s="21"/>
      <c r="K101" s="24">
        <v>79</v>
      </c>
      <c r="L101" s="24">
        <v>474</v>
      </c>
      <c r="M101" s="23">
        <v>79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58</v>
      </c>
      <c r="AG101" s="23"/>
      <c r="AH101" s="23"/>
      <c r="AI101" s="23"/>
      <c r="AJ101" s="23"/>
      <c r="AK101" s="23"/>
      <c r="AL101" s="23">
        <v>21</v>
      </c>
      <c r="AM101" s="23"/>
      <c r="AN101" s="23"/>
      <c r="AO101" s="23"/>
      <c r="AP101" s="23"/>
      <c r="AQ101" s="23"/>
      <c r="AR101" s="23">
        <v>79</v>
      </c>
      <c r="AS101" s="23"/>
      <c r="AT101" s="23"/>
      <c r="AU101" s="14" t="str">
        <f>HYPERLINK("http://www.openstreetmap.org/?mlat=33.4192&amp;mlon=43.8732&amp;zoom=12#map=12/33.4192/43.8732","Maplink1")</f>
        <v>Maplink1</v>
      </c>
      <c r="AV101" s="14" t="str">
        <f>HYPERLINK("https://www.google.iq/maps/search/+33.4192,43.8732/@33.4192,43.8732,14z?hl=en","Maplink2")</f>
        <v>Maplink2</v>
      </c>
      <c r="AW101" s="14" t="str">
        <f>HYPERLINK("http://www.bing.com/maps/?lvl=14&amp;sty=h&amp;cp=33.4192~43.8732&amp;sp=point.33.4192_43.8732_Albo Shbeel","Maplink3")</f>
        <v>Maplink3</v>
      </c>
    </row>
    <row r="102" spans="1:49" ht="15" customHeight="1" x14ac:dyDescent="0.25">
      <c r="A102" s="21">
        <v>27245</v>
      </c>
      <c r="B102" s="22" t="s">
        <v>9</v>
      </c>
      <c r="C102" s="22" t="s">
        <v>240</v>
      </c>
      <c r="D102" s="22" t="s">
        <v>325</v>
      </c>
      <c r="E102" s="22" t="s">
        <v>326</v>
      </c>
      <c r="F102" s="22">
        <v>33.121400080000001</v>
      </c>
      <c r="G102" s="22">
        <v>44.041412129999998</v>
      </c>
      <c r="H102" s="21" t="s">
        <v>73</v>
      </c>
      <c r="I102" s="21" t="s">
        <v>243</v>
      </c>
      <c r="J102" s="21"/>
      <c r="K102" s="24">
        <v>300</v>
      </c>
      <c r="L102" s="24">
        <v>1800</v>
      </c>
      <c r="M102" s="23">
        <v>300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>
        <v>300</v>
      </c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>
        <v>300</v>
      </c>
      <c r="AT102" s="23"/>
      <c r="AU102" s="14" t="str">
        <f>HYPERLINK("http://www.openstreetmap.org/?mlat=33.1214&amp;mlon=44.0414&amp;zoom=12#map=12/33.1214/44.0414","Maplink1")</f>
        <v>Maplink1</v>
      </c>
      <c r="AV102" s="14" t="str">
        <f>HYPERLINK("https://www.google.iq/maps/search/+33.1214,44.0414/@33.1214,44.0414,14z?hl=en","Maplink2")</f>
        <v>Maplink2</v>
      </c>
      <c r="AW102" s="14" t="str">
        <f>HYPERLINK("http://www.bing.com/maps/?lvl=14&amp;sty=h&amp;cp=33.1214~44.0414&amp;sp=point.33.1214_44.0414_Albo Shihan","Maplink3")</f>
        <v>Maplink3</v>
      </c>
    </row>
    <row r="103" spans="1:49" ht="15" customHeight="1" x14ac:dyDescent="0.25">
      <c r="A103" s="21">
        <v>324</v>
      </c>
      <c r="B103" s="22" t="s">
        <v>9</v>
      </c>
      <c r="C103" s="22" t="s">
        <v>240</v>
      </c>
      <c r="D103" s="22" t="s">
        <v>327</v>
      </c>
      <c r="E103" s="22" t="s">
        <v>328</v>
      </c>
      <c r="F103" s="22">
        <v>33.310020999999999</v>
      </c>
      <c r="G103" s="22">
        <v>43.742995000000001</v>
      </c>
      <c r="H103" s="21" t="s">
        <v>73</v>
      </c>
      <c r="I103" s="21" t="s">
        <v>243</v>
      </c>
      <c r="J103" s="21" t="s">
        <v>329</v>
      </c>
      <c r="K103" s="24">
        <v>286</v>
      </c>
      <c r="L103" s="24">
        <v>1716</v>
      </c>
      <c r="M103" s="23">
        <v>286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178</v>
      </c>
      <c r="AG103" s="23"/>
      <c r="AH103" s="23"/>
      <c r="AI103" s="23"/>
      <c r="AJ103" s="23"/>
      <c r="AK103" s="23">
        <v>11</v>
      </c>
      <c r="AL103" s="23">
        <v>62</v>
      </c>
      <c r="AM103" s="23">
        <v>35</v>
      </c>
      <c r="AN103" s="23"/>
      <c r="AO103" s="23">
        <v>154</v>
      </c>
      <c r="AP103" s="23"/>
      <c r="AQ103" s="23"/>
      <c r="AR103" s="23">
        <v>7</v>
      </c>
      <c r="AS103" s="23">
        <v>125</v>
      </c>
      <c r="AT103" s="23"/>
      <c r="AU103" s="14" t="str">
        <f>HYPERLINK("http://www.openstreetmap.org/?mlat=33.31&amp;mlon=43.743&amp;zoom=12#map=12/33.31/43.743","Maplink1")</f>
        <v>Maplink1</v>
      </c>
      <c r="AV103" s="14" t="str">
        <f>HYPERLINK("https://www.google.iq/maps/search/+33.31,43.743/@33.31,43.743,14z?hl=en","Maplink2")</f>
        <v>Maplink2</v>
      </c>
      <c r="AW103" s="14" t="str">
        <f>HYPERLINK("http://www.bing.com/maps/?lvl=14&amp;sty=h&amp;cp=33.31~43.743&amp;sp=point.33.31_43.743_Albu Aifan","Maplink3")</f>
        <v>Maplink3</v>
      </c>
    </row>
    <row r="104" spans="1:49" ht="15" customHeight="1" x14ac:dyDescent="0.25">
      <c r="A104" s="21">
        <v>289</v>
      </c>
      <c r="B104" s="22" t="s">
        <v>9</v>
      </c>
      <c r="C104" s="22" t="s">
        <v>240</v>
      </c>
      <c r="D104" s="22" t="s">
        <v>330</v>
      </c>
      <c r="E104" s="22" t="s">
        <v>331</v>
      </c>
      <c r="F104" s="22">
        <v>33.333191999999997</v>
      </c>
      <c r="G104" s="22">
        <v>43.717154000000001</v>
      </c>
      <c r="H104" s="21" t="s">
        <v>73</v>
      </c>
      <c r="I104" s="21" t="s">
        <v>243</v>
      </c>
      <c r="J104" s="21" t="s">
        <v>332</v>
      </c>
      <c r="K104" s="24">
        <v>275</v>
      </c>
      <c r="L104" s="24">
        <v>1650</v>
      </c>
      <c r="M104" s="23">
        <v>275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151</v>
      </c>
      <c r="AG104" s="23"/>
      <c r="AH104" s="23"/>
      <c r="AI104" s="23"/>
      <c r="AJ104" s="23"/>
      <c r="AK104" s="23">
        <v>10</v>
      </c>
      <c r="AL104" s="23">
        <v>95</v>
      </c>
      <c r="AM104" s="23">
        <v>19</v>
      </c>
      <c r="AN104" s="23"/>
      <c r="AO104" s="23">
        <v>275</v>
      </c>
      <c r="AP104" s="23"/>
      <c r="AQ104" s="23"/>
      <c r="AR104" s="23"/>
      <c r="AS104" s="23"/>
      <c r="AT104" s="23"/>
      <c r="AU104" s="14" t="str">
        <f>HYPERLINK("http://www.openstreetmap.org/?mlat=33.3332&amp;mlon=43.7172&amp;zoom=12#map=12/33.3332/43.7172","Maplink1")</f>
        <v>Maplink1</v>
      </c>
      <c r="AV104" s="14" t="str">
        <f>HYPERLINK("https://www.google.iq/maps/search/+33.3332,43.7172/@33.3332,43.7172,14z?hl=en","Maplink2")</f>
        <v>Maplink2</v>
      </c>
      <c r="AW104" s="14" t="str">
        <f>HYPERLINK("http://www.bing.com/maps/?lvl=14&amp;sty=h&amp;cp=33.3332~43.7172&amp;sp=point.33.3332_43.7172_Albu Alwan","Maplink3")</f>
        <v>Maplink3</v>
      </c>
    </row>
    <row r="105" spans="1:49" ht="15" customHeight="1" x14ac:dyDescent="0.25">
      <c r="A105" s="21">
        <v>26089</v>
      </c>
      <c r="B105" s="22" t="s">
        <v>9</v>
      </c>
      <c r="C105" s="22" t="s">
        <v>240</v>
      </c>
      <c r="D105" s="22" t="s">
        <v>8154</v>
      </c>
      <c r="E105" s="22" t="s">
        <v>333</v>
      </c>
      <c r="F105" s="22">
        <v>33.187272159999999</v>
      </c>
      <c r="G105" s="22">
        <v>43.909399030000003</v>
      </c>
      <c r="H105" s="21" t="s">
        <v>73</v>
      </c>
      <c r="I105" s="21" t="s">
        <v>243</v>
      </c>
      <c r="J105" s="21"/>
      <c r="K105" s="24">
        <v>170</v>
      </c>
      <c r="L105" s="24">
        <v>1020</v>
      </c>
      <c r="M105" s="23">
        <v>170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170</v>
      </c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>
        <v>170</v>
      </c>
      <c r="AT105" s="23"/>
      <c r="AU105" s="14" t="str">
        <f>HYPERLINK("http://www.openstreetmap.org/?mlat=33.1873&amp;mlon=43.9094&amp;zoom=12#map=12/33.1873/43.9094","Maplink1")</f>
        <v>Maplink1</v>
      </c>
      <c r="AV105" s="14" t="str">
        <f>HYPERLINK("https://www.google.iq/maps/search/+33.1873,43.9094/@33.1873,43.9094,14z?hl=en","Maplink2")</f>
        <v>Maplink2</v>
      </c>
      <c r="AW105" s="14" t="str">
        <f>HYPERLINK("http://www.bing.com/maps/?lvl=14&amp;sty=h&amp;cp=33.1873~43.9094&amp;sp=point.33.1873_43.9094_Albu Dhaher-Albu Dhaher","Maplink3")</f>
        <v>Maplink3</v>
      </c>
    </row>
    <row r="106" spans="1:49" ht="15" customHeight="1" x14ac:dyDescent="0.25">
      <c r="A106" s="21">
        <v>315</v>
      </c>
      <c r="B106" s="22" t="s">
        <v>9</v>
      </c>
      <c r="C106" s="22" t="s">
        <v>240</v>
      </c>
      <c r="D106" s="22" t="s">
        <v>8315</v>
      </c>
      <c r="E106" s="22" t="s">
        <v>382</v>
      </c>
      <c r="F106" s="22">
        <v>33.391424000000001</v>
      </c>
      <c r="G106" s="22">
        <v>43.832222999999999</v>
      </c>
      <c r="H106" s="21" t="s">
        <v>73</v>
      </c>
      <c r="I106" s="21" t="s">
        <v>243</v>
      </c>
      <c r="J106" s="21" t="s">
        <v>383</v>
      </c>
      <c r="K106" s="24">
        <v>112</v>
      </c>
      <c r="L106" s="24">
        <v>672</v>
      </c>
      <c r="M106" s="23">
        <v>112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112</v>
      </c>
      <c r="AG106" s="23"/>
      <c r="AH106" s="23"/>
      <c r="AI106" s="23"/>
      <c r="AJ106" s="23"/>
      <c r="AK106" s="23"/>
      <c r="AL106" s="23"/>
      <c r="AM106" s="23"/>
      <c r="AN106" s="23"/>
      <c r="AO106" s="23">
        <v>112</v>
      </c>
      <c r="AP106" s="23"/>
      <c r="AQ106" s="23"/>
      <c r="AR106" s="23"/>
      <c r="AS106" s="23"/>
      <c r="AT106" s="23"/>
      <c r="AU106" s="14" t="str">
        <f>HYPERLINK("http://www.openstreetmap.org/?mlat=33.3914&amp;mlon=43.8322&amp;zoom=12#map=12/33.3914/43.8322","Maplink1")</f>
        <v>Maplink1</v>
      </c>
      <c r="AV106" s="14" t="str">
        <f>HYPERLINK("https://www.google.iq/maps/search/+33.3914,43.8322/@33.3914,43.8322,14z?hl=en","Maplink2")</f>
        <v>Maplink2</v>
      </c>
      <c r="AW106" s="14" t="str">
        <f>HYPERLINK("http://www.bing.com/maps/?lvl=14&amp;sty=h&amp;cp=33.3914~43.8322&amp;sp=point.33.3914_43.8322_Qaryat Albu Hadid Al-Nasir","Maplink3")</f>
        <v>Maplink3</v>
      </c>
    </row>
    <row r="107" spans="1:49" ht="15" customHeight="1" x14ac:dyDescent="0.25">
      <c r="A107" s="21">
        <v>325</v>
      </c>
      <c r="B107" s="22" t="s">
        <v>9</v>
      </c>
      <c r="C107" s="22" t="s">
        <v>240</v>
      </c>
      <c r="D107" s="22" t="s">
        <v>334</v>
      </c>
      <c r="E107" s="22" t="s">
        <v>335</v>
      </c>
      <c r="F107" s="22">
        <v>33.312843000000001</v>
      </c>
      <c r="G107" s="22">
        <v>43.729021000000003</v>
      </c>
      <c r="H107" s="21" t="s">
        <v>73</v>
      </c>
      <c r="I107" s="21" t="s">
        <v>243</v>
      </c>
      <c r="J107" s="21" t="s">
        <v>336</v>
      </c>
      <c r="K107" s="24">
        <v>293</v>
      </c>
      <c r="L107" s="24">
        <v>1758</v>
      </c>
      <c r="M107" s="23">
        <v>293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164</v>
      </c>
      <c r="AG107" s="23"/>
      <c r="AH107" s="23">
        <v>18</v>
      </c>
      <c r="AI107" s="23"/>
      <c r="AJ107" s="23"/>
      <c r="AK107" s="23">
        <v>15</v>
      </c>
      <c r="AL107" s="23">
        <v>28</v>
      </c>
      <c r="AM107" s="23">
        <v>68</v>
      </c>
      <c r="AN107" s="23"/>
      <c r="AO107" s="23">
        <v>158</v>
      </c>
      <c r="AP107" s="23"/>
      <c r="AQ107" s="23"/>
      <c r="AR107" s="23">
        <v>8</v>
      </c>
      <c r="AS107" s="23">
        <v>127</v>
      </c>
      <c r="AT107" s="23"/>
      <c r="AU107" s="14" t="str">
        <f>HYPERLINK("http://www.openstreetmap.org/?mlat=33.3128&amp;mlon=43.729&amp;zoom=12#map=12/33.3128/43.729","Maplink1")</f>
        <v>Maplink1</v>
      </c>
      <c r="AV107" s="14" t="str">
        <f>HYPERLINK("https://www.google.iq/maps/search/+33.3128,43.729/@33.3128,43.729,14z?hl=en","Maplink2")</f>
        <v>Maplink2</v>
      </c>
      <c r="AW107" s="14" t="str">
        <f>HYPERLINK("http://www.bing.com/maps/?lvl=14&amp;sty=h&amp;cp=33.3128~43.729&amp;sp=point.33.3128_43.729_Albu Hatem","Maplink3")</f>
        <v>Maplink3</v>
      </c>
    </row>
    <row r="108" spans="1:49" ht="15" customHeight="1" x14ac:dyDescent="0.25">
      <c r="A108" s="21">
        <v>23802</v>
      </c>
      <c r="B108" s="22" t="s">
        <v>9</v>
      </c>
      <c r="C108" s="22" t="s">
        <v>240</v>
      </c>
      <c r="D108" s="22" t="s">
        <v>337</v>
      </c>
      <c r="E108" s="22" t="s">
        <v>338</v>
      </c>
      <c r="F108" s="22">
        <v>33.210510999999997</v>
      </c>
      <c r="G108" s="22">
        <v>43.843657</v>
      </c>
      <c r="H108" s="21" t="s">
        <v>73</v>
      </c>
      <c r="I108" s="21" t="s">
        <v>243</v>
      </c>
      <c r="J108" s="21" t="s">
        <v>339</v>
      </c>
      <c r="K108" s="24">
        <v>214</v>
      </c>
      <c r="L108" s="24">
        <v>1284</v>
      </c>
      <c r="M108" s="23">
        <v>214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141</v>
      </c>
      <c r="AG108" s="23"/>
      <c r="AH108" s="23"/>
      <c r="AI108" s="23"/>
      <c r="AJ108" s="23"/>
      <c r="AK108" s="23">
        <v>8</v>
      </c>
      <c r="AL108" s="23">
        <v>20</v>
      </c>
      <c r="AM108" s="23">
        <v>45</v>
      </c>
      <c r="AN108" s="23"/>
      <c r="AO108" s="23">
        <v>154</v>
      </c>
      <c r="AP108" s="23"/>
      <c r="AQ108" s="23"/>
      <c r="AR108" s="23">
        <v>10</v>
      </c>
      <c r="AS108" s="23">
        <v>50</v>
      </c>
      <c r="AT108" s="23"/>
      <c r="AU108" s="14" t="str">
        <f>HYPERLINK("http://www.openstreetmap.org/?mlat=33.2105&amp;mlon=43.8437&amp;zoom=12#map=12/33.2105/43.8437","Maplink1")</f>
        <v>Maplink1</v>
      </c>
      <c r="AV108" s="14" t="str">
        <f>HYPERLINK("https://www.google.iq/maps/search/+33.2105,43.8437/@33.2105,43.8437,14z?hl=en","Maplink2")</f>
        <v>Maplink2</v>
      </c>
      <c r="AW108" s="14" t="str">
        <f>HYPERLINK("http://www.bing.com/maps/?lvl=14&amp;sty=h&amp;cp=33.2105~43.8437&amp;sp=point.33.2105_43.8437_Albu Hawa","Maplink3")</f>
        <v>Maplink3</v>
      </c>
    </row>
    <row r="109" spans="1:49" ht="15" customHeight="1" x14ac:dyDescent="0.25">
      <c r="A109" s="21">
        <v>21226</v>
      </c>
      <c r="B109" s="22" t="s">
        <v>9</v>
      </c>
      <c r="C109" s="22" t="s">
        <v>240</v>
      </c>
      <c r="D109" s="22" t="s">
        <v>340</v>
      </c>
      <c r="E109" s="22" t="s">
        <v>341</v>
      </c>
      <c r="F109" s="22">
        <v>33.156751999999997</v>
      </c>
      <c r="G109" s="22">
        <v>43.891238000000001</v>
      </c>
      <c r="H109" s="21" t="s">
        <v>73</v>
      </c>
      <c r="I109" s="21" t="s">
        <v>243</v>
      </c>
      <c r="J109" s="21" t="s">
        <v>342</v>
      </c>
      <c r="K109" s="24">
        <v>385</v>
      </c>
      <c r="L109" s="24">
        <v>2310</v>
      </c>
      <c r="M109" s="23">
        <v>385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290</v>
      </c>
      <c r="AG109" s="23"/>
      <c r="AH109" s="23"/>
      <c r="AI109" s="23"/>
      <c r="AJ109" s="23"/>
      <c r="AK109" s="23">
        <v>5</v>
      </c>
      <c r="AL109" s="23">
        <v>20</v>
      </c>
      <c r="AM109" s="23">
        <v>70</v>
      </c>
      <c r="AN109" s="23"/>
      <c r="AO109" s="23">
        <v>73</v>
      </c>
      <c r="AP109" s="23"/>
      <c r="AQ109" s="23"/>
      <c r="AR109" s="23"/>
      <c r="AS109" s="23">
        <v>162</v>
      </c>
      <c r="AT109" s="23">
        <v>150</v>
      </c>
      <c r="AU109" s="14" t="str">
        <f>HYPERLINK("http://www.openstreetmap.org/?mlat=33.1568&amp;mlon=43.8912&amp;zoom=12#map=12/33.1568/43.8912","Maplink1")</f>
        <v>Maplink1</v>
      </c>
      <c r="AV109" s="14" t="str">
        <f>HYPERLINK("https://www.google.iq/maps/search/+33.1568,43.8912/@33.1568,43.8912,14z?hl=en","Maplink2")</f>
        <v>Maplink2</v>
      </c>
      <c r="AW109" s="14" t="str">
        <f>HYPERLINK("http://www.bing.com/maps/?lvl=14&amp;sty=h&amp;cp=33.1568~43.8912&amp;sp=point.33.1568_43.8912_Albu Hori","Maplink3")</f>
        <v>Maplink3</v>
      </c>
    </row>
    <row r="110" spans="1:49" ht="15" customHeight="1" x14ac:dyDescent="0.25">
      <c r="A110" s="21">
        <v>24107</v>
      </c>
      <c r="B110" s="22" t="s">
        <v>9</v>
      </c>
      <c r="C110" s="22" t="s">
        <v>240</v>
      </c>
      <c r="D110" s="22" t="s">
        <v>8316</v>
      </c>
      <c r="E110" s="22" t="s">
        <v>8155</v>
      </c>
      <c r="F110" s="22">
        <v>33.411884000000001</v>
      </c>
      <c r="G110" s="22">
        <v>43.856551000000003</v>
      </c>
      <c r="H110" s="21" t="s">
        <v>73</v>
      </c>
      <c r="I110" s="21" t="s">
        <v>243</v>
      </c>
      <c r="J110" s="21" t="s">
        <v>343</v>
      </c>
      <c r="K110" s="24">
        <v>114</v>
      </c>
      <c r="L110" s="24">
        <v>684</v>
      </c>
      <c r="M110" s="23">
        <v>114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>
        <v>114</v>
      </c>
      <c r="AG110" s="23"/>
      <c r="AH110" s="23"/>
      <c r="AI110" s="23"/>
      <c r="AJ110" s="23"/>
      <c r="AK110" s="23"/>
      <c r="AL110" s="23"/>
      <c r="AM110" s="23"/>
      <c r="AN110" s="23"/>
      <c r="AO110" s="23">
        <v>114</v>
      </c>
      <c r="AP110" s="23"/>
      <c r="AQ110" s="23"/>
      <c r="AR110" s="23"/>
      <c r="AS110" s="23"/>
      <c r="AT110" s="23"/>
      <c r="AU110" s="14" t="str">
        <f>HYPERLINK("http://www.openstreetmap.org/?mlat=33.4119&amp;mlon=43.8566&amp;zoom=12#map=12/33.4119/43.8566","Maplink1")</f>
        <v>Maplink1</v>
      </c>
      <c r="AV110" s="14" t="str">
        <f>HYPERLINK("https://www.google.iq/maps/search/+33.4119,43.8566/@33.4119,43.8566,14z?hl=en","Maplink2")</f>
        <v>Maplink2</v>
      </c>
      <c r="AW110" s="14" t="str">
        <f>HYPERLINK("http://www.bing.com/maps/?lvl=14&amp;sty=h&amp;cp=33.4119~43.8566&amp;sp=point.33.4119_43.8566_Albu Jasim-Karma","Maplink3")</f>
        <v>Maplink3</v>
      </c>
    </row>
    <row r="111" spans="1:49" ht="15" customHeight="1" x14ac:dyDescent="0.25">
      <c r="A111" s="21">
        <v>22134</v>
      </c>
      <c r="B111" s="22" t="s">
        <v>9</v>
      </c>
      <c r="C111" s="22" t="s">
        <v>240</v>
      </c>
      <c r="D111" s="22" t="s">
        <v>344</v>
      </c>
      <c r="E111" s="22" t="s">
        <v>345</v>
      </c>
      <c r="F111" s="22">
        <v>33.437325999999999</v>
      </c>
      <c r="G111" s="22">
        <v>43.890464000000001</v>
      </c>
      <c r="H111" s="21" t="s">
        <v>73</v>
      </c>
      <c r="I111" s="21" t="s">
        <v>243</v>
      </c>
      <c r="J111" s="21" t="s">
        <v>346</v>
      </c>
      <c r="K111" s="24">
        <v>238</v>
      </c>
      <c r="L111" s="24">
        <v>1428</v>
      </c>
      <c r="M111" s="23">
        <v>238</v>
      </c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>
        <v>169</v>
      </c>
      <c r="AG111" s="23"/>
      <c r="AH111" s="23"/>
      <c r="AI111" s="23"/>
      <c r="AJ111" s="23"/>
      <c r="AK111" s="23">
        <v>33</v>
      </c>
      <c r="AL111" s="23">
        <v>20</v>
      </c>
      <c r="AM111" s="23">
        <v>16</v>
      </c>
      <c r="AN111" s="23"/>
      <c r="AO111" s="23">
        <v>238</v>
      </c>
      <c r="AP111" s="23"/>
      <c r="AQ111" s="23"/>
      <c r="AR111" s="23"/>
      <c r="AS111" s="23"/>
      <c r="AT111" s="23"/>
      <c r="AU111" s="14" t="str">
        <f>HYPERLINK("http://www.openstreetmap.org/?mlat=33.4373&amp;mlon=43.8905&amp;zoom=12#map=12/33.4373/43.8905","Maplink1")</f>
        <v>Maplink1</v>
      </c>
      <c r="AV111" s="14" t="str">
        <f>HYPERLINK("https://www.google.iq/maps/search/+33.4373,43.8905/@33.4373,43.8905,14z?hl=en","Maplink2")</f>
        <v>Maplink2</v>
      </c>
      <c r="AW111" s="14" t="str">
        <f>HYPERLINK("http://www.bing.com/maps/?lvl=14&amp;sty=h&amp;cp=33.4373~43.8905&amp;sp=point.33.4373_43.8905_Albu Khalifa","Maplink3")</f>
        <v>Maplink3</v>
      </c>
    </row>
    <row r="112" spans="1:49" ht="15" customHeight="1" x14ac:dyDescent="0.25">
      <c r="A112" s="21">
        <v>318</v>
      </c>
      <c r="B112" s="22" t="s">
        <v>9</v>
      </c>
      <c r="C112" s="22" t="s">
        <v>240</v>
      </c>
      <c r="D112" s="22" t="s">
        <v>347</v>
      </c>
      <c r="E112" s="22" t="s">
        <v>348</v>
      </c>
      <c r="F112" s="22">
        <v>33.465646999999997</v>
      </c>
      <c r="G112" s="22">
        <v>43.908447000000002</v>
      </c>
      <c r="H112" s="21" t="s">
        <v>73</v>
      </c>
      <c r="I112" s="21" t="s">
        <v>243</v>
      </c>
      <c r="J112" s="21" t="s">
        <v>349</v>
      </c>
      <c r="K112" s="24">
        <v>209</v>
      </c>
      <c r="L112" s="24">
        <v>1254</v>
      </c>
      <c r="M112" s="23">
        <v>209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>
        <v>155</v>
      </c>
      <c r="AG112" s="23"/>
      <c r="AH112" s="23"/>
      <c r="AI112" s="23"/>
      <c r="AJ112" s="23"/>
      <c r="AK112" s="23">
        <v>10</v>
      </c>
      <c r="AL112" s="23">
        <v>10</v>
      </c>
      <c r="AM112" s="23">
        <v>34</v>
      </c>
      <c r="AN112" s="23"/>
      <c r="AO112" s="23">
        <v>193</v>
      </c>
      <c r="AP112" s="23"/>
      <c r="AQ112" s="23"/>
      <c r="AR112" s="23">
        <v>16</v>
      </c>
      <c r="AS112" s="23"/>
      <c r="AT112" s="23"/>
      <c r="AU112" s="14" t="str">
        <f>HYPERLINK("http://www.openstreetmap.org/?mlat=33.4656&amp;mlon=43.9084&amp;zoom=12#map=12/33.4656/43.9084","Maplink1")</f>
        <v>Maplink1</v>
      </c>
      <c r="AV112" s="14" t="str">
        <f>HYPERLINK("https://www.google.iq/maps/search/+33.4656,43.9084/@33.4656,43.9084,14z?hl=en","Maplink2")</f>
        <v>Maplink2</v>
      </c>
      <c r="AW112" s="14" t="str">
        <f>HYPERLINK("http://www.bing.com/maps/?lvl=14&amp;sty=h&amp;cp=33.4656~43.9084&amp;sp=point.33.4656_43.9084_Albu Khanfar","Maplink3")</f>
        <v>Maplink3</v>
      </c>
    </row>
    <row r="113" spans="1:49" ht="15" customHeight="1" x14ac:dyDescent="0.25">
      <c r="A113" s="21">
        <v>21125</v>
      </c>
      <c r="B113" s="22" t="s">
        <v>9</v>
      </c>
      <c r="C113" s="22" t="s">
        <v>240</v>
      </c>
      <c r="D113" s="22" t="s">
        <v>350</v>
      </c>
      <c r="E113" s="22" t="s">
        <v>351</v>
      </c>
      <c r="F113" s="22">
        <v>33.406418000000002</v>
      </c>
      <c r="G113" s="22">
        <v>43.810406</v>
      </c>
      <c r="H113" s="21" t="s">
        <v>73</v>
      </c>
      <c r="I113" s="21" t="s">
        <v>243</v>
      </c>
      <c r="J113" s="21" t="s">
        <v>352</v>
      </c>
      <c r="K113" s="24">
        <v>126</v>
      </c>
      <c r="L113" s="24">
        <v>756</v>
      </c>
      <c r="M113" s="23">
        <v>126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104</v>
      </c>
      <c r="AG113" s="23"/>
      <c r="AH113" s="23"/>
      <c r="AI113" s="23"/>
      <c r="AJ113" s="23"/>
      <c r="AK113" s="23"/>
      <c r="AL113" s="23">
        <v>22</v>
      </c>
      <c r="AM113" s="23"/>
      <c r="AN113" s="23"/>
      <c r="AO113" s="23"/>
      <c r="AP113" s="23"/>
      <c r="AQ113" s="23"/>
      <c r="AR113" s="23">
        <v>126</v>
      </c>
      <c r="AS113" s="23"/>
      <c r="AT113" s="23"/>
      <c r="AU113" s="14" t="str">
        <f>HYPERLINK("http://www.openstreetmap.org/?mlat=33.4064&amp;mlon=43.8104&amp;zoom=12#map=12/33.4064/43.8104","Maplink1")</f>
        <v>Maplink1</v>
      </c>
      <c r="AV113" s="14" t="str">
        <f>HYPERLINK("https://www.google.iq/maps/search/+33.4064,43.8104/@33.4064,43.8104,14z?hl=en","Maplink2")</f>
        <v>Maplink2</v>
      </c>
      <c r="AW113" s="14" t="str">
        <f>HYPERLINK("http://www.bing.com/maps/?lvl=14&amp;sty=h&amp;cp=33.4064~43.8104&amp;sp=point.33.4064_43.8104_Albu Shbeeb","Maplink3")</f>
        <v>Maplink3</v>
      </c>
    </row>
    <row r="114" spans="1:49" ht="15" customHeight="1" x14ac:dyDescent="0.25">
      <c r="A114" s="21">
        <v>300</v>
      </c>
      <c r="B114" s="22" t="s">
        <v>9</v>
      </c>
      <c r="C114" s="22" t="s">
        <v>240</v>
      </c>
      <c r="D114" s="22" t="s">
        <v>353</v>
      </c>
      <c r="E114" s="22" t="s">
        <v>354</v>
      </c>
      <c r="F114" s="22">
        <v>33.410513000000002</v>
      </c>
      <c r="G114" s="22">
        <v>43.861687000000003</v>
      </c>
      <c r="H114" s="21" t="s">
        <v>73</v>
      </c>
      <c r="I114" s="21" t="s">
        <v>243</v>
      </c>
      <c r="J114" s="21" t="s">
        <v>355</v>
      </c>
      <c r="K114" s="24">
        <v>257</v>
      </c>
      <c r="L114" s="24">
        <v>1542</v>
      </c>
      <c r="M114" s="23">
        <v>257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>
        <v>165</v>
      </c>
      <c r="AG114" s="23"/>
      <c r="AH114" s="23"/>
      <c r="AI114" s="23"/>
      <c r="AJ114" s="23"/>
      <c r="AK114" s="23">
        <v>31</v>
      </c>
      <c r="AL114" s="23">
        <v>40</v>
      </c>
      <c r="AM114" s="23">
        <v>21</v>
      </c>
      <c r="AN114" s="23"/>
      <c r="AO114" s="23">
        <v>247</v>
      </c>
      <c r="AP114" s="23"/>
      <c r="AQ114" s="23"/>
      <c r="AR114" s="23">
        <v>10</v>
      </c>
      <c r="AS114" s="23"/>
      <c r="AT114" s="23"/>
      <c r="AU114" s="14" t="str">
        <f>HYPERLINK("http://www.openstreetmap.org/?mlat=33.4105&amp;mlon=43.8617&amp;zoom=12#map=12/33.4105/43.8617","Maplink1")</f>
        <v>Maplink1</v>
      </c>
      <c r="AV114" s="14" t="str">
        <f>HYPERLINK("https://www.google.iq/maps/search/+33.4105,43.8617/@33.4105,43.8617,14z?hl=en","Maplink2")</f>
        <v>Maplink2</v>
      </c>
      <c r="AW114" s="14" t="str">
        <f>HYPERLINK("http://www.bing.com/maps/?lvl=14&amp;sty=h&amp;cp=33.4105~43.8617&amp;sp=point.33.4105_43.8617_Albu Udah","Maplink3")</f>
        <v>Maplink3</v>
      </c>
    </row>
    <row r="115" spans="1:49" ht="15" customHeight="1" x14ac:dyDescent="0.25">
      <c r="A115" s="21">
        <v>22706</v>
      </c>
      <c r="B115" s="22" t="s">
        <v>9</v>
      </c>
      <c r="C115" s="22" t="s">
        <v>240</v>
      </c>
      <c r="D115" s="22" t="s">
        <v>8317</v>
      </c>
      <c r="E115" s="22" t="s">
        <v>360</v>
      </c>
      <c r="F115" s="22">
        <v>33.337484000000003</v>
      </c>
      <c r="G115" s="22">
        <v>43.701182000000003</v>
      </c>
      <c r="H115" s="21" t="s">
        <v>73</v>
      </c>
      <c r="I115" s="21" t="s">
        <v>243</v>
      </c>
      <c r="J115" s="21" t="s">
        <v>361</v>
      </c>
      <c r="K115" s="24">
        <v>394</v>
      </c>
      <c r="L115" s="24">
        <v>2364</v>
      </c>
      <c r="M115" s="23">
        <v>394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162</v>
      </c>
      <c r="AG115" s="23"/>
      <c r="AH115" s="23"/>
      <c r="AI115" s="23"/>
      <c r="AJ115" s="23"/>
      <c r="AK115" s="23">
        <v>27</v>
      </c>
      <c r="AL115" s="23">
        <v>159</v>
      </c>
      <c r="AM115" s="23">
        <v>46</v>
      </c>
      <c r="AN115" s="23"/>
      <c r="AO115" s="23">
        <v>394</v>
      </c>
      <c r="AP115" s="23"/>
      <c r="AQ115" s="23"/>
      <c r="AR115" s="23"/>
      <c r="AS115" s="23"/>
      <c r="AT115" s="23"/>
      <c r="AU115" s="14" t="str">
        <f>HYPERLINK("http://www.openstreetmap.org/?mlat=33.3375&amp;mlon=43.7012&amp;zoom=12#map=12/33.3375/43.7012","Maplink1")</f>
        <v>Maplink1</v>
      </c>
      <c r="AV115" s="14" t="str">
        <f>HYPERLINK("https://www.google.iq/maps/search/+33.3375,43.7012/@33.3375,43.7012,14z?hl=en","Maplink2")</f>
        <v>Maplink2</v>
      </c>
      <c r="AW115" s="14" t="str">
        <f>HYPERLINK("http://www.bing.com/maps/?lvl=14&amp;sty=h&amp;cp=33.3375~43.7012&amp;sp=point.33.3375_43.7012_Halabsa-Falluja","Maplink3")</f>
        <v>Maplink3</v>
      </c>
    </row>
    <row r="116" spans="1:49" ht="15" customHeight="1" x14ac:dyDescent="0.25">
      <c r="A116" s="21">
        <v>27246</v>
      </c>
      <c r="B116" s="22" t="s">
        <v>9</v>
      </c>
      <c r="C116" s="22" t="s">
        <v>240</v>
      </c>
      <c r="D116" s="22" t="s">
        <v>8156</v>
      </c>
      <c r="E116" s="22" t="s">
        <v>8157</v>
      </c>
      <c r="F116" s="22">
        <v>33.145646450000001</v>
      </c>
      <c r="G116" s="22">
        <v>43.843937709999999</v>
      </c>
      <c r="H116" s="21" t="s">
        <v>73</v>
      </c>
      <c r="I116" s="21" t="s">
        <v>243</v>
      </c>
      <c r="J116" s="21"/>
      <c r="K116" s="24">
        <v>9470</v>
      </c>
      <c r="L116" s="24">
        <v>56820</v>
      </c>
      <c r="M116" s="23">
        <v>9470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>
        <v>9470</v>
      </c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>
        <v>2846</v>
      </c>
      <c r="AT116" s="23">
        <v>6624</v>
      </c>
      <c r="AU116" s="14" t="str">
        <f>HYPERLINK("http://www.openstreetmap.org/?mlat=33.1456&amp;mlon=43.8439&amp;zoom=12#map=12/33.1456/43.8439","Maplink1")</f>
        <v>Maplink1</v>
      </c>
      <c r="AV116" s="14" t="str">
        <f>HYPERLINK("https://www.google.iq/maps/search/+33.1456,43.8439/@33.1456,43.8439,14z?hl=en","Maplink2")</f>
        <v>Maplink2</v>
      </c>
      <c r="AW116" s="14" t="str">
        <f>HYPERLINK("http://www.bing.com/maps/?lvl=14&amp;sty=h&amp;cp=33.1456~43.8439&amp;sp=point.33.1456_43.8439_Al Kimyawi","Maplink3")</f>
        <v>Maplink3</v>
      </c>
    </row>
    <row r="117" spans="1:49" ht="15" customHeight="1" x14ac:dyDescent="0.25">
      <c r="A117" s="21">
        <v>20898</v>
      </c>
      <c r="B117" s="22" t="s">
        <v>9</v>
      </c>
      <c r="C117" s="22" t="s">
        <v>240</v>
      </c>
      <c r="D117" s="22" t="s">
        <v>8158</v>
      </c>
      <c r="E117" s="22" t="s">
        <v>8159</v>
      </c>
      <c r="F117" s="22">
        <v>33.141967549999997</v>
      </c>
      <c r="G117" s="22">
        <v>44.016164689999997</v>
      </c>
      <c r="H117" s="21" t="s">
        <v>73</v>
      </c>
      <c r="I117" s="21" t="s">
        <v>243</v>
      </c>
      <c r="J117" s="21" t="s">
        <v>356</v>
      </c>
      <c r="K117" s="24">
        <v>1504</v>
      </c>
      <c r="L117" s="24">
        <v>9024</v>
      </c>
      <c r="M117" s="23">
        <v>1504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>
        <v>1504</v>
      </c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>
        <v>730</v>
      </c>
      <c r="AT117" s="23">
        <v>774</v>
      </c>
      <c r="AU117" s="14" t="str">
        <f>HYPERLINK("http://www.openstreetmap.org/?mlat=33.142&amp;mlon=44.0162&amp;zoom=12#map=12/33.142/44.0162","Maplink1")</f>
        <v>Maplink1</v>
      </c>
      <c r="AV117" s="14" t="str">
        <f>HYPERLINK("https://www.google.iq/maps/search/+33.142,44.0162/@33.142,44.0162,14z?hl=en","Maplink2")</f>
        <v>Maplink2</v>
      </c>
      <c r="AW117" s="14" t="str">
        <f>HYPERLINK("http://www.bing.com/maps/?lvl=14&amp;sty=h&amp;cp=33.142~44.0162&amp;sp=point.33.142_44.0162_Bzibiz","Maplink3")</f>
        <v>Maplink3</v>
      </c>
    </row>
    <row r="118" spans="1:49" ht="15" customHeight="1" x14ac:dyDescent="0.25">
      <c r="A118" s="21">
        <v>126</v>
      </c>
      <c r="B118" s="22" t="s">
        <v>9</v>
      </c>
      <c r="C118" s="22" t="s">
        <v>240</v>
      </c>
      <c r="D118" s="22" t="s">
        <v>357</v>
      </c>
      <c r="E118" s="22" t="s">
        <v>358</v>
      </c>
      <c r="F118" s="22">
        <v>33.365057</v>
      </c>
      <c r="G118" s="22">
        <v>43.770511999999997</v>
      </c>
      <c r="H118" s="21" t="s">
        <v>73</v>
      </c>
      <c r="I118" s="21" t="s">
        <v>243</v>
      </c>
      <c r="J118" s="21" t="s">
        <v>359</v>
      </c>
      <c r="K118" s="24">
        <v>650</v>
      </c>
      <c r="L118" s="24">
        <v>3900</v>
      </c>
      <c r="M118" s="23">
        <v>650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>
        <v>650</v>
      </c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>
        <v>650</v>
      </c>
      <c r="AT118" s="23"/>
      <c r="AU118" s="14" t="str">
        <f>HYPERLINK("http://www.openstreetmap.org/?mlat=33.3651&amp;mlon=43.7705&amp;zoom=12#map=12/33.3651/43.7705","Maplink1")</f>
        <v>Maplink1</v>
      </c>
      <c r="AV118" s="14" t="str">
        <f>HYPERLINK("https://www.google.iq/maps/search/+33.3651,43.7705/@33.3651,43.7705,14z?hl=en","Maplink2")</f>
        <v>Maplink2</v>
      </c>
      <c r="AW118" s="14" t="str">
        <f>HYPERLINK("http://www.bing.com/maps/?lvl=14&amp;sty=h&amp;cp=33.3651~43.7705&amp;sp=point.33.3651_43.7705_Door Al Sikik Area","Maplink3")</f>
        <v>Maplink3</v>
      </c>
    </row>
    <row r="119" spans="1:49" ht="15" customHeight="1" x14ac:dyDescent="0.25">
      <c r="A119" s="21">
        <v>23276</v>
      </c>
      <c r="B119" s="22" t="s">
        <v>9</v>
      </c>
      <c r="C119" s="22" t="s">
        <v>240</v>
      </c>
      <c r="D119" s="22" t="s">
        <v>8160</v>
      </c>
      <c r="E119" s="22" t="s">
        <v>8161</v>
      </c>
      <c r="F119" s="22">
        <v>33.244906999999998</v>
      </c>
      <c r="G119" s="22">
        <v>43.571610999999997</v>
      </c>
      <c r="H119" s="21" t="s">
        <v>73</v>
      </c>
      <c r="I119" s="21" t="s">
        <v>243</v>
      </c>
      <c r="J119" s="21" t="s">
        <v>256</v>
      </c>
      <c r="K119" s="24">
        <v>7227</v>
      </c>
      <c r="L119" s="24">
        <v>43362</v>
      </c>
      <c r="M119" s="23">
        <v>7227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>
        <v>4262</v>
      </c>
      <c r="AF119" s="23"/>
      <c r="AG119" s="23"/>
      <c r="AH119" s="23">
        <v>2606</v>
      </c>
      <c r="AI119" s="23"/>
      <c r="AJ119" s="23"/>
      <c r="AK119" s="23">
        <v>150</v>
      </c>
      <c r="AL119" s="23">
        <v>40</v>
      </c>
      <c r="AM119" s="23">
        <v>169</v>
      </c>
      <c r="AN119" s="23"/>
      <c r="AO119" s="23">
        <v>310</v>
      </c>
      <c r="AP119" s="23"/>
      <c r="AQ119" s="23"/>
      <c r="AR119" s="23"/>
      <c r="AS119" s="23">
        <v>4281</v>
      </c>
      <c r="AT119" s="23">
        <v>2636</v>
      </c>
      <c r="AU119" s="14" t="str">
        <f>HYPERLINK("http://www.openstreetmap.org/?mlat=33.2449&amp;mlon=43.5716&amp;zoom=12#map=12/33.2449/43.5716","Maplink1")</f>
        <v>Maplink1</v>
      </c>
      <c r="AV119" s="14" t="str">
        <f>HYPERLINK("https://www.google.iq/maps/search/+33.2449,43.5716/@33.2449,43.5716,14z?hl=en","Maplink2")</f>
        <v>Maplink2</v>
      </c>
      <c r="AW119" s="14" t="str">
        <f>HYPERLINK("http://www.bing.com/maps/?lvl=14&amp;sty=h&amp;cp=33.2449~43.5716&amp;sp=point.33.2449_43.5716_Al Madina Al Siyahiya","Maplink3")</f>
        <v>Maplink3</v>
      </c>
    </row>
    <row r="120" spans="1:49" ht="15" customHeight="1" x14ac:dyDescent="0.25">
      <c r="A120" s="21">
        <v>24108</v>
      </c>
      <c r="B120" s="22" t="s">
        <v>9</v>
      </c>
      <c r="C120" s="22" t="s">
        <v>240</v>
      </c>
      <c r="D120" s="22" t="s">
        <v>8162</v>
      </c>
      <c r="E120" s="22" t="s">
        <v>362</v>
      </c>
      <c r="F120" s="22">
        <v>33.405245999999998</v>
      </c>
      <c r="G120" s="22">
        <v>43.910063999999998</v>
      </c>
      <c r="H120" s="21" t="s">
        <v>73</v>
      </c>
      <c r="I120" s="21" t="s">
        <v>243</v>
      </c>
      <c r="J120" s="21" t="s">
        <v>363</v>
      </c>
      <c r="K120" s="24">
        <v>200</v>
      </c>
      <c r="L120" s="24">
        <v>1200</v>
      </c>
      <c r="M120" s="23">
        <v>200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200</v>
      </c>
      <c r="AG120" s="23"/>
      <c r="AH120" s="23"/>
      <c r="AI120" s="23"/>
      <c r="AJ120" s="23"/>
      <c r="AK120" s="23"/>
      <c r="AL120" s="23"/>
      <c r="AM120" s="23"/>
      <c r="AN120" s="23"/>
      <c r="AO120" s="23">
        <v>200</v>
      </c>
      <c r="AP120" s="23"/>
      <c r="AQ120" s="23"/>
      <c r="AR120" s="23"/>
      <c r="AS120" s="23"/>
      <c r="AT120" s="23"/>
      <c r="AU120" s="14" t="str">
        <f>HYPERLINK("http://www.openstreetmap.org/?mlat=33.4052&amp;mlon=43.9101&amp;zoom=12#map=12/33.4052/43.9101","Maplink1")</f>
        <v>Maplink1</v>
      </c>
      <c r="AV120" s="14" t="str">
        <f>HYPERLINK("https://www.google.iq/maps/search/+33.4052,43.9101/@33.4052,43.9101,14z?hl=en","Maplink2")</f>
        <v>Maplink2</v>
      </c>
      <c r="AW120" s="14" t="str">
        <f>HYPERLINK("http://www.bing.com/maps/?lvl=14&amp;sty=h&amp;cp=33.4052~43.9101&amp;sp=point.33.4052_43.9101_Karma-Al Somod","Maplink3")</f>
        <v>Maplink3</v>
      </c>
    </row>
    <row r="121" spans="1:49" ht="15" customHeight="1" x14ac:dyDescent="0.25">
      <c r="A121" s="21">
        <v>47</v>
      </c>
      <c r="B121" s="22" t="s">
        <v>9</v>
      </c>
      <c r="C121" s="22" t="s">
        <v>240</v>
      </c>
      <c r="D121" s="22" t="s">
        <v>364</v>
      </c>
      <c r="E121" s="22" t="s">
        <v>365</v>
      </c>
      <c r="F121" s="22">
        <v>33.399712999999998</v>
      </c>
      <c r="G121" s="22">
        <v>43.950952999999998</v>
      </c>
      <c r="H121" s="21" t="s">
        <v>73</v>
      </c>
      <c r="I121" s="21" t="s">
        <v>243</v>
      </c>
      <c r="J121" s="21" t="s">
        <v>366</v>
      </c>
      <c r="K121" s="24">
        <v>345</v>
      </c>
      <c r="L121" s="24">
        <v>2070</v>
      </c>
      <c r="M121" s="23">
        <v>345</v>
      </c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>
        <v>246</v>
      </c>
      <c r="AG121" s="23"/>
      <c r="AH121" s="23"/>
      <c r="AI121" s="23"/>
      <c r="AJ121" s="23"/>
      <c r="AK121" s="23">
        <v>36</v>
      </c>
      <c r="AL121" s="23">
        <v>22</v>
      </c>
      <c r="AM121" s="23">
        <v>41</v>
      </c>
      <c r="AN121" s="23"/>
      <c r="AO121" s="23">
        <v>336</v>
      </c>
      <c r="AP121" s="23"/>
      <c r="AQ121" s="23"/>
      <c r="AR121" s="23">
        <v>9</v>
      </c>
      <c r="AS121" s="23"/>
      <c r="AT121" s="23"/>
      <c r="AU121" s="14" t="str">
        <f>HYPERLINK("http://www.openstreetmap.org/?mlat=33.3997&amp;mlon=43.951&amp;zoom=12#map=12/33.3997/43.951","Maplink1")</f>
        <v>Maplink1</v>
      </c>
      <c r="AV121" s="14" t="str">
        <f>HYPERLINK("https://www.google.iq/maps/search/+33.3997,43.951/@33.3997,43.951,14z?hl=en","Maplink2")</f>
        <v>Maplink2</v>
      </c>
      <c r="AW121" s="14" t="str">
        <f>HYPERLINK("http://www.bing.com/maps/?lvl=14&amp;sty=h&amp;cp=33.3997~43.951&amp;sp=point.33.3997_43.951_Luhib","Maplink3")</f>
        <v>Maplink3</v>
      </c>
    </row>
    <row r="122" spans="1:49" ht="15" customHeight="1" x14ac:dyDescent="0.25">
      <c r="A122" s="21">
        <v>157</v>
      </c>
      <c r="B122" s="22" t="s">
        <v>9</v>
      </c>
      <c r="C122" s="22" t="s">
        <v>240</v>
      </c>
      <c r="D122" s="22" t="s">
        <v>367</v>
      </c>
      <c r="E122" s="22" t="s">
        <v>368</v>
      </c>
      <c r="F122" s="22">
        <v>33.361175000000003</v>
      </c>
      <c r="G122" s="22">
        <v>43.783220999999998</v>
      </c>
      <c r="H122" s="21" t="s">
        <v>73</v>
      </c>
      <c r="I122" s="21" t="s">
        <v>243</v>
      </c>
      <c r="J122" s="21" t="s">
        <v>369</v>
      </c>
      <c r="K122" s="24">
        <v>981</v>
      </c>
      <c r="L122" s="24">
        <v>5886</v>
      </c>
      <c r="M122" s="23">
        <v>981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>
        <v>981</v>
      </c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>
        <v>981</v>
      </c>
      <c r="AT122" s="23"/>
      <c r="AU122" s="14" t="str">
        <f>HYPERLINK("http://www.openstreetmap.org/?mlat=33.3636&amp;mlon=43.7818&amp;zoom=12#map=12/33.3636/43.7818","Maplink1")</f>
        <v>Maplink1</v>
      </c>
      <c r="AV122" s="14" t="str">
        <f>HYPERLINK("https://www.google.iq/maps/search/+33.3636,43.7818/@33.3636,43.7818,14z?hl=en","Maplink2")</f>
        <v>Maplink2</v>
      </c>
      <c r="AW122" s="14" t="str">
        <f>HYPERLINK("http://www.bing.com/maps/?lvl=14&amp;sty=h&amp;cp=33.3636~43.7818&amp;sp=point.33.3636_43.7818_Muallimeen-2","Maplink3")</f>
        <v>Maplink3</v>
      </c>
    </row>
    <row r="123" spans="1:49" ht="15" customHeight="1" x14ac:dyDescent="0.25">
      <c r="A123" s="21">
        <v>22523</v>
      </c>
      <c r="B123" s="22" t="s">
        <v>9</v>
      </c>
      <c r="C123" s="22" t="s">
        <v>240</v>
      </c>
      <c r="D123" s="22" t="s">
        <v>370</v>
      </c>
      <c r="E123" s="22" t="s">
        <v>371</v>
      </c>
      <c r="F123" s="22">
        <v>33.369404000000003</v>
      </c>
      <c r="G123" s="22">
        <v>43.749763999999999</v>
      </c>
      <c r="H123" s="21" t="s">
        <v>73</v>
      </c>
      <c r="I123" s="21" t="s">
        <v>243</v>
      </c>
      <c r="J123" s="21" t="s">
        <v>372</v>
      </c>
      <c r="K123" s="24">
        <v>175</v>
      </c>
      <c r="L123" s="24">
        <v>1050</v>
      </c>
      <c r="M123" s="23">
        <v>175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175</v>
      </c>
      <c r="AG123" s="23"/>
      <c r="AH123" s="23"/>
      <c r="AI123" s="23"/>
      <c r="AJ123" s="23"/>
      <c r="AK123" s="23"/>
      <c r="AL123" s="23"/>
      <c r="AM123" s="23"/>
      <c r="AN123" s="23"/>
      <c r="AO123" s="23">
        <v>175</v>
      </c>
      <c r="AP123" s="23"/>
      <c r="AQ123" s="23"/>
      <c r="AR123" s="23"/>
      <c r="AS123" s="23"/>
      <c r="AT123" s="23"/>
      <c r="AU123" s="14" t="str">
        <f>HYPERLINK("http://www.openstreetmap.org/?mlat=33.3694&amp;mlon=43.7498&amp;zoom=12#map=12/33.3694/43.7498","Maplink1")</f>
        <v>Maplink1</v>
      </c>
      <c r="AV123" s="14" t="str">
        <f>HYPERLINK("https://www.google.iq/maps/search/+33.3694,43.7498/@33.3694,43.7498,14z?hl=en","Maplink2")</f>
        <v>Maplink2</v>
      </c>
      <c r="AW123" s="14" t="str">
        <f>HYPERLINK("http://www.bing.com/maps/?lvl=14&amp;sty=h&amp;cp=33.3694~43.7498&amp;sp=point.33.3694_43.7498_Mujamma Al Therthar Al Sakani","Maplink3")</f>
        <v>Maplink3</v>
      </c>
    </row>
    <row r="124" spans="1:49" ht="15" customHeight="1" x14ac:dyDescent="0.25">
      <c r="A124" s="21">
        <v>121</v>
      </c>
      <c r="B124" s="22" t="s">
        <v>9</v>
      </c>
      <c r="C124" s="22" t="s">
        <v>240</v>
      </c>
      <c r="D124" s="22" t="s">
        <v>373</v>
      </c>
      <c r="E124" s="22" t="s">
        <v>374</v>
      </c>
      <c r="F124" s="22">
        <v>33.34704</v>
      </c>
      <c r="G124" s="22">
        <v>43.781768999999997</v>
      </c>
      <c r="H124" s="21" t="s">
        <v>73</v>
      </c>
      <c r="I124" s="21" t="s">
        <v>243</v>
      </c>
      <c r="J124" s="21" t="s">
        <v>375</v>
      </c>
      <c r="K124" s="24">
        <v>279</v>
      </c>
      <c r="L124" s="24">
        <v>1674</v>
      </c>
      <c r="M124" s="23">
        <v>279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>
        <v>279</v>
      </c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>
        <v>279</v>
      </c>
      <c r="AT124" s="23"/>
      <c r="AU124" s="14" t="str">
        <f>HYPERLINK("http://www.openstreetmap.org/?mlat=33.34&amp;mlon=43.78&amp;zoom=12#map=12/33.34/43.78","Maplink1")</f>
        <v>Maplink1</v>
      </c>
      <c r="AV124" s="14" t="str">
        <f>HYPERLINK("https://www.google.iq/maps/search/+33.34,43.78/@33.34,43.78,14z?hl=en","Maplink2")</f>
        <v>Maplink2</v>
      </c>
      <c r="AW124" s="14" t="str">
        <f>HYPERLINK("http://www.bing.com/maps/?lvl=14&amp;sty=h&amp;cp=33.34~43.78&amp;sp=point.33.34_43.78_Nazal","Maplink3")</f>
        <v>Maplink3</v>
      </c>
    </row>
    <row r="125" spans="1:49" ht="15" customHeight="1" x14ac:dyDescent="0.25">
      <c r="A125" s="21">
        <v>179</v>
      </c>
      <c r="B125" s="22" t="s">
        <v>9</v>
      </c>
      <c r="C125" s="22" t="s">
        <v>240</v>
      </c>
      <c r="D125" s="22" t="s">
        <v>376</v>
      </c>
      <c r="E125" s="22" t="s">
        <v>377</v>
      </c>
      <c r="F125" s="22">
        <v>33.302100099999997</v>
      </c>
      <c r="G125" s="22">
        <v>43.806984999999997</v>
      </c>
      <c r="H125" s="21" t="s">
        <v>73</v>
      </c>
      <c r="I125" s="21" t="s">
        <v>243</v>
      </c>
      <c r="J125" s="21" t="s">
        <v>378</v>
      </c>
      <c r="K125" s="24">
        <v>349</v>
      </c>
      <c r="L125" s="24">
        <v>2094</v>
      </c>
      <c r="M125" s="23">
        <v>349</v>
      </c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>
        <v>349</v>
      </c>
      <c r="AG125" s="23"/>
      <c r="AH125" s="23"/>
      <c r="AI125" s="23"/>
      <c r="AJ125" s="23"/>
      <c r="AK125" s="23"/>
      <c r="AL125" s="23"/>
      <c r="AM125" s="23"/>
      <c r="AN125" s="23"/>
      <c r="AO125" s="23">
        <v>349</v>
      </c>
      <c r="AP125" s="23"/>
      <c r="AQ125" s="23"/>
      <c r="AR125" s="23"/>
      <c r="AS125" s="23"/>
      <c r="AT125" s="23"/>
      <c r="AU125" s="14" t="str">
        <f>HYPERLINK("http://www.openstreetmap.org/?mlat=33.302&amp;mlon=43.807&amp;zoom=12#map=12/33.302/43.807","Maplink1")</f>
        <v>Maplink1</v>
      </c>
      <c r="AV125" s="14" t="str">
        <f>HYPERLINK("https://www.google.iq/maps/search/+33.302,43.807/@33.302,43.807,14z?hl=en","Maplink2")</f>
        <v>Maplink2</v>
      </c>
      <c r="AW125" s="14" t="str">
        <f>HYPERLINK("http://www.bing.com/maps/?lvl=14&amp;sty=h&amp;cp=33.302~43.807&amp;sp=point.33.302_43.807_Neeamiya","Maplink3")</f>
        <v>Maplink3</v>
      </c>
    </row>
    <row r="126" spans="1:49" ht="15" customHeight="1" x14ac:dyDescent="0.25">
      <c r="A126" s="21">
        <v>323</v>
      </c>
      <c r="B126" s="22" t="s">
        <v>9</v>
      </c>
      <c r="C126" s="22" t="s">
        <v>240</v>
      </c>
      <c r="D126" s="22" t="s">
        <v>379</v>
      </c>
      <c r="E126" s="22" t="s">
        <v>380</v>
      </c>
      <c r="F126" s="22">
        <v>33.304321000000002</v>
      </c>
      <c r="G126" s="22">
        <v>43.680362000000002</v>
      </c>
      <c r="H126" s="21" t="s">
        <v>73</v>
      </c>
      <c r="I126" s="21" t="s">
        <v>243</v>
      </c>
      <c r="J126" s="21" t="s">
        <v>381</v>
      </c>
      <c r="K126" s="24">
        <v>111</v>
      </c>
      <c r="L126" s="24">
        <v>666</v>
      </c>
      <c r="M126" s="23">
        <v>111</v>
      </c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>
        <v>58</v>
      </c>
      <c r="AG126" s="23"/>
      <c r="AH126" s="23"/>
      <c r="AI126" s="23"/>
      <c r="AJ126" s="23"/>
      <c r="AK126" s="23"/>
      <c r="AL126" s="23">
        <v>18</v>
      </c>
      <c r="AM126" s="23">
        <v>35</v>
      </c>
      <c r="AN126" s="23"/>
      <c r="AO126" s="23">
        <v>79</v>
      </c>
      <c r="AP126" s="23"/>
      <c r="AQ126" s="23"/>
      <c r="AR126" s="23">
        <v>8</v>
      </c>
      <c r="AS126" s="23">
        <v>24</v>
      </c>
      <c r="AT126" s="23"/>
      <c r="AU126" s="14" t="str">
        <f>HYPERLINK("http://www.openstreetmap.org/?mlat=33.3043&amp;mlon=43.6804&amp;zoom=12#map=12/33.3043/43.6804","Maplink1")</f>
        <v>Maplink1</v>
      </c>
      <c r="AV126" s="14" t="str">
        <f>HYPERLINK("https://www.google.iq/maps/search/+33.3043,43.6804/@33.3043,43.6804,14z?hl=en","Maplink2")</f>
        <v>Maplink2</v>
      </c>
      <c r="AW126" s="14" t="str">
        <f>HYPERLINK("http://www.bing.com/maps/?lvl=14&amp;sty=h&amp;cp=33.3043~43.6804&amp;sp=point.33.3043_43.6804_Qaryat Al-Jaffa","Maplink3")</f>
        <v>Maplink3</v>
      </c>
    </row>
    <row r="127" spans="1:49" ht="15" customHeight="1" x14ac:dyDescent="0.25">
      <c r="A127" s="21">
        <v>146</v>
      </c>
      <c r="B127" s="22" t="s">
        <v>9</v>
      </c>
      <c r="C127" s="22" t="s">
        <v>240</v>
      </c>
      <c r="D127" s="22" t="s">
        <v>384</v>
      </c>
      <c r="E127" s="22" t="s">
        <v>385</v>
      </c>
      <c r="F127" s="22">
        <v>33.384225999999998</v>
      </c>
      <c r="G127" s="22">
        <v>43.919305000000001</v>
      </c>
      <c r="H127" s="21" t="s">
        <v>73</v>
      </c>
      <c r="I127" s="21" t="s">
        <v>243</v>
      </c>
      <c r="J127" s="21" t="s">
        <v>386</v>
      </c>
      <c r="K127" s="24">
        <v>128</v>
      </c>
      <c r="L127" s="24">
        <v>768</v>
      </c>
      <c r="M127" s="23">
        <v>128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78</v>
      </c>
      <c r="AG127" s="23"/>
      <c r="AH127" s="23">
        <v>10</v>
      </c>
      <c r="AI127" s="23"/>
      <c r="AJ127" s="23"/>
      <c r="AK127" s="23"/>
      <c r="AL127" s="23">
        <v>25</v>
      </c>
      <c r="AM127" s="23">
        <v>15</v>
      </c>
      <c r="AN127" s="23"/>
      <c r="AO127" s="23">
        <v>120</v>
      </c>
      <c r="AP127" s="23"/>
      <c r="AQ127" s="23"/>
      <c r="AR127" s="23">
        <v>8</v>
      </c>
      <c r="AS127" s="23"/>
      <c r="AT127" s="23"/>
      <c r="AU127" s="14" t="str">
        <f>HYPERLINK("http://www.openstreetmap.org/?mlat=33.3842&amp;mlon=43.9193&amp;zoom=12#map=12/33.3842/43.9193","Maplink1")</f>
        <v>Maplink1</v>
      </c>
      <c r="AV127" s="14" t="str">
        <f>HYPERLINK("https://www.google.iq/maps/search/+33.3842,43.9193/@33.3842,43.9193,14z?hl=en","Maplink2")</f>
        <v>Maplink2</v>
      </c>
      <c r="AW127" s="14" t="str">
        <f>HYPERLINK("http://www.bing.com/maps/?lvl=14&amp;sty=h&amp;cp=33.3842~43.9193&amp;sp=point.33.3842_43.9193_subihat","Maplink3")</f>
        <v>Maplink3</v>
      </c>
    </row>
    <row r="128" spans="1:49" ht="15" customHeight="1" x14ac:dyDescent="0.25">
      <c r="A128" s="21">
        <v>24112</v>
      </c>
      <c r="B128" s="22" t="s">
        <v>9</v>
      </c>
      <c r="C128" s="22" t="s">
        <v>387</v>
      </c>
      <c r="D128" s="22" t="s">
        <v>388</v>
      </c>
      <c r="E128" s="22" t="s">
        <v>389</v>
      </c>
      <c r="F128" s="22">
        <v>34.184598000000001</v>
      </c>
      <c r="G128" s="22">
        <v>42.365262000000001</v>
      </c>
      <c r="H128" s="21" t="s">
        <v>73</v>
      </c>
      <c r="I128" s="21" t="s">
        <v>390</v>
      </c>
      <c r="J128" s="21" t="s">
        <v>391</v>
      </c>
      <c r="K128" s="24">
        <v>320</v>
      </c>
      <c r="L128" s="24">
        <v>1920</v>
      </c>
      <c r="M128" s="23">
        <v>320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>
        <v>107</v>
      </c>
      <c r="AG128" s="23"/>
      <c r="AH128" s="23">
        <v>25</v>
      </c>
      <c r="AI128" s="23"/>
      <c r="AJ128" s="23">
        <v>6</v>
      </c>
      <c r="AK128" s="23">
        <v>60</v>
      </c>
      <c r="AL128" s="23">
        <v>16</v>
      </c>
      <c r="AM128" s="23">
        <v>106</v>
      </c>
      <c r="AN128" s="23"/>
      <c r="AO128" s="23">
        <v>320</v>
      </c>
      <c r="AP128" s="23"/>
      <c r="AQ128" s="23"/>
      <c r="AR128" s="23"/>
      <c r="AS128" s="23"/>
      <c r="AT128" s="23"/>
      <c r="AU128" s="14" t="str">
        <f>HYPERLINK("http://www.openstreetmap.org/?mlat=34.1846&amp;mlon=42.3653&amp;zoom=12#map=12/34.1846/42.3653","Maplink1")</f>
        <v>Maplink1</v>
      </c>
      <c r="AV128" s="14" t="str">
        <f>HYPERLINK("https://www.google.iq/maps/search/+34.1846,42.3653/@34.1846,42.3653,14z?hl=en","Maplink2")</f>
        <v>Maplink2</v>
      </c>
      <c r="AW128" s="14" t="str">
        <f>HYPERLINK("http://www.bing.com/maps/?lvl=14&amp;sty=h&amp;cp=34.1846~42.3653&amp;sp=point.34.1846_42.3653_Al Furat Complex","Maplink3")</f>
        <v>Maplink3</v>
      </c>
    </row>
    <row r="129" spans="1:49" ht="15" customHeight="1" x14ac:dyDescent="0.25">
      <c r="A129" s="21">
        <v>238</v>
      </c>
      <c r="B129" s="22" t="s">
        <v>9</v>
      </c>
      <c r="C129" s="22" t="s">
        <v>387</v>
      </c>
      <c r="D129" s="22" t="s">
        <v>392</v>
      </c>
      <c r="E129" s="22" t="s">
        <v>393</v>
      </c>
      <c r="F129" s="22">
        <v>34.131768000000001</v>
      </c>
      <c r="G129" s="22">
        <v>42.386263</v>
      </c>
      <c r="H129" s="21" t="s">
        <v>73</v>
      </c>
      <c r="I129" s="21" t="s">
        <v>390</v>
      </c>
      <c r="J129" s="21" t="s">
        <v>394</v>
      </c>
      <c r="K129" s="24">
        <v>85</v>
      </c>
      <c r="L129" s="24">
        <v>510</v>
      </c>
      <c r="M129" s="23">
        <v>85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>
        <v>26</v>
      </c>
      <c r="AG129" s="23"/>
      <c r="AH129" s="23"/>
      <c r="AI129" s="23"/>
      <c r="AJ129" s="23">
        <v>4</v>
      </c>
      <c r="AK129" s="23">
        <v>31</v>
      </c>
      <c r="AL129" s="23"/>
      <c r="AM129" s="23">
        <v>24</v>
      </c>
      <c r="AN129" s="23"/>
      <c r="AO129" s="23">
        <v>85</v>
      </c>
      <c r="AP129" s="23"/>
      <c r="AQ129" s="23"/>
      <c r="AR129" s="23"/>
      <c r="AS129" s="23"/>
      <c r="AT129" s="23"/>
      <c r="AU129" s="14" t="str">
        <f>HYPERLINK("http://www.openstreetmap.org/?mlat=34.1318&amp;mlon=42.3863&amp;zoom=12#map=12/34.1318/42.3863","Maplink1")</f>
        <v>Maplink1</v>
      </c>
      <c r="AV129" s="14" t="str">
        <f>HYPERLINK("https://www.google.iq/maps/search/+34.1318,42.3863/@34.1318,42.3863,14z?hl=en","Maplink2")</f>
        <v>Maplink2</v>
      </c>
      <c r="AW129" s="14" t="str">
        <f>HYPERLINK("http://www.bing.com/maps/?lvl=14&amp;sty=h&amp;cp=34.1318~42.3863&amp;sp=point.34.1318_42.3863_Al hawija","Maplink3")</f>
        <v>Maplink3</v>
      </c>
    </row>
    <row r="130" spans="1:49" ht="15" customHeight="1" x14ac:dyDescent="0.25">
      <c r="A130" s="21">
        <v>24320</v>
      </c>
      <c r="B130" s="22" t="s">
        <v>9</v>
      </c>
      <c r="C130" s="22" t="s">
        <v>387</v>
      </c>
      <c r="D130" s="22" t="s">
        <v>395</v>
      </c>
      <c r="E130" s="22" t="s">
        <v>396</v>
      </c>
      <c r="F130" s="22">
        <v>34.022311000000002</v>
      </c>
      <c r="G130" s="22">
        <v>42.415888000000002</v>
      </c>
      <c r="H130" s="21" t="s">
        <v>73</v>
      </c>
      <c r="I130" s="21" t="s">
        <v>390</v>
      </c>
      <c r="J130" s="21"/>
      <c r="K130" s="24">
        <v>20</v>
      </c>
      <c r="L130" s="24">
        <v>120</v>
      </c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>
        <v>20</v>
      </c>
      <c r="AB130" s="23"/>
      <c r="AC130" s="23"/>
      <c r="AD130" s="23"/>
      <c r="AE130" s="23"/>
      <c r="AF130" s="23">
        <v>20</v>
      </c>
      <c r="AG130" s="23"/>
      <c r="AH130" s="23"/>
      <c r="AI130" s="23"/>
      <c r="AJ130" s="23"/>
      <c r="AK130" s="23"/>
      <c r="AL130" s="23"/>
      <c r="AM130" s="23"/>
      <c r="AN130" s="23"/>
      <c r="AO130" s="23"/>
      <c r="AP130" s="23">
        <v>20</v>
      </c>
      <c r="AQ130" s="23"/>
      <c r="AR130" s="23"/>
      <c r="AS130" s="23"/>
      <c r="AT130" s="23"/>
      <c r="AU130" s="14" t="str">
        <f>HYPERLINK("http://www.openstreetmap.org/?mlat=34.0223&amp;mlon=42.4159&amp;zoom=12#map=12/34.0223/42.4159","Maplink1")</f>
        <v>Maplink1</v>
      </c>
      <c r="AV130" s="14" t="str">
        <f>HYPERLINK("https://www.google.iq/maps/search/+34.0223,42.4159/@34.0223,42.4159,14z?hl=en","Maplink2")</f>
        <v>Maplink2</v>
      </c>
      <c r="AW130" s="14" t="str">
        <f>HYPERLINK("http://www.bing.com/maps/?lvl=14&amp;sty=h&amp;cp=34.0223~42.4159&amp;sp=point.34.0223_42.4159_Al Khaldiyah Village","Maplink3")</f>
        <v>Maplink3</v>
      </c>
    </row>
    <row r="131" spans="1:49" ht="15" customHeight="1" x14ac:dyDescent="0.25">
      <c r="A131" s="21">
        <v>24314</v>
      </c>
      <c r="B131" s="22" t="s">
        <v>9</v>
      </c>
      <c r="C131" s="22" t="s">
        <v>387</v>
      </c>
      <c r="D131" s="22" t="s">
        <v>397</v>
      </c>
      <c r="E131" s="22" t="s">
        <v>398</v>
      </c>
      <c r="F131" s="22">
        <v>34.084608000000003</v>
      </c>
      <c r="G131" s="22">
        <v>42.352733999999998</v>
      </c>
      <c r="H131" s="21" t="s">
        <v>73</v>
      </c>
      <c r="I131" s="21" t="s">
        <v>390</v>
      </c>
      <c r="J131" s="21"/>
      <c r="K131" s="24">
        <v>17</v>
      </c>
      <c r="L131" s="24">
        <v>102</v>
      </c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>
        <v>17</v>
      </c>
      <c r="AB131" s="23"/>
      <c r="AC131" s="23"/>
      <c r="AD131" s="23"/>
      <c r="AE131" s="23"/>
      <c r="AF131" s="23">
        <v>17</v>
      </c>
      <c r="AG131" s="23"/>
      <c r="AH131" s="23"/>
      <c r="AI131" s="23"/>
      <c r="AJ131" s="23"/>
      <c r="AK131" s="23"/>
      <c r="AL131" s="23"/>
      <c r="AM131" s="23"/>
      <c r="AN131" s="23"/>
      <c r="AO131" s="23"/>
      <c r="AP131" s="23">
        <v>17</v>
      </c>
      <c r="AQ131" s="23"/>
      <c r="AR131" s="23"/>
      <c r="AS131" s="23"/>
      <c r="AT131" s="23"/>
      <c r="AU131" s="14" t="str">
        <f>HYPERLINK("http://www.openstreetmap.org/?mlat=34.0846&amp;mlon=42.3527&amp;zoom=12#map=12/34.0846/42.3527","Maplink1")</f>
        <v>Maplink1</v>
      </c>
      <c r="AV131" s="14" t="str">
        <f>HYPERLINK("https://www.google.iq/maps/search/+34.0846,42.3527/@34.0846,42.3527,14z?hl=en","Maplink2")</f>
        <v>Maplink2</v>
      </c>
      <c r="AW131" s="14" t="str">
        <f>HYPERLINK("http://www.bing.com/maps/?lvl=14&amp;sty=h&amp;cp=34.0846~42.3527&amp;sp=point.34.0846_42.3527_Al Khansaa","Maplink3")</f>
        <v>Maplink3</v>
      </c>
    </row>
    <row r="132" spans="1:49" ht="15" customHeight="1" x14ac:dyDescent="0.25">
      <c r="A132" s="21">
        <v>24321</v>
      </c>
      <c r="B132" s="22" t="s">
        <v>9</v>
      </c>
      <c r="C132" s="22" t="s">
        <v>387</v>
      </c>
      <c r="D132" s="22" t="s">
        <v>399</v>
      </c>
      <c r="E132" s="22" t="s">
        <v>400</v>
      </c>
      <c r="F132" s="22">
        <v>34.075578</v>
      </c>
      <c r="G132" s="22">
        <v>42.379541000000003</v>
      </c>
      <c r="H132" s="21" t="s">
        <v>73</v>
      </c>
      <c r="I132" s="21" t="s">
        <v>390</v>
      </c>
      <c r="J132" s="21"/>
      <c r="K132" s="24">
        <v>16</v>
      </c>
      <c r="L132" s="24">
        <v>96</v>
      </c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>
        <v>16</v>
      </c>
      <c r="AB132" s="23"/>
      <c r="AC132" s="23"/>
      <c r="AD132" s="23"/>
      <c r="AE132" s="23"/>
      <c r="AF132" s="23">
        <v>16</v>
      </c>
      <c r="AG132" s="23"/>
      <c r="AH132" s="23"/>
      <c r="AI132" s="23"/>
      <c r="AJ132" s="23"/>
      <c r="AK132" s="23"/>
      <c r="AL132" s="23"/>
      <c r="AM132" s="23"/>
      <c r="AN132" s="23"/>
      <c r="AO132" s="23"/>
      <c r="AP132" s="23">
        <v>16</v>
      </c>
      <c r="AQ132" s="23"/>
      <c r="AR132" s="23"/>
      <c r="AS132" s="23"/>
      <c r="AT132" s="23"/>
      <c r="AU132" s="14" t="str">
        <f>HYPERLINK("http://www.openstreetmap.org/?mlat=34.0756&amp;mlon=42.3795&amp;zoom=12#map=12/34.0756/42.3795","Maplink1")</f>
        <v>Maplink1</v>
      </c>
      <c r="AV132" s="14" t="str">
        <f>HYPERLINK("https://www.google.iq/maps/search/+34.0756,42.3795/@34.0756,42.3795,14z?hl=en","Maplink2")</f>
        <v>Maplink2</v>
      </c>
      <c r="AW132" s="14" t="str">
        <f>HYPERLINK("http://www.bing.com/maps/?lvl=14&amp;sty=h&amp;cp=34.0756~42.3795&amp;sp=point.34.0756_42.3795_Al Shamiyah Village","Maplink3")</f>
        <v>Maplink3</v>
      </c>
    </row>
    <row r="133" spans="1:49" ht="15" customHeight="1" x14ac:dyDescent="0.25">
      <c r="A133" s="21">
        <v>24324</v>
      </c>
      <c r="B133" s="22" t="s">
        <v>9</v>
      </c>
      <c r="C133" s="22" t="s">
        <v>387</v>
      </c>
      <c r="D133" s="22" t="s">
        <v>401</v>
      </c>
      <c r="E133" s="22" t="s">
        <v>402</v>
      </c>
      <c r="F133" s="22">
        <v>34.124850000000002</v>
      </c>
      <c r="G133" s="22">
        <v>42.393653</v>
      </c>
      <c r="H133" s="21" t="s">
        <v>73</v>
      </c>
      <c r="I133" s="21" t="s">
        <v>390</v>
      </c>
      <c r="J133" s="21"/>
      <c r="K133" s="24">
        <v>65</v>
      </c>
      <c r="L133" s="24">
        <v>390</v>
      </c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>
        <v>45</v>
      </c>
      <c r="Z133" s="23"/>
      <c r="AA133" s="23">
        <v>20</v>
      </c>
      <c r="AB133" s="23"/>
      <c r="AC133" s="23"/>
      <c r="AD133" s="23"/>
      <c r="AE133" s="23"/>
      <c r="AF133" s="23">
        <v>65</v>
      </c>
      <c r="AG133" s="23"/>
      <c r="AH133" s="23"/>
      <c r="AI133" s="23"/>
      <c r="AJ133" s="23"/>
      <c r="AK133" s="23"/>
      <c r="AL133" s="23"/>
      <c r="AM133" s="23"/>
      <c r="AN133" s="23"/>
      <c r="AO133" s="23"/>
      <c r="AP133" s="23">
        <v>65</v>
      </c>
      <c r="AQ133" s="23"/>
      <c r="AR133" s="23"/>
      <c r="AS133" s="23"/>
      <c r="AT133" s="23"/>
      <c r="AU133" s="14" t="str">
        <f>HYPERLINK("http://www.openstreetmap.org/?mlat=34.1249&amp;mlon=42.3937&amp;zoom=12#map=12/34.1249/42.3937","Maplink1")</f>
        <v>Maplink1</v>
      </c>
      <c r="AV133" s="14" t="str">
        <f>HYPERLINK("https://www.google.iq/maps/search/+34.1249,42.3937/@34.1249,42.3937,14z?hl=en","Maplink2")</f>
        <v>Maplink2</v>
      </c>
      <c r="AW133" s="14" t="str">
        <f>HYPERLINK("http://www.bing.com/maps/?lvl=14&amp;sty=h&amp;cp=34.1249~42.3937&amp;sp=point.34.1249_42.3937_Al Sheikh Mohammad Village","Maplink3")</f>
        <v>Maplink3</v>
      </c>
    </row>
    <row r="134" spans="1:49" ht="15" customHeight="1" x14ac:dyDescent="0.25">
      <c r="A134" s="21">
        <v>24111</v>
      </c>
      <c r="B134" s="22" t="s">
        <v>9</v>
      </c>
      <c r="C134" s="22" t="s">
        <v>387</v>
      </c>
      <c r="D134" s="22" t="s">
        <v>403</v>
      </c>
      <c r="E134" s="22" t="s">
        <v>404</v>
      </c>
      <c r="F134" s="22">
        <v>34.069792999999997</v>
      </c>
      <c r="G134" s="22">
        <v>42.385061999999998</v>
      </c>
      <c r="H134" s="21" t="s">
        <v>73</v>
      </c>
      <c r="I134" s="21" t="s">
        <v>390</v>
      </c>
      <c r="J134" s="21" t="s">
        <v>405</v>
      </c>
      <c r="K134" s="24">
        <v>179</v>
      </c>
      <c r="L134" s="24">
        <v>1074</v>
      </c>
      <c r="M134" s="23">
        <v>147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>
        <v>32</v>
      </c>
      <c r="AB134" s="23"/>
      <c r="AC134" s="23"/>
      <c r="AD134" s="23"/>
      <c r="AE134" s="23"/>
      <c r="AF134" s="23">
        <v>99</v>
      </c>
      <c r="AG134" s="23"/>
      <c r="AH134" s="23"/>
      <c r="AI134" s="23"/>
      <c r="AJ134" s="23">
        <v>4</v>
      </c>
      <c r="AK134" s="23">
        <v>39</v>
      </c>
      <c r="AL134" s="23">
        <v>5</v>
      </c>
      <c r="AM134" s="23">
        <v>32</v>
      </c>
      <c r="AN134" s="23"/>
      <c r="AO134" s="23">
        <v>147</v>
      </c>
      <c r="AP134" s="23">
        <v>32</v>
      </c>
      <c r="AQ134" s="23"/>
      <c r="AR134" s="23"/>
      <c r="AS134" s="23"/>
      <c r="AT134" s="23"/>
      <c r="AU134" s="14" t="str">
        <f>HYPERLINK("http://www.openstreetmap.org/?mlat=34.0698&amp;mlon=42.3851&amp;zoom=12#map=12/34.0698/42.3851","Maplink1")</f>
        <v>Maplink1</v>
      </c>
      <c r="AV134" s="14" t="str">
        <f>HYPERLINK("https://www.google.iq/maps/search/+34.0698,42.3851/@34.0698,42.3851,14z?hl=en","Maplink2")</f>
        <v>Maplink2</v>
      </c>
      <c r="AW134" s="14" t="str">
        <f>HYPERLINK("http://www.bing.com/maps/?lvl=14&amp;sty=h&amp;cp=34.0698~42.3851&amp;sp=point.34.0698_42.3851_Al-Khafajiyah Village","Maplink3")</f>
        <v>Maplink3</v>
      </c>
    </row>
    <row r="135" spans="1:49" ht="15" customHeight="1" x14ac:dyDescent="0.25">
      <c r="A135" s="21">
        <v>23824</v>
      </c>
      <c r="B135" s="22" t="s">
        <v>9</v>
      </c>
      <c r="C135" s="22" t="s">
        <v>387</v>
      </c>
      <c r="D135" s="22" t="s">
        <v>406</v>
      </c>
      <c r="E135" s="22" t="s">
        <v>407</v>
      </c>
      <c r="F135" s="22">
        <v>34.080872999999997</v>
      </c>
      <c r="G135" s="22">
        <v>42.356968999999999</v>
      </c>
      <c r="H135" s="21" t="s">
        <v>73</v>
      </c>
      <c r="I135" s="21" t="s">
        <v>390</v>
      </c>
      <c r="J135" s="21" t="s">
        <v>408</v>
      </c>
      <c r="K135" s="24">
        <v>142</v>
      </c>
      <c r="L135" s="24">
        <v>852</v>
      </c>
      <c r="M135" s="23">
        <v>142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>
        <v>114</v>
      </c>
      <c r="AG135" s="23"/>
      <c r="AH135" s="23"/>
      <c r="AI135" s="23"/>
      <c r="AJ135" s="23"/>
      <c r="AK135" s="23">
        <v>28</v>
      </c>
      <c r="AL135" s="23"/>
      <c r="AM135" s="23"/>
      <c r="AN135" s="23"/>
      <c r="AO135" s="23">
        <v>62</v>
      </c>
      <c r="AP135" s="23"/>
      <c r="AQ135" s="23"/>
      <c r="AR135" s="23">
        <v>80</v>
      </c>
      <c r="AS135" s="23"/>
      <c r="AT135" s="23"/>
      <c r="AU135" s="14" t="str">
        <f>HYPERLINK("http://www.openstreetmap.org/?mlat=34.0809&amp;mlon=42.357&amp;zoom=12#map=12/34.0809/42.357","Maplink1")</f>
        <v>Maplink1</v>
      </c>
      <c r="AV135" s="14" t="str">
        <f>HYPERLINK("https://www.google.iq/maps/search/+34.0809,42.357/@34.0809,42.357,14z?hl=en","Maplink2")</f>
        <v>Maplink2</v>
      </c>
      <c r="AW135" s="14" t="str">
        <f>HYPERLINK("http://www.bing.com/maps/?lvl=14&amp;sty=h&amp;cp=34.0809~42.357&amp;sp=point.34.0809_42.357_Al-Mutanabi","Maplink3")</f>
        <v>Maplink3</v>
      </c>
    </row>
    <row r="136" spans="1:49" ht="15" customHeight="1" x14ac:dyDescent="0.25">
      <c r="A136" s="21">
        <v>23809</v>
      </c>
      <c r="B136" s="22" t="s">
        <v>9</v>
      </c>
      <c r="C136" s="22" t="s">
        <v>387</v>
      </c>
      <c r="D136" s="22" t="s">
        <v>409</v>
      </c>
      <c r="E136" s="22" t="s">
        <v>410</v>
      </c>
      <c r="F136" s="22">
        <v>34.188347999999998</v>
      </c>
      <c r="G136" s="22">
        <v>42.369548000000002</v>
      </c>
      <c r="H136" s="21" t="s">
        <v>73</v>
      </c>
      <c r="I136" s="21" t="s">
        <v>390</v>
      </c>
      <c r="J136" s="21" t="s">
        <v>411</v>
      </c>
      <c r="K136" s="24">
        <v>97</v>
      </c>
      <c r="L136" s="24">
        <v>582</v>
      </c>
      <c r="M136" s="23">
        <v>85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>
        <v>12</v>
      </c>
      <c r="AB136" s="23"/>
      <c r="AC136" s="23"/>
      <c r="AD136" s="23"/>
      <c r="AE136" s="23"/>
      <c r="AF136" s="23">
        <v>12</v>
      </c>
      <c r="AG136" s="23"/>
      <c r="AH136" s="23">
        <v>85</v>
      </c>
      <c r="AI136" s="23"/>
      <c r="AJ136" s="23"/>
      <c r="AK136" s="23"/>
      <c r="AL136" s="23"/>
      <c r="AM136" s="23"/>
      <c r="AN136" s="23"/>
      <c r="AO136" s="23">
        <v>85</v>
      </c>
      <c r="AP136" s="23">
        <v>12</v>
      </c>
      <c r="AQ136" s="23"/>
      <c r="AR136" s="23"/>
      <c r="AS136" s="23"/>
      <c r="AT136" s="23"/>
      <c r="AU136" s="14" t="str">
        <f>HYPERLINK("http://www.openstreetmap.org/?mlat=34.1883&amp;mlon=42.3695&amp;zoom=12#map=12/34.1883/42.3695","Maplink1")</f>
        <v>Maplink1</v>
      </c>
      <c r="AV136" s="14" t="str">
        <f>HYPERLINK("https://www.google.iq/maps/search/+34.1883,42.3695/@34.1883,42.3695,14z?hl=en","Maplink2")</f>
        <v>Maplink2</v>
      </c>
      <c r="AW136" s="14" t="str">
        <f>HYPERLINK("http://www.bing.com/maps/?lvl=14&amp;sty=h&amp;cp=34.1883~42.3695&amp;sp=point.34.1883_42.3695_Al-sad Complex","Maplink3")</f>
        <v>Maplink3</v>
      </c>
    </row>
    <row r="137" spans="1:49" ht="15" customHeight="1" x14ac:dyDescent="0.25">
      <c r="A137" s="21">
        <v>23822</v>
      </c>
      <c r="B137" s="22" t="s">
        <v>9</v>
      </c>
      <c r="C137" s="22" t="s">
        <v>387</v>
      </c>
      <c r="D137" s="22" t="s">
        <v>412</v>
      </c>
      <c r="E137" s="22" t="s">
        <v>413</v>
      </c>
      <c r="F137" s="22">
        <v>34.006132999999998</v>
      </c>
      <c r="G137" s="22">
        <v>42.428235999999998</v>
      </c>
      <c r="H137" s="21" t="s">
        <v>73</v>
      </c>
      <c r="I137" s="21" t="s">
        <v>390</v>
      </c>
      <c r="J137" s="21" t="s">
        <v>414</v>
      </c>
      <c r="K137" s="24">
        <v>230</v>
      </c>
      <c r="L137" s="24">
        <v>1380</v>
      </c>
      <c r="M137" s="23">
        <v>155</v>
      </c>
      <c r="N137" s="23"/>
      <c r="O137" s="23">
        <v>10</v>
      </c>
      <c r="P137" s="23"/>
      <c r="Q137" s="23"/>
      <c r="R137" s="23"/>
      <c r="S137" s="23"/>
      <c r="T137" s="23"/>
      <c r="U137" s="23"/>
      <c r="V137" s="23"/>
      <c r="W137" s="23"/>
      <c r="X137" s="23"/>
      <c r="Y137" s="23">
        <v>35</v>
      </c>
      <c r="Z137" s="23"/>
      <c r="AA137" s="23">
        <v>30</v>
      </c>
      <c r="AB137" s="23"/>
      <c r="AC137" s="23"/>
      <c r="AD137" s="23"/>
      <c r="AE137" s="23"/>
      <c r="AF137" s="23">
        <v>125</v>
      </c>
      <c r="AG137" s="23"/>
      <c r="AH137" s="23"/>
      <c r="AI137" s="23"/>
      <c r="AJ137" s="23"/>
      <c r="AK137" s="23">
        <v>85</v>
      </c>
      <c r="AL137" s="23">
        <v>20</v>
      </c>
      <c r="AM137" s="23"/>
      <c r="AN137" s="23"/>
      <c r="AO137" s="23">
        <v>155</v>
      </c>
      <c r="AP137" s="23">
        <v>75</v>
      </c>
      <c r="AQ137" s="23"/>
      <c r="AR137" s="23"/>
      <c r="AS137" s="23"/>
      <c r="AT137" s="23"/>
      <c r="AU137" s="14" t="str">
        <f>HYPERLINK("http://www.openstreetmap.org/?mlat=34.0061&amp;mlon=42.4282&amp;zoom=12#map=12/34.0061/42.4282","Maplink1")</f>
        <v>Maplink1</v>
      </c>
      <c r="AV137" s="14" t="str">
        <f>HYPERLINK("https://www.google.iq/maps/search/+34.0061,42.4282/@34.0061,42.4282,14z?hl=en","Maplink2")</f>
        <v>Maplink2</v>
      </c>
      <c r="AW137" s="14" t="str">
        <f>HYPERLINK("http://www.bing.com/maps/?lvl=14&amp;sty=h&amp;cp=34.0061~42.4282&amp;sp=point.34.0061_42.4282_Albu Hayat","Maplink3")</f>
        <v>Maplink3</v>
      </c>
    </row>
    <row r="138" spans="1:49" ht="15" customHeight="1" x14ac:dyDescent="0.25">
      <c r="A138" s="21">
        <v>245</v>
      </c>
      <c r="B138" s="22" t="s">
        <v>9</v>
      </c>
      <c r="C138" s="22" t="s">
        <v>387</v>
      </c>
      <c r="D138" s="22" t="s">
        <v>415</v>
      </c>
      <c r="E138" s="22" t="s">
        <v>416</v>
      </c>
      <c r="F138" s="22">
        <v>34.108404</v>
      </c>
      <c r="G138" s="22">
        <v>42.379334999999998</v>
      </c>
      <c r="H138" s="21" t="s">
        <v>73</v>
      </c>
      <c r="I138" s="21" t="s">
        <v>390</v>
      </c>
      <c r="J138" s="21" t="s">
        <v>417</v>
      </c>
      <c r="K138" s="24">
        <v>189</v>
      </c>
      <c r="L138" s="24">
        <v>1134</v>
      </c>
      <c r="M138" s="23">
        <v>165</v>
      </c>
      <c r="N138" s="23"/>
      <c r="O138" s="23">
        <v>6</v>
      </c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>
        <v>18</v>
      </c>
      <c r="AB138" s="23"/>
      <c r="AC138" s="23"/>
      <c r="AD138" s="23"/>
      <c r="AE138" s="23"/>
      <c r="AF138" s="23">
        <v>79</v>
      </c>
      <c r="AG138" s="23"/>
      <c r="AH138" s="23"/>
      <c r="AI138" s="23"/>
      <c r="AJ138" s="23"/>
      <c r="AK138" s="23">
        <v>97</v>
      </c>
      <c r="AL138" s="23">
        <v>13</v>
      </c>
      <c r="AM138" s="23"/>
      <c r="AN138" s="23"/>
      <c r="AO138" s="23">
        <v>165</v>
      </c>
      <c r="AP138" s="23">
        <v>24</v>
      </c>
      <c r="AQ138" s="23"/>
      <c r="AR138" s="23"/>
      <c r="AS138" s="23"/>
      <c r="AT138" s="23"/>
      <c r="AU138" s="14" t="str">
        <f>HYPERLINK("http://www.openstreetmap.org/?mlat=34.1084&amp;mlon=42.3793&amp;zoom=12#map=12/34.1084/42.3793","Maplink1")</f>
        <v>Maplink1</v>
      </c>
      <c r="AV138" s="14" t="str">
        <f>HYPERLINK("https://www.google.iq/maps/search/+34.1084,42.3793/@34.1084,42.3793,14z?hl=en","Maplink2")</f>
        <v>Maplink2</v>
      </c>
      <c r="AW138" s="14" t="str">
        <f>HYPERLINK("http://www.bing.com/maps/?lvl=14&amp;sty=h&amp;cp=34.1084~42.3793&amp;sp=point.34.1084_42.3793_Bani Dahir","Maplink3")</f>
        <v>Maplink3</v>
      </c>
    </row>
    <row r="139" spans="1:49" ht="15" customHeight="1" x14ac:dyDescent="0.25">
      <c r="A139" s="21">
        <v>24109</v>
      </c>
      <c r="B139" s="22" t="s">
        <v>9</v>
      </c>
      <c r="C139" s="22" t="s">
        <v>387</v>
      </c>
      <c r="D139" s="22" t="s">
        <v>8163</v>
      </c>
      <c r="E139" s="22" t="s">
        <v>8164</v>
      </c>
      <c r="F139" s="22">
        <v>34.103189999999998</v>
      </c>
      <c r="G139" s="22">
        <v>42.373373999999998</v>
      </c>
      <c r="H139" s="21" t="s">
        <v>73</v>
      </c>
      <c r="I139" s="21" t="s">
        <v>390</v>
      </c>
      <c r="J139" s="21" t="s">
        <v>418</v>
      </c>
      <c r="K139" s="24">
        <v>269</v>
      </c>
      <c r="L139" s="24">
        <v>1614</v>
      </c>
      <c r="M139" s="23">
        <v>269</v>
      </c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>
        <v>179</v>
      </c>
      <c r="AG139" s="23"/>
      <c r="AH139" s="23">
        <v>40</v>
      </c>
      <c r="AI139" s="23"/>
      <c r="AJ139" s="23"/>
      <c r="AK139" s="23">
        <v>32</v>
      </c>
      <c r="AL139" s="23">
        <v>18</v>
      </c>
      <c r="AM139" s="23"/>
      <c r="AN139" s="23"/>
      <c r="AO139" s="23">
        <v>113</v>
      </c>
      <c r="AP139" s="23"/>
      <c r="AQ139" s="23"/>
      <c r="AR139" s="23">
        <v>156</v>
      </c>
      <c r="AS139" s="23"/>
      <c r="AT139" s="23"/>
      <c r="AU139" s="14" t="str">
        <f>HYPERLINK("http://www.openstreetmap.org/?mlat=34.1032&amp;mlon=42.3734&amp;zoom=12#map=12/34.1032/42.3734","Maplink1")</f>
        <v>Maplink1</v>
      </c>
      <c r="AV139" s="14" t="str">
        <f>HYPERLINK("https://www.google.iq/maps/search/+34.1032,42.3734/@34.1032,42.3734,14z?hl=en","Maplink2")</f>
        <v>Maplink2</v>
      </c>
      <c r="AW139" s="14" t="str">
        <f>HYPERLINK("http://www.bing.com/maps/?lvl=14&amp;sty=h&amp;cp=34.1032~42.3734&amp;sp=point.34.1032_42.3734_Barwanah-Hay Al-Shurta","Maplink3")</f>
        <v>Maplink3</v>
      </c>
    </row>
    <row r="140" spans="1:49" ht="15" customHeight="1" x14ac:dyDescent="0.25">
      <c r="A140" s="21">
        <v>23823</v>
      </c>
      <c r="B140" s="22" t="s">
        <v>9</v>
      </c>
      <c r="C140" s="22" t="s">
        <v>387</v>
      </c>
      <c r="D140" s="22" t="s">
        <v>8165</v>
      </c>
      <c r="E140" s="22" t="s">
        <v>8166</v>
      </c>
      <c r="F140" s="22">
        <v>34.086067</v>
      </c>
      <c r="G140" s="22">
        <v>42.362758999999997</v>
      </c>
      <c r="H140" s="21" t="s">
        <v>73</v>
      </c>
      <c r="I140" s="21" t="s">
        <v>390</v>
      </c>
      <c r="J140" s="21" t="s">
        <v>421</v>
      </c>
      <c r="K140" s="24">
        <v>234</v>
      </c>
      <c r="L140" s="24">
        <v>1404</v>
      </c>
      <c r="M140" s="23">
        <v>211</v>
      </c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>
        <v>23</v>
      </c>
      <c r="AB140" s="23"/>
      <c r="AC140" s="23"/>
      <c r="AD140" s="23"/>
      <c r="AE140" s="23"/>
      <c r="AF140" s="23">
        <v>188</v>
      </c>
      <c r="AG140" s="23"/>
      <c r="AH140" s="23"/>
      <c r="AI140" s="23"/>
      <c r="AJ140" s="23"/>
      <c r="AK140" s="23">
        <v>34</v>
      </c>
      <c r="AL140" s="23">
        <v>12</v>
      </c>
      <c r="AM140" s="23"/>
      <c r="AN140" s="23"/>
      <c r="AO140" s="23">
        <v>65</v>
      </c>
      <c r="AP140" s="23">
        <v>23</v>
      </c>
      <c r="AQ140" s="23"/>
      <c r="AR140" s="23">
        <v>146</v>
      </c>
      <c r="AS140" s="23"/>
      <c r="AT140" s="23"/>
      <c r="AU140" s="14" t="str">
        <f>HYPERLINK("http://www.openstreetmap.org/?mlat=34.0861&amp;mlon=42.3628&amp;zoom=12#map=12/34.0861/42.3628","Maplink1")</f>
        <v>Maplink1</v>
      </c>
      <c r="AV140" s="14" t="str">
        <f>HYPERLINK("https://www.google.iq/maps/search/+34.0861,42.3628/@34.0861,42.3628,14z?hl=en","Maplink2")</f>
        <v>Maplink2</v>
      </c>
      <c r="AW140" s="14" t="str">
        <f>HYPERLINK("http://www.bing.com/maps/?lvl=14&amp;sty=h&amp;cp=34.0861~42.3628&amp;sp=point.34.0861_42.3628_Haqlaniyah-Al shuhadaa","Maplink3")</f>
        <v>Maplink3</v>
      </c>
    </row>
    <row r="141" spans="1:49" ht="15" customHeight="1" x14ac:dyDescent="0.25">
      <c r="A141" s="21">
        <v>24117</v>
      </c>
      <c r="B141" s="22" t="s">
        <v>9</v>
      </c>
      <c r="C141" s="22" t="s">
        <v>387</v>
      </c>
      <c r="D141" s="22" t="s">
        <v>419</v>
      </c>
      <c r="E141" s="22" t="s">
        <v>8167</v>
      </c>
      <c r="F141" s="22">
        <v>34.083125000000003</v>
      </c>
      <c r="G141" s="22">
        <v>42.365780000000001</v>
      </c>
      <c r="H141" s="21" t="s">
        <v>73</v>
      </c>
      <c r="I141" s="21" t="s">
        <v>390</v>
      </c>
      <c r="J141" s="21" t="s">
        <v>420</v>
      </c>
      <c r="K141" s="24">
        <v>175</v>
      </c>
      <c r="L141" s="24">
        <v>1050</v>
      </c>
      <c r="M141" s="23">
        <v>157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>
        <v>18</v>
      </c>
      <c r="Z141" s="23"/>
      <c r="AA141" s="23"/>
      <c r="AB141" s="23"/>
      <c r="AC141" s="23"/>
      <c r="AD141" s="23"/>
      <c r="AE141" s="23"/>
      <c r="AF141" s="23">
        <v>62</v>
      </c>
      <c r="AG141" s="23"/>
      <c r="AH141" s="23"/>
      <c r="AI141" s="23"/>
      <c r="AJ141" s="23"/>
      <c r="AK141" s="23">
        <v>66</v>
      </c>
      <c r="AL141" s="23">
        <v>22</v>
      </c>
      <c r="AM141" s="23">
        <v>25</v>
      </c>
      <c r="AN141" s="23"/>
      <c r="AO141" s="23">
        <v>157</v>
      </c>
      <c r="AP141" s="23">
        <v>18</v>
      </c>
      <c r="AQ141" s="23"/>
      <c r="AR141" s="23"/>
      <c r="AS141" s="23"/>
      <c r="AT141" s="23"/>
      <c r="AU141" s="14" t="str">
        <f>HYPERLINK("http://www.openstreetmap.org/?mlat=34.0831&amp;mlon=42.3658&amp;zoom=12#map=12/34.0831/42.3658","Maplink1")</f>
        <v>Maplink1</v>
      </c>
      <c r="AV141" s="14" t="str">
        <f>HYPERLINK("https://www.google.iq/maps/search/+34.0831,42.3658/@34.0831,42.3658,14z?hl=en","Maplink2")</f>
        <v>Maplink2</v>
      </c>
      <c r="AW141" s="14" t="str">
        <f>HYPERLINK("http://www.bing.com/maps/?lvl=14&amp;sty=h&amp;cp=34.0831~42.3658&amp;sp=point.34.0831_42.3658_Haqlaniyah- Hay Al-Faroq","Maplink3")</f>
        <v>Maplink3</v>
      </c>
    </row>
    <row r="142" spans="1:49" ht="15" customHeight="1" x14ac:dyDescent="0.25">
      <c r="A142" s="21">
        <v>237</v>
      </c>
      <c r="B142" s="22" t="s">
        <v>9</v>
      </c>
      <c r="C142" s="22" t="s">
        <v>387</v>
      </c>
      <c r="D142" s="22" t="s">
        <v>119</v>
      </c>
      <c r="E142" s="22" t="s">
        <v>120</v>
      </c>
      <c r="F142" s="22">
        <v>34.129339000000002</v>
      </c>
      <c r="G142" s="22">
        <v>42.373987</v>
      </c>
      <c r="H142" s="21" t="s">
        <v>73</v>
      </c>
      <c r="I142" s="21" t="s">
        <v>390</v>
      </c>
      <c r="J142" s="21" t="s">
        <v>422</v>
      </c>
      <c r="K142" s="24">
        <v>264</v>
      </c>
      <c r="L142" s="24">
        <v>1584</v>
      </c>
      <c r="M142" s="23">
        <v>236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>
        <v>28</v>
      </c>
      <c r="Z142" s="23"/>
      <c r="AA142" s="23"/>
      <c r="AB142" s="23"/>
      <c r="AC142" s="23"/>
      <c r="AD142" s="23"/>
      <c r="AE142" s="23"/>
      <c r="AF142" s="23">
        <v>101</v>
      </c>
      <c r="AG142" s="23"/>
      <c r="AH142" s="23">
        <v>10</v>
      </c>
      <c r="AI142" s="23"/>
      <c r="AJ142" s="23">
        <v>2</v>
      </c>
      <c r="AK142" s="23">
        <v>112</v>
      </c>
      <c r="AL142" s="23">
        <v>14</v>
      </c>
      <c r="AM142" s="23">
        <v>25</v>
      </c>
      <c r="AN142" s="23"/>
      <c r="AO142" s="23">
        <v>192</v>
      </c>
      <c r="AP142" s="23">
        <v>28</v>
      </c>
      <c r="AQ142" s="23"/>
      <c r="AR142" s="23">
        <v>44</v>
      </c>
      <c r="AS142" s="23"/>
      <c r="AT142" s="23"/>
      <c r="AU142" s="14" t="str">
        <f>HYPERLINK("http://www.openstreetmap.org/?mlat=34.1293&amp;mlon=42.374&amp;zoom=12#map=12/34.1293/42.374","Maplink1")</f>
        <v>Maplink1</v>
      </c>
      <c r="AV142" s="14" t="str">
        <f>HYPERLINK("https://www.google.iq/maps/search/+34.1293,42.374/@34.1293,42.374,14z?hl=en","Maplink2")</f>
        <v>Maplink2</v>
      </c>
      <c r="AW142" s="14" t="str">
        <f>HYPERLINK("http://www.bing.com/maps/?lvl=14&amp;sty=h&amp;cp=34.1293~42.374&amp;sp=point.34.1293_42.374_Hay Al Askary","Maplink3")</f>
        <v>Maplink3</v>
      </c>
    </row>
    <row r="143" spans="1:49" ht="15" customHeight="1" x14ac:dyDescent="0.25">
      <c r="A143" s="21">
        <v>24313</v>
      </c>
      <c r="B143" s="22" t="s">
        <v>9</v>
      </c>
      <c r="C143" s="22" t="s">
        <v>387</v>
      </c>
      <c r="D143" s="22" t="s">
        <v>423</v>
      </c>
      <c r="E143" s="22" t="s">
        <v>424</v>
      </c>
      <c r="F143" s="22">
        <v>34.097777999999998</v>
      </c>
      <c r="G143" s="22">
        <v>42.382641999999997</v>
      </c>
      <c r="H143" s="21" t="s">
        <v>73</v>
      </c>
      <c r="I143" s="21" t="s">
        <v>390</v>
      </c>
      <c r="J143" s="21"/>
      <c r="K143" s="24">
        <v>40</v>
      </c>
      <c r="L143" s="24">
        <v>240</v>
      </c>
      <c r="M143" s="23">
        <v>30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>
        <v>10</v>
      </c>
      <c r="AB143" s="23"/>
      <c r="AC143" s="23"/>
      <c r="AD143" s="23"/>
      <c r="AE143" s="23"/>
      <c r="AF143" s="23">
        <v>40</v>
      </c>
      <c r="AG143" s="23"/>
      <c r="AH143" s="23"/>
      <c r="AI143" s="23"/>
      <c r="AJ143" s="23"/>
      <c r="AK143" s="23"/>
      <c r="AL143" s="23"/>
      <c r="AM143" s="23"/>
      <c r="AN143" s="23"/>
      <c r="AO143" s="23"/>
      <c r="AP143" s="23">
        <v>10</v>
      </c>
      <c r="AQ143" s="23"/>
      <c r="AR143" s="23">
        <v>30</v>
      </c>
      <c r="AS143" s="23"/>
      <c r="AT143" s="23"/>
      <c r="AU143" s="14" t="str">
        <f>HYPERLINK("http://www.openstreetmap.org/?mlat=34.0978&amp;mlon=42.3826&amp;zoom=12#map=12/34.0978/42.3826","Maplink1")</f>
        <v>Maplink1</v>
      </c>
      <c r="AV143" s="14" t="str">
        <f>HYPERLINK("https://www.google.iq/maps/search/+34.0978,42.3826/@34.0978,42.3826,14z?hl=en","Maplink2")</f>
        <v>Maplink2</v>
      </c>
      <c r="AW143" s="14" t="str">
        <f>HYPERLINK("http://www.bing.com/maps/?lvl=14&amp;sty=h&amp;cp=34.0978~42.3826&amp;sp=point.34.0978_42.3826_Hay Al barakah","Maplink3")</f>
        <v>Maplink3</v>
      </c>
    </row>
    <row r="144" spans="1:49" ht="15" customHeight="1" x14ac:dyDescent="0.25">
      <c r="A144" s="21">
        <v>23819</v>
      </c>
      <c r="B144" s="22" t="s">
        <v>9</v>
      </c>
      <c r="C144" s="22" t="s">
        <v>387</v>
      </c>
      <c r="D144" s="22" t="s">
        <v>425</v>
      </c>
      <c r="E144" s="22" t="s">
        <v>426</v>
      </c>
      <c r="F144" s="22">
        <v>34.086398000000003</v>
      </c>
      <c r="G144" s="22">
        <v>42.369182000000002</v>
      </c>
      <c r="H144" s="21" t="s">
        <v>73</v>
      </c>
      <c r="I144" s="21" t="s">
        <v>390</v>
      </c>
      <c r="J144" s="21" t="s">
        <v>427</v>
      </c>
      <c r="K144" s="24">
        <v>272</v>
      </c>
      <c r="L144" s="24">
        <v>1632</v>
      </c>
      <c r="M144" s="23">
        <v>272</v>
      </c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>
        <v>178</v>
      </c>
      <c r="AG144" s="23"/>
      <c r="AH144" s="23">
        <v>12</v>
      </c>
      <c r="AI144" s="23"/>
      <c r="AJ144" s="23"/>
      <c r="AK144" s="23">
        <v>82</v>
      </c>
      <c r="AL144" s="23"/>
      <c r="AM144" s="23"/>
      <c r="AN144" s="23"/>
      <c r="AO144" s="23">
        <v>139</v>
      </c>
      <c r="AP144" s="23"/>
      <c r="AQ144" s="23"/>
      <c r="AR144" s="23">
        <v>133</v>
      </c>
      <c r="AS144" s="23"/>
      <c r="AT144" s="23"/>
      <c r="AU144" s="14" t="str">
        <f>HYPERLINK("http://www.openstreetmap.org/?mlat=34.0864&amp;mlon=42.3692&amp;zoom=12#map=12/34.0864/42.3692","Maplink1")</f>
        <v>Maplink1</v>
      </c>
      <c r="AV144" s="14" t="str">
        <f>HYPERLINK("https://www.google.iq/maps/search/+34.0864,42.3692/@34.0864,42.3692,14z?hl=en","Maplink2")</f>
        <v>Maplink2</v>
      </c>
      <c r="AW144" s="14" t="str">
        <f>HYPERLINK("http://www.bing.com/maps/?lvl=14&amp;sty=h&amp;cp=34.0864~42.3692&amp;sp=point.34.0864_42.3692_Hay Al Haqlaniyah Qadim","Maplink3")</f>
        <v>Maplink3</v>
      </c>
    </row>
    <row r="145" spans="1:49" ht="15" customHeight="1" x14ac:dyDescent="0.25">
      <c r="A145" s="21">
        <v>24315</v>
      </c>
      <c r="B145" s="22" t="s">
        <v>9</v>
      </c>
      <c r="C145" s="22" t="s">
        <v>387</v>
      </c>
      <c r="D145" s="22" t="s">
        <v>430</v>
      </c>
      <c r="E145" s="22" t="s">
        <v>431</v>
      </c>
      <c r="F145" s="22">
        <v>34.095277000000003</v>
      </c>
      <c r="G145" s="22">
        <v>42.376353000000002</v>
      </c>
      <c r="H145" s="21" t="s">
        <v>73</v>
      </c>
      <c r="I145" s="21" t="s">
        <v>390</v>
      </c>
      <c r="J145" s="21"/>
      <c r="K145" s="24">
        <v>20</v>
      </c>
      <c r="L145" s="24">
        <v>120</v>
      </c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>
        <v>20</v>
      </c>
      <c r="AB145" s="23"/>
      <c r="AC145" s="23"/>
      <c r="AD145" s="23"/>
      <c r="AE145" s="23"/>
      <c r="AF145" s="23">
        <v>20</v>
      </c>
      <c r="AG145" s="23"/>
      <c r="AH145" s="23"/>
      <c r="AI145" s="23"/>
      <c r="AJ145" s="23"/>
      <c r="AK145" s="23"/>
      <c r="AL145" s="23"/>
      <c r="AM145" s="23"/>
      <c r="AN145" s="23"/>
      <c r="AO145" s="23"/>
      <c r="AP145" s="23">
        <v>20</v>
      </c>
      <c r="AQ145" s="23"/>
      <c r="AR145" s="23"/>
      <c r="AS145" s="23"/>
      <c r="AT145" s="23"/>
      <c r="AU145" s="14" t="str">
        <f>HYPERLINK("http://www.openstreetmap.org/?mlat=34.0953&amp;mlon=42.3764&amp;zoom=12#map=12/34.0953/42.3764","Maplink1")</f>
        <v>Maplink1</v>
      </c>
      <c r="AV145" s="14" t="str">
        <f>HYPERLINK("https://www.google.iq/maps/search/+34.0953,42.3764/@34.0953,42.3764,14z?hl=en","Maplink2")</f>
        <v>Maplink2</v>
      </c>
      <c r="AW145" s="14" t="str">
        <f>HYPERLINK("http://www.bing.com/maps/?lvl=14&amp;sty=h&amp;cp=34.0953~42.3764&amp;sp=point.34.0953_42.3764_Hay Al Rahman","Maplink3")</f>
        <v>Maplink3</v>
      </c>
    </row>
    <row r="146" spans="1:49" ht="15" customHeight="1" x14ac:dyDescent="0.25">
      <c r="A146" s="21">
        <v>239</v>
      </c>
      <c r="B146" s="22" t="s">
        <v>9</v>
      </c>
      <c r="C146" s="22" t="s">
        <v>387</v>
      </c>
      <c r="D146" s="22" t="s">
        <v>432</v>
      </c>
      <c r="E146" s="22" t="s">
        <v>433</v>
      </c>
      <c r="F146" s="22">
        <v>34.140894000000003</v>
      </c>
      <c r="G146" s="22">
        <v>42.379010000000001</v>
      </c>
      <c r="H146" s="21" t="s">
        <v>73</v>
      </c>
      <c r="I146" s="21" t="s">
        <v>390</v>
      </c>
      <c r="J146" s="21" t="s">
        <v>434</v>
      </c>
      <c r="K146" s="24">
        <v>250</v>
      </c>
      <c r="L146" s="24">
        <v>1500</v>
      </c>
      <c r="M146" s="23">
        <v>210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>
        <v>40</v>
      </c>
      <c r="Z146" s="23"/>
      <c r="AA146" s="23"/>
      <c r="AB146" s="23"/>
      <c r="AC146" s="23"/>
      <c r="AD146" s="23"/>
      <c r="AE146" s="23"/>
      <c r="AF146" s="23">
        <v>101</v>
      </c>
      <c r="AG146" s="23"/>
      <c r="AH146" s="23"/>
      <c r="AI146" s="23"/>
      <c r="AJ146" s="23">
        <v>3</v>
      </c>
      <c r="AK146" s="23">
        <v>116</v>
      </c>
      <c r="AL146" s="23"/>
      <c r="AM146" s="23">
        <v>30</v>
      </c>
      <c r="AN146" s="23"/>
      <c r="AO146" s="23">
        <v>210</v>
      </c>
      <c r="AP146" s="23">
        <v>40</v>
      </c>
      <c r="AQ146" s="23"/>
      <c r="AR146" s="23"/>
      <c r="AS146" s="23"/>
      <c r="AT146" s="23"/>
      <c r="AU146" s="14" t="str">
        <f>HYPERLINK("http://www.openstreetmap.org/?mlat=34.1409&amp;mlon=42.379&amp;zoom=12#map=12/34.1409/42.379","Maplink1")</f>
        <v>Maplink1</v>
      </c>
      <c r="AV146" s="14" t="str">
        <f>HYPERLINK("https://www.google.iq/maps/search/+34.1409,42.379/@34.1409,42.379,14z?hl=en","Maplink2")</f>
        <v>Maplink2</v>
      </c>
      <c r="AW146" s="14" t="str">
        <f>HYPERLINK("http://www.bing.com/maps/?lvl=14&amp;sty=h&amp;cp=34.1409~42.379&amp;sp=point.34.1409_42.379_Hay Al Rifay","Maplink3")</f>
        <v>Maplink3</v>
      </c>
    </row>
    <row r="147" spans="1:49" ht="15" customHeight="1" x14ac:dyDescent="0.25">
      <c r="A147" s="21">
        <v>24317</v>
      </c>
      <c r="B147" s="22" t="s">
        <v>9</v>
      </c>
      <c r="C147" s="22" t="s">
        <v>387</v>
      </c>
      <c r="D147" s="22" t="s">
        <v>435</v>
      </c>
      <c r="E147" s="22" t="s">
        <v>436</v>
      </c>
      <c r="F147" s="22">
        <v>34.079306000000003</v>
      </c>
      <c r="G147" s="22">
        <v>42.366754</v>
      </c>
      <c r="H147" s="21" t="s">
        <v>73</v>
      </c>
      <c r="I147" s="21" t="s">
        <v>390</v>
      </c>
      <c r="J147" s="21"/>
      <c r="K147" s="24">
        <v>10</v>
      </c>
      <c r="L147" s="24">
        <v>60</v>
      </c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>
        <v>10</v>
      </c>
      <c r="AB147" s="23"/>
      <c r="AC147" s="23"/>
      <c r="AD147" s="23"/>
      <c r="AE147" s="23"/>
      <c r="AF147" s="23">
        <v>10</v>
      </c>
      <c r="AG147" s="23"/>
      <c r="AH147" s="23"/>
      <c r="AI147" s="23"/>
      <c r="AJ147" s="23"/>
      <c r="AK147" s="23"/>
      <c r="AL147" s="23"/>
      <c r="AM147" s="23"/>
      <c r="AN147" s="23"/>
      <c r="AO147" s="23"/>
      <c r="AP147" s="23">
        <v>10</v>
      </c>
      <c r="AQ147" s="23"/>
      <c r="AR147" s="23"/>
      <c r="AS147" s="23"/>
      <c r="AT147" s="23"/>
      <c r="AU147" s="14" t="str">
        <f>HYPERLINK("http://www.openstreetmap.org/?mlat=34.0793&amp;mlon=42.3668&amp;zoom=12#map=12/34.0793/42.3668","Maplink1")</f>
        <v>Maplink1</v>
      </c>
      <c r="AV147" s="14" t="str">
        <f>HYPERLINK("https://www.google.iq/maps/search/+34.0793,42.3668/@34.0793,42.3668,14z?hl=en","Maplink2")</f>
        <v>Maplink2</v>
      </c>
      <c r="AW147" s="14" t="str">
        <f>HYPERLINK("http://www.bing.com/maps/?lvl=14&amp;sty=h&amp;cp=34.0793~42.3668&amp;sp=point.34.0793_42.3668_Hay Al Sadeq","Maplink3")</f>
        <v>Maplink3</v>
      </c>
    </row>
    <row r="148" spans="1:49" ht="15" customHeight="1" x14ac:dyDescent="0.25">
      <c r="A148" s="21">
        <v>24316</v>
      </c>
      <c r="B148" s="22" t="s">
        <v>9</v>
      </c>
      <c r="C148" s="22" t="s">
        <v>387</v>
      </c>
      <c r="D148" s="22" t="s">
        <v>227</v>
      </c>
      <c r="E148" s="22" t="s">
        <v>150</v>
      </c>
      <c r="F148" s="22">
        <v>34.089224000000002</v>
      </c>
      <c r="G148" s="22">
        <v>42.358040000000003</v>
      </c>
      <c r="H148" s="21" t="s">
        <v>73</v>
      </c>
      <c r="I148" s="21" t="s">
        <v>390</v>
      </c>
      <c r="J148" s="21"/>
      <c r="K148" s="24">
        <v>26</v>
      </c>
      <c r="L148" s="24">
        <v>156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>
        <v>26</v>
      </c>
      <c r="AB148" s="23"/>
      <c r="AC148" s="23"/>
      <c r="AD148" s="23"/>
      <c r="AE148" s="23"/>
      <c r="AF148" s="23">
        <v>26</v>
      </c>
      <c r="AG148" s="23"/>
      <c r="AH148" s="23"/>
      <c r="AI148" s="23"/>
      <c r="AJ148" s="23"/>
      <c r="AK148" s="23"/>
      <c r="AL148" s="23"/>
      <c r="AM148" s="23"/>
      <c r="AN148" s="23"/>
      <c r="AO148" s="23"/>
      <c r="AP148" s="23">
        <v>26</v>
      </c>
      <c r="AQ148" s="23"/>
      <c r="AR148" s="23"/>
      <c r="AS148" s="23"/>
      <c r="AT148" s="23"/>
      <c r="AU148" s="14" t="str">
        <f>HYPERLINK("http://www.openstreetmap.org/?mlat=34.0892&amp;mlon=42.358&amp;zoom=12#map=12/34.0892/42.358","Maplink1")</f>
        <v>Maplink1</v>
      </c>
      <c r="AV148" s="14" t="str">
        <f>HYPERLINK("https://www.google.iq/maps/search/+34.0892,42.358/@34.0892,42.358,14z?hl=en","Maplink2")</f>
        <v>Maplink2</v>
      </c>
      <c r="AW148" s="14" t="str">
        <f>HYPERLINK("http://www.bing.com/maps/?lvl=14&amp;sty=h&amp;cp=34.0892~42.358&amp;sp=point.34.0892_42.358_Hay Al Salam","Maplink3")</f>
        <v>Maplink3</v>
      </c>
    </row>
    <row r="149" spans="1:49" ht="15" customHeight="1" x14ac:dyDescent="0.25">
      <c r="A149" s="21">
        <v>236</v>
      </c>
      <c r="B149" s="22" t="s">
        <v>9</v>
      </c>
      <c r="C149" s="22" t="s">
        <v>387</v>
      </c>
      <c r="D149" s="22" t="s">
        <v>437</v>
      </c>
      <c r="E149" s="22" t="s">
        <v>438</v>
      </c>
      <c r="F149" s="22">
        <v>34.129371999999996</v>
      </c>
      <c r="G149" s="22">
        <v>42.380522999999997</v>
      </c>
      <c r="H149" s="21" t="s">
        <v>73</v>
      </c>
      <c r="I149" s="21" t="s">
        <v>390</v>
      </c>
      <c r="J149" s="21" t="s">
        <v>439</v>
      </c>
      <c r="K149" s="24">
        <v>284</v>
      </c>
      <c r="L149" s="24">
        <v>1704</v>
      </c>
      <c r="M149" s="23">
        <v>272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>
        <v>12</v>
      </c>
      <c r="AB149" s="23"/>
      <c r="AC149" s="23"/>
      <c r="AD149" s="23"/>
      <c r="AE149" s="23"/>
      <c r="AF149" s="23">
        <v>99</v>
      </c>
      <c r="AG149" s="23"/>
      <c r="AH149" s="23">
        <v>29</v>
      </c>
      <c r="AI149" s="23"/>
      <c r="AJ149" s="23"/>
      <c r="AK149" s="23">
        <v>135</v>
      </c>
      <c r="AL149" s="23"/>
      <c r="AM149" s="23">
        <v>21</v>
      </c>
      <c r="AN149" s="23"/>
      <c r="AO149" s="23">
        <v>267</v>
      </c>
      <c r="AP149" s="23">
        <v>12</v>
      </c>
      <c r="AQ149" s="23"/>
      <c r="AR149" s="23">
        <v>5</v>
      </c>
      <c r="AS149" s="23"/>
      <c r="AT149" s="23"/>
      <c r="AU149" s="14" t="str">
        <f>HYPERLINK("http://www.openstreetmap.org/?mlat=34.1294&amp;mlon=42.3805&amp;zoom=12#map=12/34.1294/42.3805","Maplink1")</f>
        <v>Maplink1</v>
      </c>
      <c r="AV149" s="14" t="str">
        <f>HYPERLINK("https://www.google.iq/maps/search/+34.1294,42.3805/@34.1294,42.3805,14z?hl=en","Maplink2")</f>
        <v>Maplink2</v>
      </c>
      <c r="AW149" s="14" t="str">
        <f>HYPERLINK("http://www.bing.com/maps/?lvl=14&amp;sty=h&amp;cp=34.1294~42.3805&amp;sp=point.34.1294_42.3805_Hay Al Saray","Maplink3")</f>
        <v>Maplink3</v>
      </c>
    </row>
    <row r="150" spans="1:49" ht="15" customHeight="1" x14ac:dyDescent="0.25">
      <c r="A150" s="21">
        <v>23817</v>
      </c>
      <c r="B150" s="22" t="s">
        <v>9</v>
      </c>
      <c r="C150" s="22" t="s">
        <v>387</v>
      </c>
      <c r="D150" s="22" t="s">
        <v>440</v>
      </c>
      <c r="E150" s="22" t="s">
        <v>441</v>
      </c>
      <c r="F150" s="22">
        <v>34.099075999999997</v>
      </c>
      <c r="G150" s="22">
        <v>42.381332999999998</v>
      </c>
      <c r="H150" s="21" t="s">
        <v>73</v>
      </c>
      <c r="I150" s="21" t="s">
        <v>390</v>
      </c>
      <c r="J150" s="21" t="s">
        <v>442</v>
      </c>
      <c r="K150" s="24">
        <v>247</v>
      </c>
      <c r="L150" s="24">
        <v>1482</v>
      </c>
      <c r="M150" s="23">
        <v>226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>
        <v>21</v>
      </c>
      <c r="AB150" s="23"/>
      <c r="AC150" s="23"/>
      <c r="AD150" s="23"/>
      <c r="AE150" s="23"/>
      <c r="AF150" s="23">
        <v>183</v>
      </c>
      <c r="AG150" s="23"/>
      <c r="AH150" s="23">
        <v>10</v>
      </c>
      <c r="AI150" s="23"/>
      <c r="AJ150" s="23"/>
      <c r="AK150" s="23">
        <v>39</v>
      </c>
      <c r="AL150" s="23">
        <v>15</v>
      </c>
      <c r="AM150" s="23"/>
      <c r="AN150" s="23"/>
      <c r="AO150" s="23">
        <v>76</v>
      </c>
      <c r="AP150" s="23">
        <v>21</v>
      </c>
      <c r="AQ150" s="23"/>
      <c r="AR150" s="23">
        <v>150</v>
      </c>
      <c r="AS150" s="23"/>
      <c r="AT150" s="23"/>
      <c r="AU150" s="14" t="str">
        <f>HYPERLINK("http://www.openstreetmap.org/?mlat=34.0991&amp;mlon=42.3813&amp;zoom=12#map=12/34.0991/42.3813","Maplink1")</f>
        <v>Maplink1</v>
      </c>
      <c r="AV150" s="14" t="str">
        <f>HYPERLINK("https://www.google.iq/maps/search/+34.0991,42.3813/@34.0991,42.3813,14z?hl=en","Maplink2")</f>
        <v>Maplink2</v>
      </c>
      <c r="AW150" s="14" t="str">
        <f>HYPERLINK("http://www.bing.com/maps/?lvl=14&amp;sty=h&amp;cp=34.0991~42.3813&amp;sp=point.34.0991_42.3813_Hay Al Shay","Maplink3")</f>
        <v>Maplink3</v>
      </c>
    </row>
    <row r="151" spans="1:49" ht="15" customHeight="1" x14ac:dyDescent="0.25">
      <c r="A151" s="21">
        <v>23813</v>
      </c>
      <c r="B151" s="22" t="s">
        <v>9</v>
      </c>
      <c r="C151" s="22" t="s">
        <v>387</v>
      </c>
      <c r="D151" s="22" t="s">
        <v>128</v>
      </c>
      <c r="E151" s="22" t="s">
        <v>129</v>
      </c>
      <c r="F151" s="22">
        <v>34.107214999999997</v>
      </c>
      <c r="G151" s="22">
        <v>42.397337</v>
      </c>
      <c r="H151" s="21" t="s">
        <v>73</v>
      </c>
      <c r="I151" s="21" t="s">
        <v>390</v>
      </c>
      <c r="J151" s="21" t="s">
        <v>443</v>
      </c>
      <c r="K151" s="24">
        <v>379</v>
      </c>
      <c r="L151" s="24">
        <v>2274</v>
      </c>
      <c r="M151" s="23">
        <v>360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>
        <v>19</v>
      </c>
      <c r="Z151" s="23"/>
      <c r="AA151" s="23"/>
      <c r="AB151" s="23"/>
      <c r="AC151" s="23"/>
      <c r="AD151" s="23"/>
      <c r="AE151" s="23"/>
      <c r="AF151" s="23">
        <v>264</v>
      </c>
      <c r="AG151" s="23"/>
      <c r="AH151" s="23"/>
      <c r="AI151" s="23"/>
      <c r="AJ151" s="23"/>
      <c r="AK151" s="23">
        <v>95</v>
      </c>
      <c r="AL151" s="23"/>
      <c r="AM151" s="23">
        <v>20</v>
      </c>
      <c r="AN151" s="23"/>
      <c r="AO151" s="23">
        <v>178</v>
      </c>
      <c r="AP151" s="23">
        <v>19</v>
      </c>
      <c r="AQ151" s="23"/>
      <c r="AR151" s="23">
        <v>182</v>
      </c>
      <c r="AS151" s="23"/>
      <c r="AT151" s="23"/>
      <c r="AU151" s="14" t="str">
        <f>HYPERLINK("http://www.openstreetmap.org/?mlat=34.1072&amp;mlon=42.3973&amp;zoom=12#map=12/34.1072/42.3973","Maplink1")</f>
        <v>Maplink1</v>
      </c>
      <c r="AV151" s="14" t="str">
        <f>HYPERLINK("https://www.google.iq/maps/search/+34.1072,42.3973/@34.1072,42.3973,14z?hl=en","Maplink2")</f>
        <v>Maplink2</v>
      </c>
      <c r="AW151" s="14" t="str">
        <f>HYPERLINK("http://www.bing.com/maps/?lvl=14&amp;sty=h&amp;cp=34.1072~42.3973&amp;sp=point.34.1072_42.3973_Hay Al Shuhadaa","Maplink3")</f>
        <v>Maplink3</v>
      </c>
    </row>
    <row r="152" spans="1:49" ht="15" customHeight="1" x14ac:dyDescent="0.25">
      <c r="A152" s="21">
        <v>241</v>
      </c>
      <c r="B152" s="22" t="s">
        <v>9</v>
      </c>
      <c r="C152" s="22" t="s">
        <v>387</v>
      </c>
      <c r="D152" s="22" t="s">
        <v>444</v>
      </c>
      <c r="E152" s="22" t="s">
        <v>261</v>
      </c>
      <c r="F152" s="22">
        <v>34.103185000000003</v>
      </c>
      <c r="G152" s="22">
        <v>42.373368999999997</v>
      </c>
      <c r="H152" s="21" t="s">
        <v>73</v>
      </c>
      <c r="I152" s="21" t="s">
        <v>390</v>
      </c>
      <c r="J152" s="21" t="s">
        <v>445</v>
      </c>
      <c r="K152" s="24">
        <v>183</v>
      </c>
      <c r="L152" s="24">
        <v>1098</v>
      </c>
      <c r="M152" s="23">
        <v>165</v>
      </c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>
        <v>10</v>
      </c>
      <c r="Z152" s="23"/>
      <c r="AA152" s="23">
        <v>8</v>
      </c>
      <c r="AB152" s="23"/>
      <c r="AC152" s="23"/>
      <c r="AD152" s="23"/>
      <c r="AE152" s="23"/>
      <c r="AF152" s="23">
        <v>82</v>
      </c>
      <c r="AG152" s="23"/>
      <c r="AH152" s="23"/>
      <c r="AI152" s="23"/>
      <c r="AJ152" s="23"/>
      <c r="AK152" s="23">
        <v>101</v>
      </c>
      <c r="AL152" s="23"/>
      <c r="AM152" s="23"/>
      <c r="AN152" s="23"/>
      <c r="AO152" s="23">
        <v>157</v>
      </c>
      <c r="AP152" s="23">
        <v>18</v>
      </c>
      <c r="AQ152" s="23"/>
      <c r="AR152" s="23">
        <v>8</v>
      </c>
      <c r="AS152" s="23"/>
      <c r="AT152" s="23"/>
      <c r="AU152" s="14" t="str">
        <f>HYPERLINK("http://www.openstreetmap.org/?mlat=34.1032&amp;mlon=42.3734&amp;zoom=12#map=12/34.1032/42.3734","Maplink1")</f>
        <v>Maplink1</v>
      </c>
      <c r="AV152" s="14" t="str">
        <f>HYPERLINK("https://www.google.iq/maps/search/+34.1032,42.3734/@34.1032,42.3734,14z?hl=en","Maplink2")</f>
        <v>Maplink2</v>
      </c>
      <c r="AW152" s="14" t="str">
        <f>HYPERLINK("http://www.bing.com/maps/?lvl=14&amp;sty=h&amp;cp=34.1032~42.3734&amp;sp=point.34.1032_42.3734_Hay Al Shurta","Maplink3")</f>
        <v>Maplink3</v>
      </c>
    </row>
    <row r="153" spans="1:49" ht="15" customHeight="1" x14ac:dyDescent="0.25">
      <c r="A153" s="21">
        <v>24318</v>
      </c>
      <c r="B153" s="22" t="s">
        <v>9</v>
      </c>
      <c r="C153" s="22" t="s">
        <v>387</v>
      </c>
      <c r="D153" s="22" t="s">
        <v>446</v>
      </c>
      <c r="E153" s="22" t="s">
        <v>447</v>
      </c>
      <c r="F153" s="22">
        <v>34.095627</v>
      </c>
      <c r="G153" s="22">
        <v>42.376702999999999</v>
      </c>
      <c r="H153" s="21" t="s">
        <v>73</v>
      </c>
      <c r="I153" s="21" t="s">
        <v>390</v>
      </c>
      <c r="J153" s="21"/>
      <c r="K153" s="24">
        <v>130</v>
      </c>
      <c r="L153" s="24">
        <v>780</v>
      </c>
      <c r="M153" s="23">
        <v>110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>
        <v>20</v>
      </c>
      <c r="Z153" s="23"/>
      <c r="AA153" s="23"/>
      <c r="AB153" s="23"/>
      <c r="AC153" s="23"/>
      <c r="AD153" s="23"/>
      <c r="AE153" s="23"/>
      <c r="AF153" s="23">
        <v>130</v>
      </c>
      <c r="AG153" s="23"/>
      <c r="AH153" s="23"/>
      <c r="AI153" s="23"/>
      <c r="AJ153" s="23"/>
      <c r="AK153" s="23"/>
      <c r="AL153" s="23"/>
      <c r="AM153" s="23"/>
      <c r="AN153" s="23"/>
      <c r="AO153" s="23"/>
      <c r="AP153" s="23">
        <v>20</v>
      </c>
      <c r="AQ153" s="23"/>
      <c r="AR153" s="23">
        <v>110</v>
      </c>
      <c r="AS153" s="23"/>
      <c r="AT153" s="23"/>
      <c r="AU153" s="14" t="str">
        <f>HYPERLINK("http://www.openstreetmap.org/?mlat=34.0956&amp;mlon=42.3767&amp;zoom=12#map=12/34.0956/42.3767","Maplink1")</f>
        <v>Maplink1</v>
      </c>
      <c r="AV153" s="14" t="str">
        <f>HYPERLINK("https://www.google.iq/maps/search/+34.0956,42.3767/@34.0956,42.3767,14z?hl=en","Maplink2")</f>
        <v>Maplink2</v>
      </c>
      <c r="AW153" s="14" t="str">
        <f>HYPERLINK("http://www.bing.com/maps/?lvl=14&amp;sty=h&amp;cp=34.0956~42.3767&amp;sp=point.34.0956_42.3767_Hay Al Somod","Maplink3")</f>
        <v>Maplink3</v>
      </c>
    </row>
    <row r="154" spans="1:49" ht="15" customHeight="1" x14ac:dyDescent="0.25">
      <c r="A154" s="21">
        <v>244</v>
      </c>
      <c r="B154" s="22" t="s">
        <v>9</v>
      </c>
      <c r="C154" s="22" t="s">
        <v>387</v>
      </c>
      <c r="D154" s="22" t="s">
        <v>448</v>
      </c>
      <c r="E154" s="22" t="s">
        <v>153</v>
      </c>
      <c r="F154" s="22">
        <v>34.138294000000002</v>
      </c>
      <c r="G154" s="22">
        <v>42.368898999999999</v>
      </c>
      <c r="H154" s="21" t="s">
        <v>73</v>
      </c>
      <c r="I154" s="21" t="s">
        <v>390</v>
      </c>
      <c r="J154" s="21" t="s">
        <v>449</v>
      </c>
      <c r="K154" s="24">
        <v>268</v>
      </c>
      <c r="L154" s="24">
        <v>1608</v>
      </c>
      <c r="M154" s="23">
        <v>232</v>
      </c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>
        <v>25</v>
      </c>
      <c r="Z154" s="23"/>
      <c r="AA154" s="23">
        <v>11</v>
      </c>
      <c r="AB154" s="23"/>
      <c r="AC154" s="23"/>
      <c r="AD154" s="23"/>
      <c r="AE154" s="23"/>
      <c r="AF154" s="23">
        <v>184</v>
      </c>
      <c r="AG154" s="23"/>
      <c r="AH154" s="23"/>
      <c r="AI154" s="23"/>
      <c r="AJ154" s="23"/>
      <c r="AK154" s="23">
        <v>84</v>
      </c>
      <c r="AL154" s="23"/>
      <c r="AM154" s="23"/>
      <c r="AN154" s="23"/>
      <c r="AO154" s="23">
        <v>152</v>
      </c>
      <c r="AP154" s="23">
        <v>36</v>
      </c>
      <c r="AQ154" s="23"/>
      <c r="AR154" s="23">
        <v>80</v>
      </c>
      <c r="AS154" s="23"/>
      <c r="AT154" s="23"/>
      <c r="AU154" s="14" t="str">
        <f>HYPERLINK("http://www.openstreetmap.org/?mlat=34.1383&amp;mlon=42.3689&amp;zoom=12#map=12/34.1383/42.3689","Maplink1")</f>
        <v>Maplink1</v>
      </c>
      <c r="AV154" s="14" t="str">
        <f>HYPERLINK("https://www.google.iq/maps/search/+34.1383,42.3689/@34.1383,42.3689,14z?hl=en","Maplink2")</f>
        <v>Maplink2</v>
      </c>
      <c r="AW154" s="14" t="str">
        <f>HYPERLINK("http://www.bing.com/maps/?lvl=14&amp;sty=h&amp;cp=34.1383~42.3689&amp;sp=point.34.1383_42.3689_Hay Al Yarmuk","Maplink3")</f>
        <v>Maplink3</v>
      </c>
    </row>
    <row r="155" spans="1:49" ht="15" customHeight="1" x14ac:dyDescent="0.25">
      <c r="A155" s="21">
        <v>23814</v>
      </c>
      <c r="B155" s="22" t="s">
        <v>9</v>
      </c>
      <c r="C155" s="22" t="s">
        <v>387</v>
      </c>
      <c r="D155" s="22" t="s">
        <v>450</v>
      </c>
      <c r="E155" s="22" t="s">
        <v>451</v>
      </c>
      <c r="F155" s="22">
        <v>34.079250000000002</v>
      </c>
      <c r="G155" s="22">
        <v>42.387878999999998</v>
      </c>
      <c r="H155" s="21" t="s">
        <v>73</v>
      </c>
      <c r="I155" s="21" t="s">
        <v>390</v>
      </c>
      <c r="J155" s="21" t="s">
        <v>452</v>
      </c>
      <c r="K155" s="24">
        <v>93</v>
      </c>
      <c r="L155" s="24">
        <v>558</v>
      </c>
      <c r="M155" s="23">
        <v>86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>
        <v>7</v>
      </c>
      <c r="AB155" s="23"/>
      <c r="AC155" s="23"/>
      <c r="AD155" s="23"/>
      <c r="AE155" s="23"/>
      <c r="AF155" s="23">
        <v>39</v>
      </c>
      <c r="AG155" s="23"/>
      <c r="AH155" s="23">
        <v>5</v>
      </c>
      <c r="AI155" s="23"/>
      <c r="AJ155" s="23"/>
      <c r="AK155" s="23">
        <v>49</v>
      </c>
      <c r="AL155" s="23"/>
      <c r="AM155" s="23"/>
      <c r="AN155" s="23"/>
      <c r="AO155" s="23">
        <v>86</v>
      </c>
      <c r="AP155" s="23">
        <v>7</v>
      </c>
      <c r="AQ155" s="23"/>
      <c r="AR155" s="23"/>
      <c r="AS155" s="23"/>
      <c r="AT155" s="23"/>
      <c r="AU155" s="14" t="str">
        <f>HYPERLINK("http://www.openstreetmap.org/?mlat=34.0793&amp;mlon=42.3879&amp;zoom=12#map=12/34.0793/42.3879","Maplink1")</f>
        <v>Maplink1</v>
      </c>
      <c r="AV155" s="14" t="str">
        <f>HYPERLINK("https://www.google.iq/maps/search/+34.0793,42.3879/@34.0793,42.3879,14z?hl=en","Maplink2")</f>
        <v>Maplink2</v>
      </c>
      <c r="AW155" s="14" t="str">
        <f>HYPERLINK("http://www.bing.com/maps/?lvl=14&amp;sty=h&amp;cp=34.0793~42.3879&amp;sp=point.34.0793_42.3879_Hay Al-Alyaa","Maplink3")</f>
        <v>Maplink3</v>
      </c>
    </row>
    <row r="156" spans="1:49" ht="15" customHeight="1" x14ac:dyDescent="0.25">
      <c r="A156" s="21">
        <v>23816</v>
      </c>
      <c r="B156" s="22" t="s">
        <v>9</v>
      </c>
      <c r="C156" s="22" t="s">
        <v>387</v>
      </c>
      <c r="D156" s="22" t="s">
        <v>453</v>
      </c>
      <c r="E156" s="22" t="s">
        <v>102</v>
      </c>
      <c r="F156" s="22">
        <v>34.104987000000001</v>
      </c>
      <c r="G156" s="22">
        <v>42.392817999999998</v>
      </c>
      <c r="H156" s="21" t="s">
        <v>73</v>
      </c>
      <c r="I156" s="21" t="s">
        <v>390</v>
      </c>
      <c r="J156" s="21" t="s">
        <v>454</v>
      </c>
      <c r="K156" s="24">
        <v>130</v>
      </c>
      <c r="L156" s="24">
        <v>780</v>
      </c>
      <c r="M156" s="23">
        <v>106</v>
      </c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>
        <v>24</v>
      </c>
      <c r="AB156" s="23"/>
      <c r="AC156" s="23"/>
      <c r="AD156" s="23"/>
      <c r="AE156" s="23"/>
      <c r="AF156" s="23">
        <v>73</v>
      </c>
      <c r="AG156" s="23"/>
      <c r="AH156" s="23"/>
      <c r="AI156" s="23"/>
      <c r="AJ156" s="23"/>
      <c r="AK156" s="23">
        <v>41</v>
      </c>
      <c r="AL156" s="23">
        <v>16</v>
      </c>
      <c r="AM156" s="23"/>
      <c r="AN156" s="23"/>
      <c r="AO156" s="23">
        <v>80</v>
      </c>
      <c r="AP156" s="23">
        <v>24</v>
      </c>
      <c r="AQ156" s="23"/>
      <c r="AR156" s="23">
        <v>26</v>
      </c>
      <c r="AS156" s="23"/>
      <c r="AT156" s="23"/>
      <c r="AU156" s="14" t="str">
        <f>HYPERLINK("http://www.openstreetmap.org/?mlat=34.105&amp;mlon=42.3928&amp;zoom=12#map=12/34.105/42.3928","Maplink1")</f>
        <v>Maplink1</v>
      </c>
      <c r="AV156" s="14" t="str">
        <f>HYPERLINK("https://www.google.iq/maps/search/+34.105,42.3928/@34.105,42.3928,14z?hl=en","Maplink2")</f>
        <v>Maplink2</v>
      </c>
      <c r="AW156" s="14" t="str">
        <f>HYPERLINK("http://www.bing.com/maps/?lvl=14&amp;sty=h&amp;cp=34.105~42.3928&amp;sp=point.34.105_42.3928_Hay Al-Amin","Maplink3")</f>
        <v>Maplink3</v>
      </c>
    </row>
    <row r="157" spans="1:49" ht="15" customHeight="1" x14ac:dyDescent="0.25">
      <c r="A157" s="21">
        <v>23815</v>
      </c>
      <c r="B157" s="22" t="s">
        <v>9</v>
      </c>
      <c r="C157" s="22" t="s">
        <v>387</v>
      </c>
      <c r="D157" s="22" t="s">
        <v>455</v>
      </c>
      <c r="E157" s="22" t="s">
        <v>141</v>
      </c>
      <c r="F157" s="22">
        <v>34.086019</v>
      </c>
      <c r="G157" s="22">
        <v>42.382787999999998</v>
      </c>
      <c r="H157" s="21" t="s">
        <v>73</v>
      </c>
      <c r="I157" s="21" t="s">
        <v>390</v>
      </c>
      <c r="J157" s="21" t="s">
        <v>456</v>
      </c>
      <c r="K157" s="24">
        <v>96</v>
      </c>
      <c r="L157" s="24">
        <v>576</v>
      </c>
      <c r="M157" s="23">
        <v>84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>
        <v>12</v>
      </c>
      <c r="AB157" s="23"/>
      <c r="AC157" s="23"/>
      <c r="AD157" s="23"/>
      <c r="AE157" s="23"/>
      <c r="AF157" s="23">
        <v>49</v>
      </c>
      <c r="AG157" s="23"/>
      <c r="AH157" s="23">
        <v>15</v>
      </c>
      <c r="AI157" s="23"/>
      <c r="AJ157" s="23">
        <v>3</v>
      </c>
      <c r="AK157" s="23">
        <v>26</v>
      </c>
      <c r="AL157" s="23"/>
      <c r="AM157" s="23">
        <v>3</v>
      </c>
      <c r="AN157" s="23"/>
      <c r="AO157" s="23">
        <v>84</v>
      </c>
      <c r="AP157" s="23">
        <v>12</v>
      </c>
      <c r="AQ157" s="23"/>
      <c r="AR157" s="23"/>
      <c r="AS157" s="23"/>
      <c r="AT157" s="23"/>
      <c r="AU157" s="14" t="str">
        <f>HYPERLINK("http://www.openstreetmap.org/?mlat=34.086&amp;mlon=42.3828&amp;zoom=12#map=12/34.086/42.3828","Maplink1")</f>
        <v>Maplink1</v>
      </c>
      <c r="AV157" s="14" t="str">
        <f>HYPERLINK("https://www.google.iq/maps/search/+34.086,42.3828/@34.086,42.3828,14z?hl=en","Maplink2")</f>
        <v>Maplink2</v>
      </c>
      <c r="AW157" s="14" t="str">
        <f>HYPERLINK("http://www.bing.com/maps/?lvl=14&amp;sty=h&amp;cp=34.086~42.3828&amp;sp=point.34.086_42.3828_Hay Al-Farouq","Maplink3")</f>
        <v>Maplink3</v>
      </c>
    </row>
    <row r="158" spans="1:49" ht="15" customHeight="1" x14ac:dyDescent="0.25">
      <c r="A158" s="21">
        <v>23804</v>
      </c>
      <c r="B158" s="22" t="s">
        <v>9</v>
      </c>
      <c r="C158" s="22" t="s">
        <v>387</v>
      </c>
      <c r="D158" s="22" t="s">
        <v>457</v>
      </c>
      <c r="E158" s="22" t="s">
        <v>458</v>
      </c>
      <c r="F158" s="22">
        <v>34.140371000000002</v>
      </c>
      <c r="G158" s="22">
        <v>42.385174999999997</v>
      </c>
      <c r="H158" s="21" t="s">
        <v>73</v>
      </c>
      <c r="I158" s="21" t="s">
        <v>390</v>
      </c>
      <c r="J158" s="21" t="s">
        <v>459</v>
      </c>
      <c r="K158" s="24">
        <v>37</v>
      </c>
      <c r="L158" s="24">
        <v>222</v>
      </c>
      <c r="M158" s="23">
        <v>20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>
        <v>17</v>
      </c>
      <c r="AB158" s="23"/>
      <c r="AC158" s="23"/>
      <c r="AD158" s="23"/>
      <c r="AE158" s="23"/>
      <c r="AF158" s="23">
        <v>26</v>
      </c>
      <c r="AG158" s="23"/>
      <c r="AH158" s="23"/>
      <c r="AI158" s="23"/>
      <c r="AJ158" s="23"/>
      <c r="AK158" s="23">
        <v>11</v>
      </c>
      <c r="AL158" s="23"/>
      <c r="AM158" s="23"/>
      <c r="AN158" s="23"/>
      <c r="AO158" s="23">
        <v>20</v>
      </c>
      <c r="AP158" s="23">
        <v>17</v>
      </c>
      <c r="AQ158" s="23"/>
      <c r="AR158" s="23"/>
      <c r="AS158" s="23"/>
      <c r="AT158" s="23"/>
      <c r="AU158" s="14" t="str">
        <f>HYPERLINK("http://www.openstreetmap.org/?mlat=34.1404&amp;mlon=42.3852&amp;zoom=12#map=12/34.1404/42.3852","Maplink1")</f>
        <v>Maplink1</v>
      </c>
      <c r="AV158" s="14" t="str">
        <f>HYPERLINK("https://www.google.iq/maps/search/+34.1404,42.3852/@34.1404,42.3852,14z?hl=en","Maplink2")</f>
        <v>Maplink2</v>
      </c>
      <c r="AW158" s="14" t="str">
        <f>HYPERLINK("http://www.bing.com/maps/?lvl=14&amp;sty=h&amp;cp=34.1404~42.3852&amp;sp=point.34.1404_42.3852_Hay Al-Kurnish","Maplink3")</f>
        <v>Maplink3</v>
      </c>
    </row>
    <row r="159" spans="1:49" ht="15" customHeight="1" x14ac:dyDescent="0.25">
      <c r="A159" s="21">
        <v>23892</v>
      </c>
      <c r="B159" s="22" t="s">
        <v>9</v>
      </c>
      <c r="C159" s="22" t="s">
        <v>387</v>
      </c>
      <c r="D159" s="22" t="s">
        <v>460</v>
      </c>
      <c r="E159" s="22" t="s">
        <v>461</v>
      </c>
      <c r="F159" s="22">
        <v>34.133848999999998</v>
      </c>
      <c r="G159" s="22">
        <v>42.370731999999997</v>
      </c>
      <c r="H159" s="21" t="s">
        <v>73</v>
      </c>
      <c r="I159" s="21" t="s">
        <v>390</v>
      </c>
      <c r="J159" s="21" t="s">
        <v>462</v>
      </c>
      <c r="K159" s="24">
        <v>49</v>
      </c>
      <c r="L159" s="24">
        <v>294</v>
      </c>
      <c r="M159" s="23">
        <v>30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>
        <v>19</v>
      </c>
      <c r="AB159" s="23"/>
      <c r="AC159" s="23"/>
      <c r="AD159" s="23"/>
      <c r="AE159" s="23"/>
      <c r="AF159" s="23">
        <v>35</v>
      </c>
      <c r="AG159" s="23"/>
      <c r="AH159" s="23">
        <v>8</v>
      </c>
      <c r="AI159" s="23"/>
      <c r="AJ159" s="23"/>
      <c r="AK159" s="23">
        <v>6</v>
      </c>
      <c r="AL159" s="23"/>
      <c r="AM159" s="23"/>
      <c r="AN159" s="23"/>
      <c r="AO159" s="23">
        <v>20</v>
      </c>
      <c r="AP159" s="23">
        <v>19</v>
      </c>
      <c r="AQ159" s="23"/>
      <c r="AR159" s="23">
        <v>10</v>
      </c>
      <c r="AS159" s="23"/>
      <c r="AT159" s="23"/>
      <c r="AU159" s="14" t="str">
        <f>HYPERLINK("http://www.openstreetmap.org/?mlat=34.1338&amp;mlon=42.3707&amp;zoom=12#map=12/34.1338/42.3707","Maplink1")</f>
        <v>Maplink1</v>
      </c>
      <c r="AV159" s="14" t="str">
        <f>HYPERLINK("https://www.google.iq/maps/search/+34.1338,42.3707/@34.1338,42.3707,14z?hl=en","Maplink2")</f>
        <v>Maplink2</v>
      </c>
      <c r="AW159" s="14" t="str">
        <f>HYPERLINK("http://www.bing.com/maps/?lvl=14&amp;sty=h&amp;cp=34.1338~42.3707&amp;sp=point.34.1338_42.3707_Hay al-malab","Maplink3")</f>
        <v>Maplink3</v>
      </c>
    </row>
    <row r="160" spans="1:49" ht="15" customHeight="1" x14ac:dyDescent="0.25">
      <c r="A160" s="21">
        <v>23806</v>
      </c>
      <c r="B160" s="22" t="s">
        <v>9</v>
      </c>
      <c r="C160" s="22" t="s">
        <v>387</v>
      </c>
      <c r="D160" s="22" t="s">
        <v>463</v>
      </c>
      <c r="E160" s="22" t="s">
        <v>464</v>
      </c>
      <c r="F160" s="22">
        <v>34.132922999999998</v>
      </c>
      <c r="G160" s="22">
        <v>42.362316</v>
      </c>
      <c r="H160" s="21" t="s">
        <v>73</v>
      </c>
      <c r="I160" s="21" t="s">
        <v>390</v>
      </c>
      <c r="J160" s="21" t="s">
        <v>465</v>
      </c>
      <c r="K160" s="24">
        <v>183</v>
      </c>
      <c r="L160" s="24">
        <v>1098</v>
      </c>
      <c r="M160" s="23">
        <v>157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>
        <v>26</v>
      </c>
      <c r="AB160" s="23"/>
      <c r="AC160" s="23"/>
      <c r="AD160" s="23"/>
      <c r="AE160" s="23"/>
      <c r="AF160" s="23">
        <v>103</v>
      </c>
      <c r="AG160" s="23"/>
      <c r="AH160" s="23"/>
      <c r="AI160" s="23"/>
      <c r="AJ160" s="23"/>
      <c r="AK160" s="23">
        <v>80</v>
      </c>
      <c r="AL160" s="23"/>
      <c r="AM160" s="23"/>
      <c r="AN160" s="23"/>
      <c r="AO160" s="23">
        <v>127</v>
      </c>
      <c r="AP160" s="23">
        <v>26</v>
      </c>
      <c r="AQ160" s="23"/>
      <c r="AR160" s="23">
        <v>30</v>
      </c>
      <c r="AS160" s="23"/>
      <c r="AT160" s="23"/>
      <c r="AU160" s="14" t="str">
        <f>HYPERLINK("http://www.openstreetmap.org/?mlat=34.1329&amp;mlon=42.3623&amp;zoom=12#map=12/34.1329/42.3623","Maplink1")</f>
        <v>Maplink1</v>
      </c>
      <c r="AV160" s="14" t="str">
        <f>HYPERLINK("https://www.google.iq/maps/search/+34.1329,42.3623/@34.1329,42.3623,14z?hl=en","Maplink2")</f>
        <v>Maplink2</v>
      </c>
      <c r="AW160" s="14" t="str">
        <f>HYPERLINK("http://www.bing.com/maps/?lvl=14&amp;sty=h&amp;cp=34.1329~42.3623&amp;sp=point.34.1329_42.3623_Hay Al-Mulameen","Maplink3")</f>
        <v>Maplink3</v>
      </c>
    </row>
    <row r="161" spans="1:49" ht="15" customHeight="1" x14ac:dyDescent="0.25">
      <c r="A161" s="21">
        <v>24110</v>
      </c>
      <c r="B161" s="22" t="s">
        <v>9</v>
      </c>
      <c r="C161" s="22" t="s">
        <v>387</v>
      </c>
      <c r="D161" s="22" t="s">
        <v>466</v>
      </c>
      <c r="E161" s="22" t="s">
        <v>302</v>
      </c>
      <c r="F161" s="22">
        <v>34.086987000000001</v>
      </c>
      <c r="G161" s="22">
        <v>42.369179000000003</v>
      </c>
      <c r="H161" s="21" t="s">
        <v>73</v>
      </c>
      <c r="I161" s="21" t="s">
        <v>390</v>
      </c>
      <c r="J161" s="21" t="s">
        <v>467</v>
      </c>
      <c r="K161" s="24">
        <v>78</v>
      </c>
      <c r="L161" s="24">
        <v>468</v>
      </c>
      <c r="M161" s="23">
        <v>65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>
        <v>13</v>
      </c>
      <c r="AB161" s="23"/>
      <c r="AC161" s="23"/>
      <c r="AD161" s="23"/>
      <c r="AE161" s="23"/>
      <c r="AF161" s="23">
        <v>56</v>
      </c>
      <c r="AG161" s="23"/>
      <c r="AH161" s="23"/>
      <c r="AI161" s="23"/>
      <c r="AJ161" s="23"/>
      <c r="AK161" s="23">
        <v>22</v>
      </c>
      <c r="AL161" s="23"/>
      <c r="AM161" s="23"/>
      <c r="AN161" s="23"/>
      <c r="AO161" s="23">
        <v>65</v>
      </c>
      <c r="AP161" s="23">
        <v>13</v>
      </c>
      <c r="AQ161" s="23"/>
      <c r="AR161" s="23"/>
      <c r="AS161" s="23"/>
      <c r="AT161" s="23"/>
      <c r="AU161" s="14" t="str">
        <f>HYPERLINK("http://www.openstreetmap.org/?mlat=34.087&amp;mlon=42.3692&amp;zoom=12#map=12/34.087/42.3692","Maplink1")</f>
        <v>Maplink1</v>
      </c>
      <c r="AV161" s="14" t="str">
        <f>HYPERLINK("https://www.google.iq/maps/search/+34.087,42.3692/@34.087,42.3692,14z?hl=en","Maplink2")</f>
        <v>Maplink2</v>
      </c>
      <c r="AW161" s="14" t="str">
        <f>HYPERLINK("http://www.bing.com/maps/?lvl=14&amp;sty=h&amp;cp=34.087~42.3692&amp;sp=point.34.087_42.3692_Hay Al-Mutasem","Maplink3")</f>
        <v>Maplink3</v>
      </c>
    </row>
    <row r="162" spans="1:49" ht="15" customHeight="1" x14ac:dyDescent="0.25">
      <c r="A162" s="21">
        <v>23807</v>
      </c>
      <c r="B162" s="22" t="s">
        <v>9</v>
      </c>
      <c r="C162" s="22" t="s">
        <v>387</v>
      </c>
      <c r="D162" s="22" t="s">
        <v>468</v>
      </c>
      <c r="E162" s="22" t="s">
        <v>469</v>
      </c>
      <c r="F162" s="22">
        <v>34.096345999999997</v>
      </c>
      <c r="G162" s="22">
        <v>42.364640999999999</v>
      </c>
      <c r="H162" s="21" t="s">
        <v>73</v>
      </c>
      <c r="I162" s="21" t="s">
        <v>390</v>
      </c>
      <c r="J162" s="21" t="s">
        <v>470</v>
      </c>
      <c r="K162" s="24">
        <v>57</v>
      </c>
      <c r="L162" s="24">
        <v>342</v>
      </c>
      <c r="M162" s="23">
        <v>57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>
        <v>28</v>
      </c>
      <c r="AG162" s="23"/>
      <c r="AH162" s="23"/>
      <c r="AI162" s="23"/>
      <c r="AJ162" s="23"/>
      <c r="AK162" s="23">
        <v>29</v>
      </c>
      <c r="AL162" s="23"/>
      <c r="AM162" s="23"/>
      <c r="AN162" s="23"/>
      <c r="AO162" s="23">
        <v>57</v>
      </c>
      <c r="AP162" s="23"/>
      <c r="AQ162" s="23"/>
      <c r="AR162" s="23"/>
      <c r="AS162" s="23"/>
      <c r="AT162" s="23"/>
      <c r="AU162" s="14" t="str">
        <f>HYPERLINK("http://www.openstreetmap.org/?mlat=34.0963&amp;mlon=42.3646&amp;zoom=12#map=12/34.0963/42.3646","Maplink1")</f>
        <v>Maplink1</v>
      </c>
      <c r="AV162" s="14" t="str">
        <f>HYPERLINK("https://www.google.iq/maps/search/+34.0963,42.3646/@34.0963,42.3646,14z?hl=en","Maplink2")</f>
        <v>Maplink2</v>
      </c>
      <c r="AW162" s="14" t="str">
        <f>HYPERLINK("http://www.bing.com/maps/?lvl=14&amp;sty=h&amp;cp=34.0963~42.3646&amp;sp=point.34.0963_42.3646_Hay Al-Rifaq","Maplink3")</f>
        <v>Maplink3</v>
      </c>
    </row>
    <row r="163" spans="1:49" ht="15" customHeight="1" x14ac:dyDescent="0.25">
      <c r="A163" s="21">
        <v>23805</v>
      </c>
      <c r="B163" s="22" t="s">
        <v>9</v>
      </c>
      <c r="C163" s="22" t="s">
        <v>387</v>
      </c>
      <c r="D163" s="22" t="s">
        <v>471</v>
      </c>
      <c r="E163" s="22" t="s">
        <v>472</v>
      </c>
      <c r="F163" s="22">
        <v>34.166518000000003</v>
      </c>
      <c r="G163" s="22">
        <v>42.376403000000003</v>
      </c>
      <c r="H163" s="21" t="s">
        <v>73</v>
      </c>
      <c r="I163" s="21" t="s">
        <v>390</v>
      </c>
      <c r="J163" s="21" t="s">
        <v>473</v>
      </c>
      <c r="K163" s="24">
        <v>59</v>
      </c>
      <c r="L163" s="24">
        <v>354</v>
      </c>
      <c r="M163" s="23">
        <v>27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>
        <v>32</v>
      </c>
      <c r="Z163" s="23"/>
      <c r="AA163" s="23"/>
      <c r="AB163" s="23"/>
      <c r="AC163" s="23"/>
      <c r="AD163" s="23"/>
      <c r="AE163" s="23"/>
      <c r="AF163" s="23">
        <v>36</v>
      </c>
      <c r="AG163" s="23"/>
      <c r="AH163" s="23"/>
      <c r="AI163" s="23"/>
      <c r="AJ163" s="23"/>
      <c r="AK163" s="23">
        <v>23</v>
      </c>
      <c r="AL163" s="23"/>
      <c r="AM163" s="23"/>
      <c r="AN163" s="23"/>
      <c r="AO163" s="23">
        <v>27</v>
      </c>
      <c r="AP163" s="23">
        <v>32</v>
      </c>
      <c r="AQ163" s="23"/>
      <c r="AR163" s="23"/>
      <c r="AS163" s="23"/>
      <c r="AT163" s="23"/>
      <c r="AU163" s="14" t="str">
        <f>HYPERLINK("http://www.openstreetmap.org/?mlat=34.1665&amp;mlon=42.3764&amp;zoom=12#map=12/34.1665/42.3764","Maplink1")</f>
        <v>Maplink1</v>
      </c>
      <c r="AV163" s="14" t="str">
        <f>HYPERLINK("https://www.google.iq/maps/search/+34.1665,42.3764/@34.1665,42.3764,14z?hl=en","Maplink2")</f>
        <v>Maplink2</v>
      </c>
      <c r="AW163" s="14" t="str">
        <f>HYPERLINK("http://www.bing.com/maps/?lvl=14&amp;sty=h&amp;cp=34.1665~42.3764&amp;sp=point.34.1665_42.3764_Hay Al-shikh Al Hadid","Maplink3")</f>
        <v>Maplink3</v>
      </c>
    </row>
    <row r="164" spans="1:49" ht="15" customHeight="1" x14ac:dyDescent="0.25">
      <c r="A164" s="21">
        <v>79</v>
      </c>
      <c r="B164" s="22" t="s">
        <v>9</v>
      </c>
      <c r="C164" s="22" t="s">
        <v>387</v>
      </c>
      <c r="D164" s="22" t="s">
        <v>474</v>
      </c>
      <c r="E164" s="22" t="s">
        <v>475</v>
      </c>
      <c r="F164" s="22">
        <v>34.120063999999999</v>
      </c>
      <c r="G164" s="22">
        <v>42.381936000000003</v>
      </c>
      <c r="H164" s="21" t="s">
        <v>73</v>
      </c>
      <c r="I164" s="21" t="s">
        <v>390</v>
      </c>
      <c r="J164" s="21" t="s">
        <v>476</v>
      </c>
      <c r="K164" s="24">
        <v>225</v>
      </c>
      <c r="L164" s="24">
        <v>1350</v>
      </c>
      <c r="M164" s="23">
        <v>166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>
        <v>49</v>
      </c>
      <c r="Z164" s="23"/>
      <c r="AA164" s="23">
        <v>10</v>
      </c>
      <c r="AB164" s="23"/>
      <c r="AC164" s="23"/>
      <c r="AD164" s="23"/>
      <c r="AE164" s="23"/>
      <c r="AF164" s="23">
        <v>128</v>
      </c>
      <c r="AG164" s="23"/>
      <c r="AH164" s="23"/>
      <c r="AI164" s="23"/>
      <c r="AJ164" s="23"/>
      <c r="AK164" s="23">
        <v>49</v>
      </c>
      <c r="AL164" s="23">
        <v>35</v>
      </c>
      <c r="AM164" s="23">
        <v>13</v>
      </c>
      <c r="AN164" s="23"/>
      <c r="AO164" s="23">
        <v>107</v>
      </c>
      <c r="AP164" s="23">
        <v>59</v>
      </c>
      <c r="AQ164" s="23"/>
      <c r="AR164" s="23">
        <v>59</v>
      </c>
      <c r="AS164" s="23"/>
      <c r="AT164" s="23"/>
      <c r="AU164" s="14" t="str">
        <f>HYPERLINK("http://www.openstreetmap.org/?mlat=34.1201&amp;mlon=42.3819&amp;zoom=12#map=12/34.1201/42.3819","Maplink1")</f>
        <v>Maplink1</v>
      </c>
      <c r="AV164" s="14" t="str">
        <f>HYPERLINK("https://www.google.iq/maps/search/+34.1201,42.3819/@34.1201,42.3819,14z?hl=en","Maplink2")</f>
        <v>Maplink2</v>
      </c>
      <c r="AW164" s="14" t="str">
        <f>HYPERLINK("http://www.bing.com/maps/?lvl=14&amp;sty=h&amp;cp=34.1201~42.3819&amp;sp=point.34.1201_42.3819_Hay Al-Subhani","Maplink3")</f>
        <v>Maplink3</v>
      </c>
    </row>
    <row r="165" spans="1:49" ht="15" customHeight="1" x14ac:dyDescent="0.25">
      <c r="A165" s="21">
        <v>23808</v>
      </c>
      <c r="B165" s="22" t="s">
        <v>9</v>
      </c>
      <c r="C165" s="22" t="s">
        <v>387</v>
      </c>
      <c r="D165" s="22" t="s">
        <v>477</v>
      </c>
      <c r="E165" s="22" t="s">
        <v>478</v>
      </c>
      <c r="F165" s="22">
        <v>34.158132000000002</v>
      </c>
      <c r="G165" s="22">
        <v>42.378256999999998</v>
      </c>
      <c r="H165" s="21" t="s">
        <v>73</v>
      </c>
      <c r="I165" s="21" t="s">
        <v>390</v>
      </c>
      <c r="J165" s="21" t="s">
        <v>479</v>
      </c>
      <c r="K165" s="24">
        <v>145</v>
      </c>
      <c r="L165" s="24">
        <v>870</v>
      </c>
      <c r="M165" s="23">
        <v>145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>
        <v>63</v>
      </c>
      <c r="AG165" s="23"/>
      <c r="AH165" s="23"/>
      <c r="AI165" s="23"/>
      <c r="AJ165" s="23"/>
      <c r="AK165" s="23">
        <v>82</v>
      </c>
      <c r="AL165" s="23"/>
      <c r="AM165" s="23"/>
      <c r="AN165" s="23"/>
      <c r="AO165" s="23">
        <v>145</v>
      </c>
      <c r="AP165" s="23"/>
      <c r="AQ165" s="23"/>
      <c r="AR165" s="23"/>
      <c r="AS165" s="23"/>
      <c r="AT165" s="23"/>
      <c r="AU165" s="14" t="str">
        <f>HYPERLINK("http://www.openstreetmap.org/?mlat=34.1581&amp;mlon=42.3783&amp;zoom=12#map=12/34.1581/42.3783","Maplink1")</f>
        <v>Maplink1</v>
      </c>
      <c r="AV165" s="14" t="str">
        <f>HYPERLINK("https://www.google.iq/maps/search/+34.1581,42.3783/@34.1581,42.3783,14z?hl=en","Maplink2")</f>
        <v>Maplink2</v>
      </c>
      <c r="AW165" s="14" t="str">
        <f>HYPERLINK("http://www.bing.com/maps/?lvl=14&amp;sty=h&amp;cp=34.1581~42.3783&amp;sp=point.34.1581_42.3783_Hay Al-Thamaniya","Maplink3")</f>
        <v>Maplink3</v>
      </c>
    </row>
    <row r="166" spans="1:49" ht="15" customHeight="1" x14ac:dyDescent="0.25">
      <c r="A166" s="21">
        <v>23811</v>
      </c>
      <c r="B166" s="22" t="s">
        <v>9</v>
      </c>
      <c r="C166" s="22" t="s">
        <v>387</v>
      </c>
      <c r="D166" s="22" t="s">
        <v>480</v>
      </c>
      <c r="E166" s="22" t="s">
        <v>481</v>
      </c>
      <c r="F166" s="22">
        <v>34.107425999999997</v>
      </c>
      <c r="G166" s="22">
        <v>42.402912999999998</v>
      </c>
      <c r="H166" s="21" t="s">
        <v>73</v>
      </c>
      <c r="I166" s="21" t="s">
        <v>390</v>
      </c>
      <c r="J166" s="21" t="s">
        <v>482</v>
      </c>
      <c r="K166" s="24">
        <v>37</v>
      </c>
      <c r="L166" s="24">
        <v>222</v>
      </c>
      <c r="M166" s="23">
        <v>27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>
        <v>10</v>
      </c>
      <c r="AB166" s="23"/>
      <c r="AC166" s="23"/>
      <c r="AD166" s="23"/>
      <c r="AE166" s="23"/>
      <c r="AF166" s="23">
        <v>23</v>
      </c>
      <c r="AG166" s="23"/>
      <c r="AH166" s="23"/>
      <c r="AI166" s="23"/>
      <c r="AJ166" s="23"/>
      <c r="AK166" s="23">
        <v>14</v>
      </c>
      <c r="AL166" s="23"/>
      <c r="AM166" s="23"/>
      <c r="AN166" s="23"/>
      <c r="AO166" s="23">
        <v>27</v>
      </c>
      <c r="AP166" s="23">
        <v>10</v>
      </c>
      <c r="AQ166" s="23"/>
      <c r="AR166" s="23"/>
      <c r="AS166" s="23"/>
      <c r="AT166" s="23"/>
      <c r="AU166" s="14" t="str">
        <f>HYPERLINK("http://www.openstreetmap.org/?mlat=34.1074&amp;mlon=42.4029&amp;zoom=12#map=12/34.1074/42.4029","Maplink1")</f>
        <v>Maplink1</v>
      </c>
      <c r="AV166" s="14" t="str">
        <f>HYPERLINK("https://www.google.iq/maps/search/+34.1074,42.4029/@34.1074,42.4029,14z?hl=en","Maplink2")</f>
        <v>Maplink2</v>
      </c>
      <c r="AW166" s="14" t="str">
        <f>HYPERLINK("http://www.bing.com/maps/?lvl=14&amp;sty=h&amp;cp=34.1074~42.4029&amp;sp=point.34.1074_42.4029_Hay Barwanah Al Gharbiyah","Maplink3")</f>
        <v>Maplink3</v>
      </c>
    </row>
    <row r="167" spans="1:49" ht="15" customHeight="1" x14ac:dyDescent="0.25">
      <c r="A167" s="21">
        <v>23810</v>
      </c>
      <c r="B167" s="22" t="s">
        <v>9</v>
      </c>
      <c r="C167" s="22" t="s">
        <v>387</v>
      </c>
      <c r="D167" s="22" t="s">
        <v>483</v>
      </c>
      <c r="E167" s="22" t="s">
        <v>484</v>
      </c>
      <c r="F167" s="22">
        <v>34.096893000000001</v>
      </c>
      <c r="G167" s="22">
        <v>42.384818000000003</v>
      </c>
      <c r="H167" s="21" t="s">
        <v>73</v>
      </c>
      <c r="I167" s="21" t="s">
        <v>390</v>
      </c>
      <c r="J167" s="21" t="s">
        <v>485</v>
      </c>
      <c r="K167" s="24">
        <v>215</v>
      </c>
      <c r="L167" s="24">
        <v>1290</v>
      </c>
      <c r="M167" s="23">
        <v>185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>
        <v>30</v>
      </c>
      <c r="AB167" s="23"/>
      <c r="AC167" s="23"/>
      <c r="AD167" s="23"/>
      <c r="AE167" s="23"/>
      <c r="AF167" s="23">
        <v>93</v>
      </c>
      <c r="AG167" s="23"/>
      <c r="AH167" s="23">
        <v>29</v>
      </c>
      <c r="AI167" s="23"/>
      <c r="AJ167" s="23">
        <v>9</v>
      </c>
      <c r="AK167" s="23">
        <v>84</v>
      </c>
      <c r="AL167" s="23"/>
      <c r="AM167" s="23"/>
      <c r="AN167" s="23"/>
      <c r="AO167" s="23">
        <v>185</v>
      </c>
      <c r="AP167" s="23">
        <v>30</v>
      </c>
      <c r="AQ167" s="23"/>
      <c r="AR167" s="23"/>
      <c r="AS167" s="23"/>
      <c r="AT167" s="23"/>
      <c r="AU167" s="14" t="str">
        <f>HYPERLINK("http://www.openstreetmap.org/?mlat=34.0969&amp;mlon=42.3848&amp;zoom=12#map=12/34.0969/42.3848","Maplink1")</f>
        <v>Maplink1</v>
      </c>
      <c r="AV167" s="14" t="str">
        <f>HYPERLINK("https://www.google.iq/maps/search/+34.0969,42.3848/@34.0969,42.3848,14z?hl=en","Maplink2")</f>
        <v>Maplink2</v>
      </c>
      <c r="AW167" s="14" t="str">
        <f>HYPERLINK("http://www.bing.com/maps/?lvl=14&amp;sty=h&amp;cp=34.0969~42.3848&amp;sp=point.34.0969_42.3848_Hay Barwanah Al Sharqiyah","Maplink3")</f>
        <v>Maplink3</v>
      </c>
    </row>
    <row r="168" spans="1:49" ht="15" customHeight="1" x14ac:dyDescent="0.25">
      <c r="A168" s="21">
        <v>23818</v>
      </c>
      <c r="B168" s="22" t="s">
        <v>9</v>
      </c>
      <c r="C168" s="22" t="s">
        <v>387</v>
      </c>
      <c r="D168" s="22" t="s">
        <v>486</v>
      </c>
      <c r="E168" s="22" t="s">
        <v>487</v>
      </c>
      <c r="F168" s="22">
        <v>34.099341000000003</v>
      </c>
      <c r="G168" s="22">
        <v>42.395789000000001</v>
      </c>
      <c r="H168" s="21" t="s">
        <v>73</v>
      </c>
      <c r="I168" s="21" t="s">
        <v>390</v>
      </c>
      <c r="J168" s="21" t="s">
        <v>488</v>
      </c>
      <c r="K168" s="24">
        <v>201</v>
      </c>
      <c r="L168" s="24">
        <v>1206</v>
      </c>
      <c r="M168" s="23">
        <v>201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>
        <v>134</v>
      </c>
      <c r="AG168" s="23"/>
      <c r="AH168" s="23"/>
      <c r="AI168" s="23"/>
      <c r="AJ168" s="23"/>
      <c r="AK168" s="23">
        <v>67</v>
      </c>
      <c r="AL168" s="23"/>
      <c r="AM168" s="23"/>
      <c r="AN168" s="23"/>
      <c r="AO168" s="23">
        <v>114</v>
      </c>
      <c r="AP168" s="23"/>
      <c r="AQ168" s="23"/>
      <c r="AR168" s="23">
        <v>87</v>
      </c>
      <c r="AS168" s="23"/>
      <c r="AT168" s="23"/>
      <c r="AU168" s="14" t="str">
        <f>HYPERLINK("http://www.openstreetmap.org/?mlat=34.0993&amp;mlon=42.3958&amp;zoom=12#map=12/34.0993/42.3958","Maplink1")</f>
        <v>Maplink1</v>
      </c>
      <c r="AV168" s="14" t="str">
        <f>HYPERLINK("https://www.google.iq/maps/search/+34.0993,42.3958/@34.0993,42.3958,14z?hl=en","Maplink2")</f>
        <v>Maplink2</v>
      </c>
      <c r="AW168" s="14" t="str">
        <f>HYPERLINK("http://www.bing.com/maps/?lvl=14&amp;sty=h&amp;cp=34.0993~42.3958&amp;sp=point.34.0993_42.3958_Hay Ibn Al Haitham","Maplink3")</f>
        <v>Maplink3</v>
      </c>
    </row>
    <row r="169" spans="1:49" ht="15" customHeight="1" x14ac:dyDescent="0.25">
      <c r="A169" s="21">
        <v>23812</v>
      </c>
      <c r="B169" s="22" t="s">
        <v>9</v>
      </c>
      <c r="C169" s="22" t="s">
        <v>387</v>
      </c>
      <c r="D169" s="22" t="s">
        <v>489</v>
      </c>
      <c r="E169" s="22" t="s">
        <v>490</v>
      </c>
      <c r="F169" s="22">
        <v>34.091028999999999</v>
      </c>
      <c r="G169" s="22">
        <v>42.387259999999998</v>
      </c>
      <c r="H169" s="21" t="s">
        <v>73</v>
      </c>
      <c r="I169" s="21" t="s">
        <v>390</v>
      </c>
      <c r="J169" s="21" t="s">
        <v>491</v>
      </c>
      <c r="K169" s="24">
        <v>57</v>
      </c>
      <c r="L169" s="24">
        <v>342</v>
      </c>
      <c r="M169" s="23">
        <v>57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>
        <v>8</v>
      </c>
      <c r="AG169" s="23"/>
      <c r="AH169" s="23">
        <v>24</v>
      </c>
      <c r="AI169" s="23"/>
      <c r="AJ169" s="23"/>
      <c r="AK169" s="23">
        <v>25</v>
      </c>
      <c r="AL169" s="23"/>
      <c r="AM169" s="23"/>
      <c r="AN169" s="23"/>
      <c r="AO169" s="23">
        <v>57</v>
      </c>
      <c r="AP169" s="23"/>
      <c r="AQ169" s="23"/>
      <c r="AR169" s="23"/>
      <c r="AS169" s="23"/>
      <c r="AT169" s="23"/>
      <c r="AU169" s="14" t="str">
        <f>HYPERLINK("http://www.openstreetmap.org/?mlat=34.091&amp;mlon=42.3873&amp;zoom=12#map=12/34.091/42.3873","Maplink1")</f>
        <v>Maplink1</v>
      </c>
      <c r="AV169" s="14" t="str">
        <f>HYPERLINK("https://www.google.iq/maps/search/+34.091,42.3873/@34.091,42.3873,14z?hl=en","Maplink2")</f>
        <v>Maplink2</v>
      </c>
      <c r="AW169" s="14" t="str">
        <f>HYPERLINK("http://www.bing.com/maps/?lvl=14&amp;sty=h&amp;cp=34.091~42.3873&amp;sp=point.34.091_42.3873_Hay Ibn Bittar","Maplink3")</f>
        <v>Maplink3</v>
      </c>
    </row>
    <row r="170" spans="1:49" ht="15" customHeight="1" x14ac:dyDescent="0.25">
      <c r="A170" s="21">
        <v>23820</v>
      </c>
      <c r="B170" s="22" t="s">
        <v>9</v>
      </c>
      <c r="C170" s="22" t="s">
        <v>387</v>
      </c>
      <c r="D170" s="22" t="s">
        <v>492</v>
      </c>
      <c r="E170" s="22" t="s">
        <v>493</v>
      </c>
      <c r="F170" s="22">
        <v>34.072929999999999</v>
      </c>
      <c r="G170" s="22">
        <v>42.365861000000002</v>
      </c>
      <c r="H170" s="21" t="s">
        <v>73</v>
      </c>
      <c r="I170" s="21" t="s">
        <v>390</v>
      </c>
      <c r="J170" s="21" t="s">
        <v>494</v>
      </c>
      <c r="K170" s="24">
        <v>83</v>
      </c>
      <c r="L170" s="24">
        <v>498</v>
      </c>
      <c r="M170" s="23">
        <v>83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64</v>
      </c>
      <c r="AG170" s="23"/>
      <c r="AH170" s="23"/>
      <c r="AI170" s="23"/>
      <c r="AJ170" s="23"/>
      <c r="AK170" s="23">
        <v>19</v>
      </c>
      <c r="AL170" s="23"/>
      <c r="AM170" s="23"/>
      <c r="AN170" s="23"/>
      <c r="AO170" s="23">
        <v>83</v>
      </c>
      <c r="AP170" s="23"/>
      <c r="AQ170" s="23"/>
      <c r="AR170" s="23"/>
      <c r="AS170" s="23"/>
      <c r="AT170" s="23"/>
      <c r="AU170" s="14" t="str">
        <f>HYPERLINK("http://www.openstreetmap.org/?mlat=34.0729&amp;mlon=42.3659&amp;zoom=12#map=12/34.0729/42.3659","Maplink1")</f>
        <v>Maplink1</v>
      </c>
      <c r="AV170" s="14" t="str">
        <f>HYPERLINK("https://www.google.iq/maps/search/+34.0729,42.3659/@34.0729,42.3659,14z?hl=en","Maplink2")</f>
        <v>Maplink2</v>
      </c>
      <c r="AW170" s="14" t="str">
        <f>HYPERLINK("http://www.bing.com/maps/?lvl=14&amp;sty=h&amp;cp=34.0729~42.3659&amp;sp=point.34.0729_42.3659_Hay K 28","Maplink3")</f>
        <v>Maplink3</v>
      </c>
    </row>
    <row r="171" spans="1:49" ht="15" customHeight="1" x14ac:dyDescent="0.25">
      <c r="A171" s="21">
        <v>243</v>
      </c>
      <c r="B171" s="22" t="s">
        <v>9</v>
      </c>
      <c r="C171" s="22" t="s">
        <v>387</v>
      </c>
      <c r="D171" s="22" t="s">
        <v>495</v>
      </c>
      <c r="E171" s="22" t="s">
        <v>496</v>
      </c>
      <c r="F171" s="22">
        <v>34.145498000000003</v>
      </c>
      <c r="G171" s="22">
        <v>42.367381999999999</v>
      </c>
      <c r="H171" s="21" t="s">
        <v>73</v>
      </c>
      <c r="I171" s="21" t="s">
        <v>390</v>
      </c>
      <c r="J171" s="21" t="s">
        <v>497</v>
      </c>
      <c r="K171" s="24">
        <v>42</v>
      </c>
      <c r="L171" s="24">
        <v>252</v>
      </c>
      <c r="M171" s="23">
        <v>16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>
        <v>26</v>
      </c>
      <c r="AB171" s="23"/>
      <c r="AC171" s="23"/>
      <c r="AD171" s="23"/>
      <c r="AE171" s="23"/>
      <c r="AF171" s="23">
        <v>42</v>
      </c>
      <c r="AG171" s="23"/>
      <c r="AH171" s="23"/>
      <c r="AI171" s="23"/>
      <c r="AJ171" s="23"/>
      <c r="AK171" s="23"/>
      <c r="AL171" s="23"/>
      <c r="AM171" s="23"/>
      <c r="AN171" s="23"/>
      <c r="AO171" s="23">
        <v>16</v>
      </c>
      <c r="AP171" s="23">
        <v>26</v>
      </c>
      <c r="AQ171" s="23"/>
      <c r="AR171" s="23"/>
      <c r="AS171" s="23"/>
      <c r="AT171" s="23"/>
      <c r="AU171" s="14" t="str">
        <f>HYPERLINK("http://www.openstreetmap.org/?mlat=34.1455&amp;mlon=42.3674&amp;zoom=12#map=12/34.1455/42.3674","Maplink1")</f>
        <v>Maplink1</v>
      </c>
      <c r="AV171" s="14" t="str">
        <f>HYPERLINK("https://www.google.iq/maps/search/+34.1455,42.3674/@34.1455,42.3674,14z?hl=en","Maplink2")</f>
        <v>Maplink2</v>
      </c>
      <c r="AW171" s="14" t="str">
        <f>HYPERLINK("http://www.bing.com/maps/?lvl=14&amp;sty=h&amp;cp=34.1455~42.3674&amp;sp=point.34.1455_42.3674_Hay Sala Din","Maplink3")</f>
        <v>Maplink3</v>
      </c>
    </row>
    <row r="172" spans="1:49" ht="15" customHeight="1" x14ac:dyDescent="0.25">
      <c r="A172" s="21">
        <v>24322</v>
      </c>
      <c r="B172" s="22" t="s">
        <v>9</v>
      </c>
      <c r="C172" s="22" t="s">
        <v>387</v>
      </c>
      <c r="D172" s="22" t="s">
        <v>498</v>
      </c>
      <c r="E172" s="22" t="s">
        <v>499</v>
      </c>
      <c r="F172" s="22">
        <v>34.068697</v>
      </c>
      <c r="G172" s="22">
        <v>42.404384999999998</v>
      </c>
      <c r="H172" s="21" t="s">
        <v>73</v>
      </c>
      <c r="I172" s="21" t="s">
        <v>390</v>
      </c>
      <c r="J172" s="21"/>
      <c r="K172" s="24">
        <v>33</v>
      </c>
      <c r="L172" s="24">
        <v>198</v>
      </c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>
        <v>33</v>
      </c>
      <c r="AB172" s="23"/>
      <c r="AC172" s="23"/>
      <c r="AD172" s="23"/>
      <c r="AE172" s="23"/>
      <c r="AF172" s="23">
        <v>33</v>
      </c>
      <c r="AG172" s="23"/>
      <c r="AH172" s="23"/>
      <c r="AI172" s="23"/>
      <c r="AJ172" s="23"/>
      <c r="AK172" s="23"/>
      <c r="AL172" s="23"/>
      <c r="AM172" s="23"/>
      <c r="AN172" s="23"/>
      <c r="AO172" s="23"/>
      <c r="AP172" s="23">
        <v>33</v>
      </c>
      <c r="AQ172" s="23"/>
      <c r="AR172" s="23"/>
      <c r="AS172" s="23"/>
      <c r="AT172" s="23"/>
      <c r="AU172" s="14" t="str">
        <f>HYPERLINK("http://www.openstreetmap.org/?mlat=34.0687&amp;mlon=42.4044&amp;zoom=12#map=12/34.0687/42.4044","Maplink1")</f>
        <v>Maplink1</v>
      </c>
      <c r="AV172" s="14" t="str">
        <f>HYPERLINK("https://www.google.iq/maps/search/+34.0687,42.4044/@34.0687,42.4044,14z?hl=en","Maplink2")</f>
        <v>Maplink2</v>
      </c>
      <c r="AW172" s="14" t="str">
        <f>HYPERLINK("http://www.bing.com/maps/?lvl=14&amp;sty=h&amp;cp=34.0687~42.4044&amp;sp=point.34.0687_42.4044_Jabeel Bani Salih Village","Maplink3")</f>
        <v>Maplink3</v>
      </c>
    </row>
    <row r="173" spans="1:49" ht="15" customHeight="1" x14ac:dyDescent="0.25">
      <c r="A173" s="21">
        <v>23893</v>
      </c>
      <c r="B173" s="22" t="s">
        <v>9</v>
      </c>
      <c r="C173" s="22" t="s">
        <v>387</v>
      </c>
      <c r="D173" s="22" t="s">
        <v>500</v>
      </c>
      <c r="E173" s="22" t="s">
        <v>501</v>
      </c>
      <c r="F173" s="22">
        <v>34.179744999999997</v>
      </c>
      <c r="G173" s="22">
        <v>42.252032999999997</v>
      </c>
      <c r="H173" s="21" t="s">
        <v>73</v>
      </c>
      <c r="I173" s="21" t="s">
        <v>390</v>
      </c>
      <c r="J173" s="21" t="s">
        <v>502</v>
      </c>
      <c r="K173" s="24">
        <v>183</v>
      </c>
      <c r="L173" s="24">
        <v>1098</v>
      </c>
      <c r="M173" s="23">
        <v>183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96</v>
      </c>
      <c r="AG173" s="23"/>
      <c r="AH173" s="23"/>
      <c r="AI173" s="23"/>
      <c r="AJ173" s="23"/>
      <c r="AK173" s="23">
        <v>87</v>
      </c>
      <c r="AL173" s="23"/>
      <c r="AM173" s="23"/>
      <c r="AN173" s="23"/>
      <c r="AO173" s="23">
        <v>183</v>
      </c>
      <c r="AP173" s="23"/>
      <c r="AQ173" s="23"/>
      <c r="AR173" s="23"/>
      <c r="AS173" s="23"/>
      <c r="AT173" s="23"/>
      <c r="AU173" s="14" t="str">
        <f>HYPERLINK("http://www.openstreetmap.org/?mlat=34.1797&amp;mlon=42.252&amp;zoom=12#map=12/34.1797/42.252","Maplink1")</f>
        <v>Maplink1</v>
      </c>
      <c r="AV173" s="14" t="str">
        <f>HYPERLINK("https://www.google.iq/maps/search/+34.1797,42.252/@34.1797,42.252,14z?hl=en","Maplink2")</f>
        <v>Maplink2</v>
      </c>
      <c r="AW173" s="14" t="str">
        <f>HYPERLINK("http://www.bing.com/maps/?lvl=14&amp;sty=h&amp;cp=34.1797~42.252&amp;sp=point.34.1797_42.252_Qaryat Al khafsa","Maplink3")</f>
        <v>Maplink3</v>
      </c>
    </row>
    <row r="174" spans="1:49" ht="15" customHeight="1" x14ac:dyDescent="0.25">
      <c r="A174" s="21">
        <v>24323</v>
      </c>
      <c r="B174" s="22" t="s">
        <v>9</v>
      </c>
      <c r="C174" s="22" t="s">
        <v>387</v>
      </c>
      <c r="D174" s="22" t="s">
        <v>503</v>
      </c>
      <c r="E174" s="22" t="s">
        <v>504</v>
      </c>
      <c r="F174" s="22">
        <v>34.065240000000003</v>
      </c>
      <c r="G174" s="22">
        <v>42.408788000000001</v>
      </c>
      <c r="H174" s="21" t="s">
        <v>73</v>
      </c>
      <c r="I174" s="21" t="s">
        <v>390</v>
      </c>
      <c r="J174" s="21"/>
      <c r="K174" s="24">
        <v>60</v>
      </c>
      <c r="L174" s="24">
        <v>360</v>
      </c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>
        <v>28</v>
      </c>
      <c r="Z174" s="23"/>
      <c r="AA174" s="23">
        <v>32</v>
      </c>
      <c r="AB174" s="23"/>
      <c r="AC174" s="23"/>
      <c r="AD174" s="23"/>
      <c r="AE174" s="23"/>
      <c r="AF174" s="23">
        <v>60</v>
      </c>
      <c r="AG174" s="23"/>
      <c r="AH174" s="23"/>
      <c r="AI174" s="23"/>
      <c r="AJ174" s="23"/>
      <c r="AK174" s="23"/>
      <c r="AL174" s="23"/>
      <c r="AM174" s="23"/>
      <c r="AN174" s="23"/>
      <c r="AO174" s="23"/>
      <c r="AP174" s="23">
        <v>60</v>
      </c>
      <c r="AQ174" s="23"/>
      <c r="AR174" s="23"/>
      <c r="AS174" s="23"/>
      <c r="AT174" s="23"/>
      <c r="AU174" s="14" t="str">
        <f>HYPERLINK("http://www.openstreetmap.org/?mlat=34.0652&amp;mlon=42.4088&amp;zoom=12#map=12/34.0652/42.4088","Maplink1")</f>
        <v>Maplink1</v>
      </c>
      <c r="AV174" s="14" t="str">
        <f>HYPERLINK("https://www.google.iq/maps/search/+34.0652,42.4088/@34.0652,42.4088,14z?hl=en","Maplink2")</f>
        <v>Maplink2</v>
      </c>
      <c r="AW174" s="14" t="str">
        <f>HYPERLINK("http://www.bing.com/maps/?lvl=14&amp;sty=h&amp;cp=34.0652~42.4088&amp;sp=point.34.0652_42.4088_Shbirah Village","Maplink3")</f>
        <v>Maplink3</v>
      </c>
    </row>
    <row r="175" spans="1:49" ht="15" customHeight="1" x14ac:dyDescent="0.25">
      <c r="A175" s="21">
        <v>23825</v>
      </c>
      <c r="B175" s="22" t="s">
        <v>9</v>
      </c>
      <c r="C175" s="22" t="s">
        <v>387</v>
      </c>
      <c r="D175" s="22" t="s">
        <v>505</v>
      </c>
      <c r="E175" s="22" t="s">
        <v>506</v>
      </c>
      <c r="F175" s="22">
        <v>34.027093999999998</v>
      </c>
      <c r="G175" s="22">
        <v>42.408028999999999</v>
      </c>
      <c r="H175" s="21" t="s">
        <v>73</v>
      </c>
      <c r="I175" s="21" t="s">
        <v>390</v>
      </c>
      <c r="J175" s="21" t="s">
        <v>507</v>
      </c>
      <c r="K175" s="24">
        <v>69</v>
      </c>
      <c r="L175" s="24">
        <v>414</v>
      </c>
      <c r="M175" s="23">
        <v>69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>
        <v>24</v>
      </c>
      <c r="AG175" s="23"/>
      <c r="AH175" s="23"/>
      <c r="AI175" s="23"/>
      <c r="AJ175" s="23"/>
      <c r="AK175" s="23">
        <v>45</v>
      </c>
      <c r="AL175" s="23"/>
      <c r="AM175" s="23"/>
      <c r="AN175" s="23"/>
      <c r="AO175" s="23">
        <v>69</v>
      </c>
      <c r="AP175" s="23"/>
      <c r="AQ175" s="23"/>
      <c r="AR175" s="23"/>
      <c r="AS175" s="23"/>
      <c r="AT175" s="23"/>
      <c r="AU175" s="14" t="str">
        <f>HYPERLINK("http://www.openstreetmap.org/?mlat=34.0271&amp;mlon=42.408&amp;zoom=12#map=12/34.0271/42.408","Maplink1")</f>
        <v>Maplink1</v>
      </c>
      <c r="AV175" s="14" t="str">
        <f>HYPERLINK("https://www.google.iq/maps/search/+34.0271,42.408/@34.0271,42.408,14z?hl=en","Maplink2")</f>
        <v>Maplink2</v>
      </c>
      <c r="AW175" s="14" t="str">
        <f>HYPERLINK("http://www.bing.com/maps/?lvl=14&amp;sty=h&amp;cp=34.0271~42.408&amp;sp=point.34.0271_42.408_Zaghdan","Maplink3")</f>
        <v>Maplink3</v>
      </c>
    </row>
    <row r="176" spans="1:49" ht="15" customHeight="1" x14ac:dyDescent="0.25">
      <c r="A176" s="21">
        <v>100</v>
      </c>
      <c r="B176" s="22" t="s">
        <v>9</v>
      </c>
      <c r="C176" s="22" t="s">
        <v>508</v>
      </c>
      <c r="D176" s="22" t="s">
        <v>509</v>
      </c>
      <c r="E176" s="22" t="s">
        <v>510</v>
      </c>
      <c r="F176" s="22">
        <v>33.508547</v>
      </c>
      <c r="G176" s="22">
        <v>42.963501000000001</v>
      </c>
      <c r="H176" s="21" t="s">
        <v>73</v>
      </c>
      <c r="I176" s="21" t="s">
        <v>511</v>
      </c>
      <c r="J176" s="21" t="s">
        <v>512</v>
      </c>
      <c r="K176" s="24">
        <v>82</v>
      </c>
      <c r="L176" s="24">
        <v>492</v>
      </c>
      <c r="M176" s="23">
        <v>82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>
        <v>29</v>
      </c>
      <c r="AG176" s="23"/>
      <c r="AH176" s="23"/>
      <c r="AI176" s="23"/>
      <c r="AJ176" s="23"/>
      <c r="AK176" s="23"/>
      <c r="AL176" s="23">
        <v>17</v>
      </c>
      <c r="AM176" s="23">
        <v>36</v>
      </c>
      <c r="AN176" s="23"/>
      <c r="AO176" s="23">
        <v>75</v>
      </c>
      <c r="AP176" s="23"/>
      <c r="AQ176" s="23"/>
      <c r="AR176" s="23">
        <v>7</v>
      </c>
      <c r="AS176" s="23"/>
      <c r="AT176" s="23"/>
      <c r="AU176" s="14" t="str">
        <f>HYPERLINK("http://www.openstreetmap.org/?mlat=33.5085&amp;mlon=42.9635&amp;zoom=12#map=12/33.5085/42.9635","Maplink1")</f>
        <v>Maplink1</v>
      </c>
      <c r="AV176" s="14" t="str">
        <f>HYPERLINK("https://www.google.iq/maps/search/+33.5085,42.9635/@33.5085,42.9635,14z?hl=en","Maplink2")</f>
        <v>Maplink2</v>
      </c>
      <c r="AW176" s="14" t="str">
        <f>HYPERLINK("http://www.bing.com/maps/?lvl=14&amp;sty=h&amp;cp=33.5085~42.9635&amp;sp=point.33.5085_42.9635_Abu Tibban","Maplink3")</f>
        <v>Maplink3</v>
      </c>
    </row>
    <row r="177" spans="1:49" ht="15" customHeight="1" x14ac:dyDescent="0.25">
      <c r="A177" s="21">
        <v>24331</v>
      </c>
      <c r="B177" s="22" t="s">
        <v>9</v>
      </c>
      <c r="C177" s="22" t="s">
        <v>508</v>
      </c>
      <c r="D177" s="22" t="s">
        <v>513</v>
      </c>
      <c r="E177" s="22" t="s">
        <v>514</v>
      </c>
      <c r="F177" s="22">
        <v>34.021230000000003</v>
      </c>
      <c r="G177" s="22">
        <v>42.476101</v>
      </c>
      <c r="H177" s="21" t="s">
        <v>73</v>
      </c>
      <c r="I177" s="21" t="s">
        <v>511</v>
      </c>
      <c r="J177" s="21"/>
      <c r="K177" s="24">
        <v>13</v>
      </c>
      <c r="L177" s="24">
        <v>78</v>
      </c>
      <c r="M177" s="23">
        <v>13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>
        <v>13</v>
      </c>
      <c r="AG177" s="23"/>
      <c r="AH177" s="23"/>
      <c r="AI177" s="23"/>
      <c r="AJ177" s="23"/>
      <c r="AK177" s="23"/>
      <c r="AL177" s="23"/>
      <c r="AM177" s="23"/>
      <c r="AN177" s="23"/>
      <c r="AO177" s="23"/>
      <c r="AP177" s="23">
        <v>13</v>
      </c>
      <c r="AQ177" s="23"/>
      <c r="AR177" s="23"/>
      <c r="AS177" s="23"/>
      <c r="AT177" s="23"/>
      <c r="AU177" s="14" t="str">
        <f>HYPERLINK("http://www.openstreetmap.org/?mlat=34.0212&amp;mlon=42.4761&amp;zoom=12#map=12/34.0212/42.4761","Maplink1")</f>
        <v>Maplink1</v>
      </c>
      <c r="AV177" s="14" t="str">
        <f>HYPERLINK("https://www.google.iq/maps/search/+34.0212,42.4761/@34.0212,42.4761,14z?hl=en","Maplink2")</f>
        <v>Maplink2</v>
      </c>
      <c r="AW177" s="14" t="str">
        <f>HYPERLINK("http://www.bing.com/maps/?lvl=14&amp;sty=h&amp;cp=34.0212~42.4761&amp;sp=point.34.0212_42.4761_Al Amrah","Maplink3")</f>
        <v>Maplink3</v>
      </c>
    </row>
    <row r="178" spans="1:49" ht="15" customHeight="1" x14ac:dyDescent="0.25">
      <c r="A178" s="21">
        <v>23828</v>
      </c>
      <c r="B178" s="22" t="s">
        <v>9</v>
      </c>
      <c r="C178" s="22" t="s">
        <v>508</v>
      </c>
      <c r="D178" s="22" t="s">
        <v>515</v>
      </c>
      <c r="E178" s="22" t="s">
        <v>516</v>
      </c>
      <c r="F178" s="22">
        <v>33.642339</v>
      </c>
      <c r="G178" s="22">
        <v>42.596164999999999</v>
      </c>
      <c r="H178" s="21" t="s">
        <v>73</v>
      </c>
      <c r="I178" s="21" t="s">
        <v>511</v>
      </c>
      <c r="J178" s="21" t="s">
        <v>517</v>
      </c>
      <c r="K178" s="24">
        <v>84</v>
      </c>
      <c r="L178" s="24">
        <v>504</v>
      </c>
      <c r="M178" s="23">
        <v>84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23</v>
      </c>
      <c r="AG178" s="23"/>
      <c r="AH178" s="23"/>
      <c r="AI178" s="23"/>
      <c r="AJ178" s="23"/>
      <c r="AK178" s="23"/>
      <c r="AL178" s="23">
        <v>36</v>
      </c>
      <c r="AM178" s="23">
        <v>25</v>
      </c>
      <c r="AN178" s="23"/>
      <c r="AO178" s="23">
        <v>78</v>
      </c>
      <c r="AP178" s="23"/>
      <c r="AQ178" s="23"/>
      <c r="AR178" s="23">
        <v>6</v>
      </c>
      <c r="AS178" s="23"/>
      <c r="AT178" s="23"/>
      <c r="AU178" s="14" t="str">
        <f>HYPERLINK("http://www.openstreetmap.org/?mlat=33.6423&amp;mlon=42.5962&amp;zoom=12#map=12/33.6423/42.5962","Maplink1")</f>
        <v>Maplink1</v>
      </c>
      <c r="AV178" s="14" t="str">
        <f>HYPERLINK("https://www.google.iq/maps/search/+33.6423,42.5962/@33.6423,42.5962,14z?hl=en","Maplink2")</f>
        <v>Maplink2</v>
      </c>
      <c r="AW178" s="14" t="str">
        <f>HYPERLINK("http://www.bing.com/maps/?lvl=14&amp;sty=h&amp;cp=33.6423~42.5962&amp;sp=point.33.6423_42.5962_Al Awasel","Maplink3")</f>
        <v>Maplink3</v>
      </c>
    </row>
    <row r="179" spans="1:49" ht="15" customHeight="1" x14ac:dyDescent="0.25">
      <c r="A179" s="21">
        <v>163</v>
      </c>
      <c r="B179" s="22" t="s">
        <v>9</v>
      </c>
      <c r="C179" s="22" t="s">
        <v>508</v>
      </c>
      <c r="D179" s="22" t="s">
        <v>518</v>
      </c>
      <c r="E179" s="22" t="s">
        <v>519</v>
      </c>
      <c r="F179" s="22">
        <v>33.649721</v>
      </c>
      <c r="G179" s="22">
        <v>42.829619000000001</v>
      </c>
      <c r="H179" s="21" t="s">
        <v>73</v>
      </c>
      <c r="I179" s="21" t="s">
        <v>511</v>
      </c>
      <c r="J179" s="21" t="s">
        <v>520</v>
      </c>
      <c r="K179" s="24">
        <v>851</v>
      </c>
      <c r="L179" s="24">
        <v>5106</v>
      </c>
      <c r="M179" s="23">
        <v>786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>
        <v>65</v>
      </c>
      <c r="AB179" s="23"/>
      <c r="AC179" s="23"/>
      <c r="AD179" s="23"/>
      <c r="AE179" s="23"/>
      <c r="AF179" s="23">
        <v>683</v>
      </c>
      <c r="AG179" s="23"/>
      <c r="AH179" s="23"/>
      <c r="AI179" s="23"/>
      <c r="AJ179" s="23"/>
      <c r="AK179" s="23">
        <v>78</v>
      </c>
      <c r="AL179" s="23"/>
      <c r="AM179" s="23">
        <v>90</v>
      </c>
      <c r="AN179" s="23"/>
      <c r="AO179" s="23">
        <v>693</v>
      </c>
      <c r="AP179" s="23">
        <v>65</v>
      </c>
      <c r="AQ179" s="23"/>
      <c r="AR179" s="23"/>
      <c r="AS179" s="23">
        <v>93</v>
      </c>
      <c r="AT179" s="23"/>
      <c r="AU179" s="14" t="str">
        <f>HYPERLINK("http://www.openstreetmap.org/?mlat=33.6497&amp;mlon=42.8296&amp;zoom=12#map=12/33.6497/42.8296","Maplink1")</f>
        <v>Maplink1</v>
      </c>
      <c r="AV179" s="14" t="str">
        <f>HYPERLINK("https://www.google.iq/maps/search/+33.6497,42.8296/@33.6497,42.8296,14z?hl=en","Maplink2")</f>
        <v>Maplink2</v>
      </c>
      <c r="AW179" s="14" t="str">
        <f>HYPERLINK("http://www.bing.com/maps/?lvl=14&amp;sty=h&amp;cp=33.6497~42.8296&amp;sp=point.33.6497_42.8296_Al Baker","Maplink3")</f>
        <v>Maplink3</v>
      </c>
    </row>
    <row r="180" spans="1:49" ht="15" customHeight="1" x14ac:dyDescent="0.25">
      <c r="A180" s="21">
        <v>24723</v>
      </c>
      <c r="B180" s="22" t="s">
        <v>9</v>
      </c>
      <c r="C180" s="22" t="s">
        <v>508</v>
      </c>
      <c r="D180" s="22" t="s">
        <v>521</v>
      </c>
      <c r="E180" s="22" t="s">
        <v>522</v>
      </c>
      <c r="F180" s="22">
        <v>33.665629000000003</v>
      </c>
      <c r="G180" s="22">
        <v>42.847448999999997</v>
      </c>
      <c r="H180" s="21" t="s">
        <v>73</v>
      </c>
      <c r="I180" s="21" t="s">
        <v>511</v>
      </c>
      <c r="J180" s="21"/>
      <c r="K180" s="24">
        <v>22</v>
      </c>
      <c r="L180" s="24">
        <v>132</v>
      </c>
      <c r="M180" s="23">
        <v>22</v>
      </c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>
        <v>22</v>
      </c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>
        <v>22</v>
      </c>
      <c r="AT180" s="23"/>
      <c r="AU180" s="14" t="str">
        <f>HYPERLINK("http://www.openstreetmap.org/?mlat=33.6656&amp;mlon=42.8474&amp;zoom=12#map=12/33.6656/42.8474","Maplink1")</f>
        <v>Maplink1</v>
      </c>
      <c r="AV180" s="14" t="str">
        <f>HYPERLINK("https://www.google.iq/maps/search/+33.6656,42.8474/@33.6656,42.8474,14z?hl=en","Maplink2")</f>
        <v>Maplink2</v>
      </c>
      <c r="AW180" s="14" t="str">
        <f>HYPERLINK("http://www.bing.com/maps/?lvl=14&amp;sty=h&amp;cp=33.6656~42.8474&amp;sp=point.33.6656_42.8474_Al Balatiyah","Maplink3")</f>
        <v>Maplink3</v>
      </c>
    </row>
    <row r="181" spans="1:49" ht="15" customHeight="1" x14ac:dyDescent="0.25">
      <c r="A181" s="21">
        <v>24724</v>
      </c>
      <c r="B181" s="22" t="s">
        <v>9</v>
      </c>
      <c r="C181" s="22" t="s">
        <v>508</v>
      </c>
      <c r="D181" s="22" t="s">
        <v>523</v>
      </c>
      <c r="E181" s="22" t="s">
        <v>524</v>
      </c>
      <c r="F181" s="22">
        <v>33.639006000000002</v>
      </c>
      <c r="G181" s="22">
        <v>42.830587999999999</v>
      </c>
      <c r="H181" s="21" t="s">
        <v>73</v>
      </c>
      <c r="I181" s="21" t="s">
        <v>511</v>
      </c>
      <c r="J181" s="21"/>
      <c r="K181" s="24">
        <v>45</v>
      </c>
      <c r="L181" s="24">
        <v>270</v>
      </c>
      <c r="M181" s="23">
        <v>45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33</v>
      </c>
      <c r="AG181" s="23"/>
      <c r="AH181" s="23"/>
      <c r="AI181" s="23"/>
      <c r="AJ181" s="23"/>
      <c r="AK181" s="23"/>
      <c r="AL181" s="23">
        <v>12</v>
      </c>
      <c r="AM181" s="23"/>
      <c r="AN181" s="23"/>
      <c r="AO181" s="23"/>
      <c r="AP181" s="23"/>
      <c r="AQ181" s="23"/>
      <c r="AR181" s="23">
        <v>45</v>
      </c>
      <c r="AS181" s="23"/>
      <c r="AT181" s="23"/>
      <c r="AU181" s="14" t="str">
        <f>HYPERLINK("http://www.openstreetmap.org/?mlat=33.639&amp;mlon=42.8306&amp;zoom=12#map=12/33.639/42.8306","Maplink1")</f>
        <v>Maplink1</v>
      </c>
      <c r="AV181" s="14" t="str">
        <f>HYPERLINK("https://www.google.iq/maps/search/+33.639,42.8306/@33.639,42.8306,14z?hl=en","Maplink2")</f>
        <v>Maplink2</v>
      </c>
      <c r="AW181" s="14" t="str">
        <f>HYPERLINK("http://www.bing.com/maps/?lvl=14&amp;sty=h&amp;cp=33.639~42.8306&amp;sp=point.33.639_42.8306_Al dawarah Al Gharbiyah","Maplink3")</f>
        <v>Maplink3</v>
      </c>
    </row>
    <row r="182" spans="1:49" ht="15" customHeight="1" x14ac:dyDescent="0.25">
      <c r="A182" s="21">
        <v>24327</v>
      </c>
      <c r="B182" s="22" t="s">
        <v>9</v>
      </c>
      <c r="C182" s="22" t="s">
        <v>508</v>
      </c>
      <c r="D182" s="22" t="s">
        <v>525</v>
      </c>
      <c r="E182" s="22" t="s">
        <v>526</v>
      </c>
      <c r="F182" s="22">
        <v>33.781981999999999</v>
      </c>
      <c r="G182" s="22">
        <v>42.732874000000002</v>
      </c>
      <c r="H182" s="21" t="s">
        <v>73</v>
      </c>
      <c r="I182" s="21" t="s">
        <v>511</v>
      </c>
      <c r="J182" s="21"/>
      <c r="K182" s="24">
        <v>8</v>
      </c>
      <c r="L182" s="24">
        <v>48</v>
      </c>
      <c r="M182" s="23">
        <v>8</v>
      </c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>
        <v>8</v>
      </c>
      <c r="AG182" s="23"/>
      <c r="AH182" s="23"/>
      <c r="AI182" s="23"/>
      <c r="AJ182" s="23"/>
      <c r="AK182" s="23"/>
      <c r="AL182" s="23"/>
      <c r="AM182" s="23"/>
      <c r="AN182" s="23"/>
      <c r="AO182" s="23"/>
      <c r="AP182" s="23">
        <v>8</v>
      </c>
      <c r="AQ182" s="23"/>
      <c r="AR182" s="23"/>
      <c r="AS182" s="23"/>
      <c r="AT182" s="23"/>
      <c r="AU182" s="14" t="str">
        <f>HYPERLINK("http://www.openstreetmap.org/?mlat=33.782&amp;mlon=42.7329&amp;zoom=12#map=12/33.782/42.7329","Maplink1")</f>
        <v>Maplink1</v>
      </c>
      <c r="AV182" s="14" t="str">
        <f>HYPERLINK("https://www.google.iq/maps/search/+33.782,42.7329/@33.782,42.7329,14z?hl=en","Maplink2")</f>
        <v>Maplink2</v>
      </c>
      <c r="AW182" s="14" t="str">
        <f>HYPERLINK("http://www.bing.com/maps/?lvl=14&amp;sty=h&amp;cp=33.782~42.7329&amp;sp=point.33.782_42.7329_Al Hitan","Maplink3")</f>
        <v>Maplink3</v>
      </c>
    </row>
    <row r="183" spans="1:49" ht="15" customHeight="1" x14ac:dyDescent="0.25">
      <c r="A183" s="21">
        <v>24727</v>
      </c>
      <c r="B183" s="22" t="s">
        <v>9</v>
      </c>
      <c r="C183" s="22" t="s">
        <v>508</v>
      </c>
      <c r="D183" s="22" t="s">
        <v>527</v>
      </c>
      <c r="E183" s="22" t="s">
        <v>528</v>
      </c>
      <c r="F183" s="22">
        <v>33.703783999999999</v>
      </c>
      <c r="G183" s="22">
        <v>42.764259000000003</v>
      </c>
      <c r="H183" s="21" t="s">
        <v>73</v>
      </c>
      <c r="I183" s="21" t="s">
        <v>511</v>
      </c>
      <c r="J183" s="21"/>
      <c r="K183" s="24">
        <v>61</v>
      </c>
      <c r="L183" s="24">
        <v>366</v>
      </c>
      <c r="M183" s="23">
        <v>61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61</v>
      </c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>
        <v>41</v>
      </c>
      <c r="AS183" s="23">
        <v>20</v>
      </c>
      <c r="AT183" s="23"/>
      <c r="AU183" s="14" t="str">
        <f>HYPERLINK("http://www.openstreetmap.org/?mlat=33.7038&amp;mlon=42.7643&amp;zoom=12#map=12/33.7038/42.7643","Maplink1")</f>
        <v>Maplink1</v>
      </c>
      <c r="AV183" s="14" t="str">
        <f>HYPERLINK("https://www.google.iq/maps/search/+33.7038,42.7643/@33.7038,42.7643,14z?hl=en","Maplink2")</f>
        <v>Maplink2</v>
      </c>
      <c r="AW183" s="14" t="str">
        <f>HYPERLINK("http://www.bing.com/maps/?lvl=14&amp;sty=h&amp;cp=33.7038~42.7643&amp;sp=point.33.7038_42.7643_Al Jaladiyah","Maplink3")</f>
        <v>Maplink3</v>
      </c>
    </row>
    <row r="184" spans="1:49" ht="15" customHeight="1" x14ac:dyDescent="0.25">
      <c r="A184" s="21">
        <v>24728</v>
      </c>
      <c r="B184" s="22" t="s">
        <v>9</v>
      </c>
      <c r="C184" s="22" t="s">
        <v>508</v>
      </c>
      <c r="D184" s="22" t="s">
        <v>529</v>
      </c>
      <c r="E184" s="22" t="s">
        <v>530</v>
      </c>
      <c r="F184" s="22">
        <v>33.629925999999998</v>
      </c>
      <c r="G184" s="22">
        <v>42.797578999999999</v>
      </c>
      <c r="H184" s="21" t="s">
        <v>73</v>
      </c>
      <c r="I184" s="21" t="s">
        <v>511</v>
      </c>
      <c r="J184" s="21"/>
      <c r="K184" s="24">
        <v>23</v>
      </c>
      <c r="L184" s="24">
        <v>138</v>
      </c>
      <c r="M184" s="23">
        <v>23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8</v>
      </c>
      <c r="AG184" s="23"/>
      <c r="AH184" s="23"/>
      <c r="AI184" s="23"/>
      <c r="AJ184" s="23"/>
      <c r="AK184" s="23">
        <v>15</v>
      </c>
      <c r="AL184" s="23"/>
      <c r="AM184" s="23"/>
      <c r="AN184" s="23"/>
      <c r="AO184" s="23"/>
      <c r="AP184" s="23"/>
      <c r="AQ184" s="23"/>
      <c r="AR184" s="23">
        <v>23</v>
      </c>
      <c r="AS184" s="23"/>
      <c r="AT184" s="23"/>
      <c r="AU184" s="14" t="str">
        <f>HYPERLINK("http://www.openstreetmap.org/?mlat=33.6299&amp;mlon=42.7976&amp;zoom=12#map=12/33.6299/42.7976","Maplink1")</f>
        <v>Maplink1</v>
      </c>
      <c r="AV184" s="14" t="str">
        <f>HYPERLINK("https://www.google.iq/maps/search/+33.6299,42.7976/@33.6299,42.7976,14z?hl=en","Maplink2")</f>
        <v>Maplink2</v>
      </c>
      <c r="AW184" s="14" t="str">
        <f>HYPERLINK("http://www.bing.com/maps/?lvl=14&amp;sty=h&amp;cp=33.6299~42.7976&amp;sp=point.33.6299_42.7976_Al Jarorah","Maplink3")</f>
        <v>Maplink3</v>
      </c>
    </row>
    <row r="185" spans="1:49" ht="15" customHeight="1" x14ac:dyDescent="0.25">
      <c r="A185" s="21">
        <v>24325</v>
      </c>
      <c r="B185" s="22" t="s">
        <v>9</v>
      </c>
      <c r="C185" s="22" t="s">
        <v>508</v>
      </c>
      <c r="D185" s="22" t="s">
        <v>531</v>
      </c>
      <c r="E185" s="22" t="s">
        <v>532</v>
      </c>
      <c r="F185" s="22">
        <v>33.902137000000003</v>
      </c>
      <c r="G185" s="22">
        <v>42.573295000000002</v>
      </c>
      <c r="H185" s="21" t="s">
        <v>73</v>
      </c>
      <c r="I185" s="21" t="s">
        <v>511</v>
      </c>
      <c r="J185" s="21"/>
      <c r="K185" s="24">
        <v>33</v>
      </c>
      <c r="L185" s="24">
        <v>198</v>
      </c>
      <c r="M185" s="23">
        <v>33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33</v>
      </c>
      <c r="AG185" s="23"/>
      <c r="AH185" s="23"/>
      <c r="AI185" s="23"/>
      <c r="AJ185" s="23"/>
      <c r="AK185" s="23"/>
      <c r="AL185" s="23"/>
      <c r="AM185" s="23"/>
      <c r="AN185" s="23"/>
      <c r="AO185" s="23"/>
      <c r="AP185" s="23">
        <v>33</v>
      </c>
      <c r="AQ185" s="23"/>
      <c r="AR185" s="23"/>
      <c r="AS185" s="23"/>
      <c r="AT185" s="23"/>
      <c r="AU185" s="14" t="str">
        <f>HYPERLINK("http://www.openstreetmap.org/?mlat=33.9021&amp;mlon=42.5733&amp;zoom=12#map=12/33.9021/42.5733","Maplink1")</f>
        <v>Maplink1</v>
      </c>
      <c r="AV185" s="14" t="str">
        <f>HYPERLINK("https://www.google.iq/maps/search/+33.9021,42.5733/@33.9021,42.5733,14z?hl=en","Maplink2")</f>
        <v>Maplink2</v>
      </c>
      <c r="AW185" s="14" t="str">
        <f>HYPERLINK("http://www.bing.com/maps/?lvl=14&amp;sty=h&amp;cp=33.9021~42.5733&amp;sp=point.33.9021_42.5733_Al Jazerah","Maplink3")</f>
        <v>Maplink3</v>
      </c>
    </row>
    <row r="186" spans="1:49" ht="15" customHeight="1" x14ac:dyDescent="0.25">
      <c r="A186" s="21">
        <v>23830</v>
      </c>
      <c r="B186" s="22" t="s">
        <v>9</v>
      </c>
      <c r="C186" s="22" t="s">
        <v>508</v>
      </c>
      <c r="D186" s="22" t="s">
        <v>533</v>
      </c>
      <c r="E186" s="22" t="s">
        <v>534</v>
      </c>
      <c r="F186" s="22">
        <v>33.603279000000001</v>
      </c>
      <c r="G186" s="22">
        <v>42.870421</v>
      </c>
      <c r="H186" s="21" t="s">
        <v>73</v>
      </c>
      <c r="I186" s="21" t="s">
        <v>511</v>
      </c>
      <c r="J186" s="21" t="s">
        <v>535</v>
      </c>
      <c r="K186" s="24">
        <v>147</v>
      </c>
      <c r="L186" s="24">
        <v>882</v>
      </c>
      <c r="M186" s="23">
        <v>147</v>
      </c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103</v>
      </c>
      <c r="AG186" s="23"/>
      <c r="AH186" s="23"/>
      <c r="AI186" s="23"/>
      <c r="AJ186" s="23"/>
      <c r="AK186" s="23"/>
      <c r="AL186" s="23"/>
      <c r="AM186" s="23">
        <v>44</v>
      </c>
      <c r="AN186" s="23"/>
      <c r="AO186" s="23">
        <v>126</v>
      </c>
      <c r="AP186" s="23"/>
      <c r="AQ186" s="23"/>
      <c r="AR186" s="23">
        <v>21</v>
      </c>
      <c r="AS186" s="23"/>
      <c r="AT186" s="23"/>
      <c r="AU186" s="14" t="str">
        <f>HYPERLINK("http://www.openstreetmap.org/?mlat=33.6033&amp;mlon=42.8704&amp;zoom=12#map=12/33.6033/42.8704","Maplink1")</f>
        <v>Maplink1</v>
      </c>
      <c r="AV186" s="14" t="str">
        <f>HYPERLINK("https://www.google.iq/maps/search/+33.6033,42.8704/@33.6033,42.8704,14z?hl=en","Maplink2")</f>
        <v>Maplink2</v>
      </c>
      <c r="AW186" s="14" t="str">
        <f>HYPERLINK("http://www.bing.com/maps/?lvl=14&amp;sty=h&amp;cp=33.6033~42.8704&amp;sp=point.33.6033_42.8704_Al Khudha","Maplink3")</f>
        <v>Maplink3</v>
      </c>
    </row>
    <row r="187" spans="1:49" ht="15" customHeight="1" x14ac:dyDescent="0.25">
      <c r="A187" s="21">
        <v>152</v>
      </c>
      <c r="B187" s="22" t="s">
        <v>9</v>
      </c>
      <c r="C187" s="22" t="s">
        <v>508</v>
      </c>
      <c r="D187" s="22" t="s">
        <v>536</v>
      </c>
      <c r="E187" s="22" t="s">
        <v>537</v>
      </c>
      <c r="F187" s="22">
        <v>33.552554999999998</v>
      </c>
      <c r="G187" s="22">
        <v>42.901504000000003</v>
      </c>
      <c r="H187" s="21" t="s">
        <v>73</v>
      </c>
      <c r="I187" s="21" t="s">
        <v>511</v>
      </c>
      <c r="J187" s="21" t="s">
        <v>538</v>
      </c>
      <c r="K187" s="24">
        <v>471</v>
      </c>
      <c r="L187" s="24">
        <v>2826</v>
      </c>
      <c r="M187" s="23">
        <v>471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>
        <v>370</v>
      </c>
      <c r="AG187" s="23"/>
      <c r="AH187" s="23">
        <v>12</v>
      </c>
      <c r="AI187" s="23"/>
      <c r="AJ187" s="23"/>
      <c r="AK187" s="23">
        <v>30</v>
      </c>
      <c r="AL187" s="23">
        <v>7</v>
      </c>
      <c r="AM187" s="23">
        <v>52</v>
      </c>
      <c r="AN187" s="23"/>
      <c r="AO187" s="23">
        <v>460</v>
      </c>
      <c r="AP187" s="23"/>
      <c r="AQ187" s="23"/>
      <c r="AR187" s="23">
        <v>11</v>
      </c>
      <c r="AS187" s="23"/>
      <c r="AT187" s="23"/>
      <c r="AU187" s="14" t="str">
        <f>HYPERLINK("http://www.openstreetmap.org/?mlat=33.5526&amp;mlon=42.9015&amp;zoom=12#map=12/33.5526/42.9015","Maplink1")</f>
        <v>Maplink1</v>
      </c>
      <c r="AV187" s="14" t="str">
        <f>HYPERLINK("https://www.google.iq/maps/search/+33.5526,42.9015/@33.5526,42.9015,14z?hl=en","Maplink2")</f>
        <v>Maplink2</v>
      </c>
      <c r="AW187" s="14" t="str">
        <f>HYPERLINK("http://www.bing.com/maps/?lvl=14&amp;sty=h&amp;cp=33.5526~42.9015&amp;sp=point.33.5526_42.9015_Al Muhamdee","Maplink3")</f>
        <v>Maplink3</v>
      </c>
    </row>
    <row r="188" spans="1:49" ht="15" customHeight="1" x14ac:dyDescent="0.25">
      <c r="A188" s="21">
        <v>24330</v>
      </c>
      <c r="B188" s="22" t="s">
        <v>9</v>
      </c>
      <c r="C188" s="22" t="s">
        <v>508</v>
      </c>
      <c r="D188" s="22" t="s">
        <v>539</v>
      </c>
      <c r="E188" s="22" t="s">
        <v>540</v>
      </c>
      <c r="F188" s="22">
        <v>33.746754000000003</v>
      </c>
      <c r="G188" s="22">
        <v>42.745072999999998</v>
      </c>
      <c r="H188" s="21" t="s">
        <v>73</v>
      </c>
      <c r="I188" s="21" t="s">
        <v>511</v>
      </c>
      <c r="J188" s="21"/>
      <c r="K188" s="24">
        <v>14</v>
      </c>
      <c r="L188" s="24">
        <v>84</v>
      </c>
      <c r="M188" s="23">
        <v>14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14</v>
      </c>
      <c r="AG188" s="23"/>
      <c r="AH188" s="23"/>
      <c r="AI188" s="23"/>
      <c r="AJ188" s="23"/>
      <c r="AK188" s="23"/>
      <c r="AL188" s="23"/>
      <c r="AM188" s="23"/>
      <c r="AN188" s="23"/>
      <c r="AO188" s="23"/>
      <c r="AP188" s="23">
        <v>14</v>
      </c>
      <c r="AQ188" s="23"/>
      <c r="AR188" s="23"/>
      <c r="AS188" s="23"/>
      <c r="AT188" s="23"/>
      <c r="AU188" s="14" t="str">
        <f>HYPERLINK("http://www.openstreetmap.org/?mlat=33.7468&amp;mlon=42.7451&amp;zoom=12#map=12/33.7468/42.7451","Maplink1")</f>
        <v>Maplink1</v>
      </c>
      <c r="AV188" s="14" t="str">
        <f>HYPERLINK("https://www.google.iq/maps/search/+33.7468,42.7451/@33.7468,42.7451,14z?hl=en","Maplink2")</f>
        <v>Maplink2</v>
      </c>
      <c r="AW188" s="14" t="str">
        <f>HYPERLINK("http://www.bing.com/maps/?lvl=14&amp;sty=h&amp;cp=33.7468~42.7451&amp;sp=point.33.7468_42.7451_Al Sadan","Maplink3")</f>
        <v>Maplink3</v>
      </c>
    </row>
    <row r="189" spans="1:49" ht="15" customHeight="1" x14ac:dyDescent="0.25">
      <c r="A189" s="21">
        <v>24113</v>
      </c>
      <c r="B189" s="22" t="s">
        <v>9</v>
      </c>
      <c r="C189" s="22" t="s">
        <v>508</v>
      </c>
      <c r="D189" s="22" t="s">
        <v>541</v>
      </c>
      <c r="E189" s="22" t="s">
        <v>542</v>
      </c>
      <c r="F189" s="22">
        <v>33.641776</v>
      </c>
      <c r="G189" s="22">
        <v>42.827755000000003</v>
      </c>
      <c r="H189" s="21" t="s">
        <v>73</v>
      </c>
      <c r="I189" s="21" t="s">
        <v>511</v>
      </c>
      <c r="J189" s="21" t="s">
        <v>543</v>
      </c>
      <c r="K189" s="24">
        <v>54</v>
      </c>
      <c r="L189" s="24">
        <v>324</v>
      </c>
      <c r="M189" s="23">
        <v>54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45</v>
      </c>
      <c r="AG189" s="23"/>
      <c r="AH189" s="23"/>
      <c r="AI189" s="23"/>
      <c r="AJ189" s="23"/>
      <c r="AK189" s="23">
        <v>9</v>
      </c>
      <c r="AL189" s="23"/>
      <c r="AM189" s="23"/>
      <c r="AN189" s="23"/>
      <c r="AO189" s="23">
        <v>30</v>
      </c>
      <c r="AP189" s="23"/>
      <c r="AQ189" s="23"/>
      <c r="AR189" s="23"/>
      <c r="AS189" s="23">
        <v>24</v>
      </c>
      <c r="AT189" s="23"/>
      <c r="AU189" s="14" t="str">
        <f>HYPERLINK("http://www.openstreetmap.org/?mlat=33.6418&amp;mlon=42.8278&amp;zoom=12#map=12/33.6418/42.8278","Maplink1")</f>
        <v>Maplink1</v>
      </c>
      <c r="AV189" s="14" t="str">
        <f>HYPERLINK("https://www.google.iq/maps/search/+33.6418,42.8278/@33.6418,42.8278,14z?hl=en","Maplink2")</f>
        <v>Maplink2</v>
      </c>
      <c r="AW189" s="14" t="str">
        <f>HYPERLINK("http://www.bing.com/maps/?lvl=14&amp;sty=h&amp;cp=33.6418~42.8278&amp;sp=point.33.6418_42.8278_Al Salkah","Maplink3")</f>
        <v>Maplink3</v>
      </c>
    </row>
    <row r="190" spans="1:49" ht="15" customHeight="1" x14ac:dyDescent="0.25">
      <c r="A190" s="21">
        <v>24329</v>
      </c>
      <c r="B190" s="22" t="s">
        <v>9</v>
      </c>
      <c r="C190" s="22" t="s">
        <v>508</v>
      </c>
      <c r="D190" s="22" t="s">
        <v>544</v>
      </c>
      <c r="E190" s="22" t="s">
        <v>545</v>
      </c>
      <c r="F190" s="22">
        <v>33.732866000000001</v>
      </c>
      <c r="G190" s="22">
        <v>42.716144</v>
      </c>
      <c r="H190" s="21" t="s">
        <v>73</v>
      </c>
      <c r="I190" s="21" t="s">
        <v>511</v>
      </c>
      <c r="J190" s="21"/>
      <c r="K190" s="24">
        <v>48</v>
      </c>
      <c r="L190" s="24">
        <v>288</v>
      </c>
      <c r="M190" s="23">
        <v>48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48</v>
      </c>
      <c r="AG190" s="23"/>
      <c r="AH190" s="23"/>
      <c r="AI190" s="23"/>
      <c r="AJ190" s="23"/>
      <c r="AK190" s="23"/>
      <c r="AL190" s="23"/>
      <c r="AM190" s="23"/>
      <c r="AN190" s="23"/>
      <c r="AO190" s="23"/>
      <c r="AP190" s="23">
        <v>40</v>
      </c>
      <c r="AQ190" s="23"/>
      <c r="AR190" s="23">
        <v>8</v>
      </c>
      <c r="AS190" s="23"/>
      <c r="AT190" s="23"/>
      <c r="AU190" s="14" t="str">
        <f>HYPERLINK("http://www.openstreetmap.org/?mlat=33.7329&amp;mlon=42.7161&amp;zoom=12#map=12/33.7329/42.7161","Maplink1")</f>
        <v>Maplink1</v>
      </c>
      <c r="AV190" s="14" t="str">
        <f>HYPERLINK("https://www.google.iq/maps/search/+33.7329,42.7161/@33.7329,42.7161,14z?hl=en","Maplink2")</f>
        <v>Maplink2</v>
      </c>
      <c r="AW190" s="14" t="str">
        <f>HYPERLINK("http://www.bing.com/maps/?lvl=14&amp;sty=h&amp;cp=33.7329~42.7161&amp;sp=point.33.7329_42.7161_Al Sardiyah","Maplink3")</f>
        <v>Maplink3</v>
      </c>
    </row>
    <row r="191" spans="1:49" ht="15" customHeight="1" x14ac:dyDescent="0.25">
      <c r="A191" s="21">
        <v>24114</v>
      </c>
      <c r="B191" s="22" t="s">
        <v>9</v>
      </c>
      <c r="C191" s="22" t="s">
        <v>508</v>
      </c>
      <c r="D191" s="22" t="s">
        <v>546</v>
      </c>
      <c r="E191" s="22" t="s">
        <v>547</v>
      </c>
      <c r="F191" s="22">
        <v>33.593634000000002</v>
      </c>
      <c r="G191" s="22">
        <v>42.614089</v>
      </c>
      <c r="H191" s="21" t="s">
        <v>73</v>
      </c>
      <c r="I191" s="21" t="s">
        <v>511</v>
      </c>
      <c r="J191" s="21" t="s">
        <v>548</v>
      </c>
      <c r="K191" s="24">
        <v>250</v>
      </c>
      <c r="L191" s="24">
        <v>1500</v>
      </c>
      <c r="M191" s="23">
        <v>250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250</v>
      </c>
      <c r="AG191" s="23"/>
      <c r="AH191" s="23"/>
      <c r="AI191" s="23"/>
      <c r="AJ191" s="23"/>
      <c r="AK191" s="23"/>
      <c r="AL191" s="23"/>
      <c r="AM191" s="23"/>
      <c r="AN191" s="23"/>
      <c r="AO191" s="23">
        <v>250</v>
      </c>
      <c r="AP191" s="23"/>
      <c r="AQ191" s="23"/>
      <c r="AR191" s="23"/>
      <c r="AS191" s="23"/>
      <c r="AT191" s="23"/>
      <c r="AU191" s="14" t="str">
        <f>HYPERLINK("http://www.openstreetmap.org/?mlat=33.5936&amp;mlon=42.6141&amp;zoom=12#map=12/33.5936/42.6141","Maplink1")</f>
        <v>Maplink1</v>
      </c>
      <c r="AV191" s="14" t="str">
        <f>HYPERLINK("https://www.google.iq/maps/search/+33.5936,42.6141/@33.5936,42.6141,14z?hl=en","Maplink2")</f>
        <v>Maplink2</v>
      </c>
      <c r="AW191" s="14" t="str">
        <f>HYPERLINK("http://www.bing.com/maps/?lvl=14&amp;sty=h&amp;cp=33.5936~42.6141&amp;sp=point.33.5936_42.6141_Al Shuqaq","Maplink3")</f>
        <v>Maplink3</v>
      </c>
    </row>
    <row r="192" spans="1:49" ht="15" customHeight="1" x14ac:dyDescent="0.25">
      <c r="A192" s="21">
        <v>24332</v>
      </c>
      <c r="B192" s="22" t="s">
        <v>9</v>
      </c>
      <c r="C192" s="22" t="s">
        <v>508</v>
      </c>
      <c r="D192" s="22" t="s">
        <v>549</v>
      </c>
      <c r="E192" s="22" t="s">
        <v>550</v>
      </c>
      <c r="F192" s="22">
        <v>33.544415999999998</v>
      </c>
      <c r="G192" s="22">
        <v>43.004027999999998</v>
      </c>
      <c r="H192" s="21" t="s">
        <v>73</v>
      </c>
      <c r="I192" s="21" t="s">
        <v>511</v>
      </c>
      <c r="J192" s="21"/>
      <c r="K192" s="24">
        <v>52</v>
      </c>
      <c r="L192" s="24">
        <v>312</v>
      </c>
      <c r="M192" s="23">
        <v>52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52</v>
      </c>
      <c r="AG192" s="23"/>
      <c r="AH192" s="23"/>
      <c r="AI192" s="23"/>
      <c r="AJ192" s="23"/>
      <c r="AK192" s="23"/>
      <c r="AL192" s="23"/>
      <c r="AM192" s="23"/>
      <c r="AN192" s="23"/>
      <c r="AO192" s="23"/>
      <c r="AP192" s="23">
        <v>52</v>
      </c>
      <c r="AQ192" s="23"/>
      <c r="AR192" s="23"/>
      <c r="AS192" s="23"/>
      <c r="AT192" s="23"/>
      <c r="AU192" s="14" t="str">
        <f>HYPERLINK("http://www.openstreetmap.org/?mlat=33.5444&amp;mlon=43.004&amp;zoom=12#map=12/33.5444/43.004","Maplink1")</f>
        <v>Maplink1</v>
      </c>
      <c r="AV192" s="14" t="str">
        <f>HYPERLINK("https://www.google.iq/maps/search/+33.5444,43.004/@33.5444,43.004,14z?hl=en","Maplink2")</f>
        <v>Maplink2</v>
      </c>
      <c r="AW192" s="14" t="str">
        <f>HYPERLINK("http://www.bing.com/maps/?lvl=14&amp;sty=h&amp;cp=33.5444~43.004&amp;sp=point.33.5444_43.004_Al Wafaa","Maplink3")</f>
        <v>Maplink3</v>
      </c>
    </row>
    <row r="193" spans="1:49" ht="15" customHeight="1" x14ac:dyDescent="0.25">
      <c r="A193" s="21">
        <v>23845</v>
      </c>
      <c r="B193" s="22" t="s">
        <v>9</v>
      </c>
      <c r="C193" s="22" t="s">
        <v>508</v>
      </c>
      <c r="D193" s="22" t="s">
        <v>551</v>
      </c>
      <c r="E193" s="22" t="s">
        <v>552</v>
      </c>
      <c r="F193" s="22">
        <v>33.886941</v>
      </c>
      <c r="G193" s="22">
        <v>42.696271000000003</v>
      </c>
      <c r="H193" s="21" t="s">
        <v>73</v>
      </c>
      <c r="I193" s="21" t="s">
        <v>511</v>
      </c>
      <c r="J193" s="21" t="s">
        <v>553</v>
      </c>
      <c r="K193" s="24">
        <v>17</v>
      </c>
      <c r="L193" s="24">
        <v>102</v>
      </c>
      <c r="M193" s="23">
        <v>17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13</v>
      </c>
      <c r="AG193" s="23"/>
      <c r="AH193" s="23"/>
      <c r="AI193" s="23"/>
      <c r="AJ193" s="23"/>
      <c r="AK193" s="23"/>
      <c r="AL193" s="23"/>
      <c r="AM193" s="23">
        <v>4</v>
      </c>
      <c r="AN193" s="23"/>
      <c r="AO193" s="23">
        <v>17</v>
      </c>
      <c r="AP193" s="23"/>
      <c r="AQ193" s="23"/>
      <c r="AR193" s="23"/>
      <c r="AS193" s="23"/>
      <c r="AT193" s="23"/>
      <c r="AU193" s="14" t="str">
        <f>HYPERLINK("http://www.openstreetmap.org/?mlat=33.8869&amp;mlon=42.6963&amp;zoom=12#map=12/33.8869/42.6963","Maplink1")</f>
        <v>Maplink1</v>
      </c>
      <c r="AV193" s="14" t="str">
        <f>HYPERLINK("https://www.google.iq/maps/search/+33.8869,42.6963/@33.8869,42.6963,14z?hl=en","Maplink2")</f>
        <v>Maplink2</v>
      </c>
      <c r="AW193" s="14" t="str">
        <f>HYPERLINK("http://www.bing.com/maps/?lvl=14&amp;sty=h&amp;cp=33.8869~42.6963&amp;sp=point.33.8869_42.6963_Al-Aliyah","Maplink3")</f>
        <v>Maplink3</v>
      </c>
    </row>
    <row r="194" spans="1:49" ht="15" customHeight="1" x14ac:dyDescent="0.25">
      <c r="A194" s="21">
        <v>24726</v>
      </c>
      <c r="B194" s="22" t="s">
        <v>9</v>
      </c>
      <c r="C194" s="22" t="s">
        <v>508</v>
      </c>
      <c r="D194" s="22" t="s">
        <v>554</v>
      </c>
      <c r="E194" s="22" t="s">
        <v>555</v>
      </c>
      <c r="F194" s="22">
        <v>33.656106999999999</v>
      </c>
      <c r="G194" s="22">
        <v>42.803928999999997</v>
      </c>
      <c r="H194" s="21" t="s">
        <v>73</v>
      </c>
      <c r="I194" s="21" t="s">
        <v>511</v>
      </c>
      <c r="J194" s="21"/>
      <c r="K194" s="24">
        <v>89</v>
      </c>
      <c r="L194" s="24">
        <v>534</v>
      </c>
      <c r="M194" s="23">
        <v>89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77</v>
      </c>
      <c r="AG194" s="23"/>
      <c r="AH194" s="23"/>
      <c r="AI194" s="23"/>
      <c r="AJ194" s="23"/>
      <c r="AK194" s="23"/>
      <c r="AL194" s="23">
        <v>12</v>
      </c>
      <c r="AM194" s="23"/>
      <c r="AN194" s="23"/>
      <c r="AO194" s="23"/>
      <c r="AP194" s="23"/>
      <c r="AQ194" s="23"/>
      <c r="AR194" s="23">
        <v>70</v>
      </c>
      <c r="AS194" s="23">
        <v>19</v>
      </c>
      <c r="AT194" s="23"/>
      <c r="AU194" s="14" t="str">
        <f>HYPERLINK("http://www.openstreetmap.org/?mlat=33.6561&amp;mlon=42.8039&amp;zoom=12#map=12/33.6561/42.8039","Maplink1")</f>
        <v>Maplink1</v>
      </c>
      <c r="AV194" s="14" t="str">
        <f>HYPERLINK("https://www.google.iq/maps/search/+33.6561,42.8039/@33.6561,42.8039,14z?hl=en","Maplink2")</f>
        <v>Maplink2</v>
      </c>
      <c r="AW194" s="14" t="str">
        <f>HYPERLINK("http://www.bing.com/maps/?lvl=14&amp;sty=h&amp;cp=33.6561~42.8039&amp;sp=point.33.6561_42.8039_Al-Hajar","Maplink3")</f>
        <v>Maplink3</v>
      </c>
    </row>
    <row r="195" spans="1:49" ht="15" customHeight="1" x14ac:dyDescent="0.25">
      <c r="A195" s="21">
        <v>23844</v>
      </c>
      <c r="B195" s="22" t="s">
        <v>9</v>
      </c>
      <c r="C195" s="22" t="s">
        <v>508</v>
      </c>
      <c r="D195" s="22" t="s">
        <v>556</v>
      </c>
      <c r="E195" s="22" t="s">
        <v>557</v>
      </c>
      <c r="F195" s="22">
        <v>33.858418999999998</v>
      </c>
      <c r="G195" s="22">
        <v>42.769421000000001</v>
      </c>
      <c r="H195" s="21" t="s">
        <v>73</v>
      </c>
      <c r="I195" s="21" t="s">
        <v>511</v>
      </c>
      <c r="J195" s="21" t="s">
        <v>558</v>
      </c>
      <c r="K195" s="24">
        <v>26</v>
      </c>
      <c r="L195" s="24">
        <v>156</v>
      </c>
      <c r="M195" s="23">
        <v>26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17</v>
      </c>
      <c r="AG195" s="23"/>
      <c r="AH195" s="23"/>
      <c r="AI195" s="23"/>
      <c r="AJ195" s="23"/>
      <c r="AK195" s="23"/>
      <c r="AL195" s="23"/>
      <c r="AM195" s="23">
        <v>9</v>
      </c>
      <c r="AN195" s="23"/>
      <c r="AO195" s="23">
        <v>26</v>
      </c>
      <c r="AP195" s="23"/>
      <c r="AQ195" s="23"/>
      <c r="AR195" s="23"/>
      <c r="AS195" s="23"/>
      <c r="AT195" s="23"/>
      <c r="AU195" s="14" t="str">
        <f>HYPERLINK("http://www.openstreetmap.org/?mlat=33.8584&amp;mlon=42.7694&amp;zoom=12#map=12/33.8584/42.7694","Maplink1")</f>
        <v>Maplink1</v>
      </c>
      <c r="AV195" s="14" t="str">
        <f>HYPERLINK("https://www.google.iq/maps/search/+33.8584,42.7694/@33.8584,42.7694,14z?hl=en","Maplink2")</f>
        <v>Maplink2</v>
      </c>
      <c r="AW195" s="14" t="str">
        <f>HYPERLINK("http://www.bing.com/maps/?lvl=14&amp;sty=h&amp;cp=33.8584~42.7694&amp;sp=point.33.8584_42.7694_Al-Jananiyah","Maplink3")</f>
        <v>Maplink3</v>
      </c>
    </row>
    <row r="196" spans="1:49" ht="15" customHeight="1" x14ac:dyDescent="0.25">
      <c r="A196" s="21">
        <v>23826</v>
      </c>
      <c r="B196" s="22" t="s">
        <v>9</v>
      </c>
      <c r="C196" s="22" t="s">
        <v>508</v>
      </c>
      <c r="D196" s="22" t="s">
        <v>559</v>
      </c>
      <c r="E196" s="22" t="s">
        <v>560</v>
      </c>
      <c r="F196" s="22">
        <v>33.702469999999998</v>
      </c>
      <c r="G196" s="22">
        <v>42.742977000000003</v>
      </c>
      <c r="H196" s="21" t="s">
        <v>73</v>
      </c>
      <c r="I196" s="21" t="s">
        <v>511</v>
      </c>
      <c r="J196" s="21" t="s">
        <v>561</v>
      </c>
      <c r="K196" s="24">
        <v>184</v>
      </c>
      <c r="L196" s="24">
        <v>1104</v>
      </c>
      <c r="M196" s="23">
        <v>184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>
        <v>155</v>
      </c>
      <c r="AG196" s="23"/>
      <c r="AH196" s="23"/>
      <c r="AI196" s="23"/>
      <c r="AJ196" s="23"/>
      <c r="AK196" s="23"/>
      <c r="AL196" s="23"/>
      <c r="AM196" s="23">
        <v>29</v>
      </c>
      <c r="AN196" s="23"/>
      <c r="AO196" s="23">
        <v>184</v>
      </c>
      <c r="AP196" s="23"/>
      <c r="AQ196" s="23"/>
      <c r="AR196" s="23"/>
      <c r="AS196" s="23"/>
      <c r="AT196" s="23"/>
      <c r="AU196" s="14" t="str">
        <f>HYPERLINK("http://www.openstreetmap.org/?mlat=33.7025&amp;mlon=42.743&amp;zoom=12#map=12/33.7025/42.743","Maplink1")</f>
        <v>Maplink1</v>
      </c>
      <c r="AV196" s="14" t="str">
        <f>HYPERLINK("https://www.google.iq/maps/search/+33.7025,42.743/@33.7025,42.743,14z?hl=en","Maplink2")</f>
        <v>Maplink2</v>
      </c>
      <c r="AW196" s="14" t="str">
        <f>HYPERLINK("http://www.bing.com/maps/?lvl=14&amp;sty=h&amp;cp=33.7025~42.743&amp;sp=point.33.7025_42.743_Al-Khaldiyah","Maplink3")</f>
        <v>Maplink3</v>
      </c>
    </row>
    <row r="197" spans="1:49" ht="15" customHeight="1" x14ac:dyDescent="0.25">
      <c r="A197" s="21">
        <v>23832</v>
      </c>
      <c r="B197" s="22" t="s">
        <v>9</v>
      </c>
      <c r="C197" s="22" t="s">
        <v>508</v>
      </c>
      <c r="D197" s="22" t="s">
        <v>562</v>
      </c>
      <c r="E197" s="22" t="s">
        <v>563</v>
      </c>
      <c r="F197" s="22">
        <v>33.633800999999998</v>
      </c>
      <c r="G197" s="22">
        <v>42.794167999999999</v>
      </c>
      <c r="H197" s="21" t="s">
        <v>73</v>
      </c>
      <c r="I197" s="21" t="s">
        <v>511</v>
      </c>
      <c r="J197" s="21" t="s">
        <v>564</v>
      </c>
      <c r="K197" s="24">
        <v>209</v>
      </c>
      <c r="L197" s="24">
        <v>1254</v>
      </c>
      <c r="M197" s="23">
        <v>209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177</v>
      </c>
      <c r="AG197" s="23"/>
      <c r="AH197" s="23"/>
      <c r="AI197" s="23"/>
      <c r="AJ197" s="23"/>
      <c r="AK197" s="23"/>
      <c r="AL197" s="23"/>
      <c r="AM197" s="23">
        <v>32</v>
      </c>
      <c r="AN197" s="23"/>
      <c r="AO197" s="23">
        <v>142</v>
      </c>
      <c r="AP197" s="23">
        <v>67</v>
      </c>
      <c r="AQ197" s="23"/>
      <c r="AR197" s="23"/>
      <c r="AS197" s="23"/>
      <c r="AT197" s="23"/>
      <c r="AU197" s="14" t="str">
        <f>HYPERLINK("http://www.openstreetmap.org/?mlat=33.6338&amp;mlon=42.7942&amp;zoom=12#map=12/33.6338/42.7942","Maplink1")</f>
        <v>Maplink1</v>
      </c>
      <c r="AV197" s="14" t="str">
        <f>HYPERLINK("https://www.google.iq/maps/search/+33.6338,42.7942/@33.6338,42.7942,14z?hl=en","Maplink2")</f>
        <v>Maplink2</v>
      </c>
      <c r="AW197" s="14" t="str">
        <f>HYPERLINK("http://www.bing.com/maps/?lvl=14&amp;sty=h&amp;cp=33.6338~42.7942&amp;sp=point.33.6338_42.7942_Al-Mamora","Maplink3")</f>
        <v>Maplink3</v>
      </c>
    </row>
    <row r="198" spans="1:49" ht="15" customHeight="1" x14ac:dyDescent="0.25">
      <c r="A198" s="21">
        <v>23890</v>
      </c>
      <c r="B198" s="22" t="s">
        <v>9</v>
      </c>
      <c r="C198" s="22" t="s">
        <v>508</v>
      </c>
      <c r="D198" s="22" t="s">
        <v>565</v>
      </c>
      <c r="E198" s="22" t="s">
        <v>566</v>
      </c>
      <c r="F198" s="22">
        <v>33.876690000000004</v>
      </c>
      <c r="G198" s="22">
        <v>42.523774000000003</v>
      </c>
      <c r="H198" s="21" t="s">
        <v>73</v>
      </c>
      <c r="I198" s="21" t="s">
        <v>511</v>
      </c>
      <c r="J198" s="21" t="s">
        <v>567</v>
      </c>
      <c r="K198" s="24">
        <v>84</v>
      </c>
      <c r="L198" s="24">
        <v>504</v>
      </c>
      <c r="M198" s="23">
        <v>84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24</v>
      </c>
      <c r="AG198" s="23"/>
      <c r="AH198" s="23"/>
      <c r="AI198" s="23"/>
      <c r="AJ198" s="23">
        <v>7</v>
      </c>
      <c r="AK198" s="23">
        <v>12</v>
      </c>
      <c r="AL198" s="23"/>
      <c r="AM198" s="23">
        <v>41</v>
      </c>
      <c r="AN198" s="23"/>
      <c r="AO198" s="23">
        <v>84</v>
      </c>
      <c r="AP198" s="23"/>
      <c r="AQ198" s="23"/>
      <c r="AR198" s="23"/>
      <c r="AS198" s="23"/>
      <c r="AT198" s="23"/>
      <c r="AU198" s="14" t="str">
        <f>HYPERLINK("http://www.openstreetmap.org/?mlat=33.8767&amp;mlon=42.5238&amp;zoom=12#map=12/33.8767/42.5238","Maplink1")</f>
        <v>Maplink1</v>
      </c>
      <c r="AV198" s="14" t="str">
        <f>HYPERLINK("https://www.google.iq/maps/search/+33.8767,42.5238/@33.8767,42.5238,14z?hl=en","Maplink2")</f>
        <v>Maplink2</v>
      </c>
      <c r="AW198" s="14" t="str">
        <f>HYPERLINK("http://www.bing.com/maps/?lvl=14&amp;sty=h&amp;cp=33.8767~42.5238&amp;sp=point.33.8767_42.5238_Al-Mashhad","Maplink3")</f>
        <v>Maplink3</v>
      </c>
    </row>
    <row r="199" spans="1:49" ht="15" customHeight="1" x14ac:dyDescent="0.25">
      <c r="A199" s="21">
        <v>135</v>
      </c>
      <c r="B199" s="22" t="s">
        <v>9</v>
      </c>
      <c r="C199" s="22" t="s">
        <v>508</v>
      </c>
      <c r="D199" s="22" t="s">
        <v>568</v>
      </c>
      <c r="E199" s="22" t="s">
        <v>569</v>
      </c>
      <c r="F199" s="22">
        <v>33.632710000000003</v>
      </c>
      <c r="G199" s="22">
        <v>42.848387000000002</v>
      </c>
      <c r="H199" s="21" t="s">
        <v>73</v>
      </c>
      <c r="I199" s="21" t="s">
        <v>511</v>
      </c>
      <c r="J199" s="21" t="s">
        <v>570</v>
      </c>
      <c r="K199" s="24">
        <v>153</v>
      </c>
      <c r="L199" s="24">
        <v>918</v>
      </c>
      <c r="M199" s="23">
        <v>153</v>
      </c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130</v>
      </c>
      <c r="AG199" s="23"/>
      <c r="AH199" s="23"/>
      <c r="AI199" s="23"/>
      <c r="AJ199" s="23"/>
      <c r="AK199" s="23"/>
      <c r="AL199" s="23"/>
      <c r="AM199" s="23">
        <v>23</v>
      </c>
      <c r="AN199" s="23"/>
      <c r="AO199" s="23">
        <v>153</v>
      </c>
      <c r="AP199" s="23"/>
      <c r="AQ199" s="23"/>
      <c r="AR199" s="23"/>
      <c r="AS199" s="23"/>
      <c r="AT199" s="23"/>
      <c r="AU199" s="14" t="str">
        <f>HYPERLINK("http://www.openstreetmap.org/?mlat=33.646&amp;mlon=42.8471&amp;zoom=12#map=12/33.646/42.8471","Maplink1")</f>
        <v>Maplink1</v>
      </c>
      <c r="AV199" s="14" t="str">
        <f>HYPERLINK("https://www.google.iq/maps/search/+33.646,42.8471/@33.646,42.8471,14z?hl=en","Maplink2")</f>
        <v>Maplink2</v>
      </c>
      <c r="AW199" s="14" t="str">
        <f>HYPERLINK("http://www.bing.com/maps/?lvl=14&amp;sty=h&amp;cp=33.646~42.8471&amp;sp=point.33.646_42.8471_Al-muabdiyat","Maplink3")</f>
        <v>Maplink3</v>
      </c>
    </row>
    <row r="200" spans="1:49" ht="15" customHeight="1" x14ac:dyDescent="0.25">
      <c r="A200" s="21">
        <v>21323</v>
      </c>
      <c r="B200" s="22" t="s">
        <v>9</v>
      </c>
      <c r="C200" s="22" t="s">
        <v>508</v>
      </c>
      <c r="D200" s="22" t="s">
        <v>571</v>
      </c>
      <c r="E200" s="22" t="s">
        <v>572</v>
      </c>
      <c r="F200" s="22">
        <v>33.921731999999999</v>
      </c>
      <c r="G200" s="22">
        <v>42.524161999999997</v>
      </c>
      <c r="H200" s="21" t="s">
        <v>73</v>
      </c>
      <c r="I200" s="21" t="s">
        <v>511</v>
      </c>
      <c r="J200" s="21" t="s">
        <v>573</v>
      </c>
      <c r="K200" s="24">
        <v>92</v>
      </c>
      <c r="L200" s="24">
        <v>552</v>
      </c>
      <c r="M200" s="23">
        <v>92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39</v>
      </c>
      <c r="AG200" s="23"/>
      <c r="AH200" s="23"/>
      <c r="AI200" s="23"/>
      <c r="AJ200" s="23"/>
      <c r="AK200" s="23">
        <v>21</v>
      </c>
      <c r="AL200" s="23">
        <v>16</v>
      </c>
      <c r="AM200" s="23">
        <v>16</v>
      </c>
      <c r="AN200" s="23"/>
      <c r="AO200" s="23">
        <v>92</v>
      </c>
      <c r="AP200" s="23"/>
      <c r="AQ200" s="23"/>
      <c r="AR200" s="23"/>
      <c r="AS200" s="23"/>
      <c r="AT200" s="23"/>
      <c r="AU200" s="14" t="str">
        <f>HYPERLINK("http://www.openstreetmap.org/?mlat=33.9217&amp;mlon=42.5242&amp;zoom=12#map=12/33.9217/42.5242","Maplink1")</f>
        <v>Maplink1</v>
      </c>
      <c r="AV200" s="14" t="str">
        <f>HYPERLINK("https://www.google.iq/maps/search/+33.9217,42.5242/@33.9217,42.5242,14z?hl=en","Maplink2")</f>
        <v>Maplink2</v>
      </c>
      <c r="AW200" s="14" t="str">
        <f>HYPERLINK("http://www.bing.com/maps/?lvl=14&amp;sty=h&amp;cp=33.9217~42.5242&amp;sp=point.33.9217_42.5242_Al-Mujama Al-Sakani","Maplink3")</f>
        <v>Maplink3</v>
      </c>
    </row>
    <row r="201" spans="1:49" ht="15" customHeight="1" x14ac:dyDescent="0.25">
      <c r="A201" s="21">
        <v>23827</v>
      </c>
      <c r="B201" s="22" t="s">
        <v>9</v>
      </c>
      <c r="C201" s="22" t="s">
        <v>508</v>
      </c>
      <c r="D201" s="22" t="s">
        <v>574</v>
      </c>
      <c r="E201" s="22" t="s">
        <v>575</v>
      </c>
      <c r="F201" s="22">
        <v>33.644216</v>
      </c>
      <c r="G201" s="22">
        <v>42.822705999999997</v>
      </c>
      <c r="H201" s="21" t="s">
        <v>73</v>
      </c>
      <c r="I201" s="21" t="s">
        <v>511</v>
      </c>
      <c r="J201" s="21" t="s">
        <v>576</v>
      </c>
      <c r="K201" s="24">
        <v>652</v>
      </c>
      <c r="L201" s="24">
        <v>3912</v>
      </c>
      <c r="M201" s="23">
        <v>638</v>
      </c>
      <c r="N201" s="23"/>
      <c r="O201" s="23">
        <v>14</v>
      </c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519</v>
      </c>
      <c r="AG201" s="23"/>
      <c r="AH201" s="23"/>
      <c r="AI201" s="23"/>
      <c r="AJ201" s="23"/>
      <c r="AK201" s="23">
        <v>20</v>
      </c>
      <c r="AL201" s="23">
        <v>18</v>
      </c>
      <c r="AM201" s="23">
        <v>95</v>
      </c>
      <c r="AN201" s="23"/>
      <c r="AO201" s="23">
        <v>612</v>
      </c>
      <c r="AP201" s="23">
        <v>40</v>
      </c>
      <c r="AQ201" s="23"/>
      <c r="AR201" s="23"/>
      <c r="AS201" s="23"/>
      <c r="AT201" s="23"/>
      <c r="AU201" s="14" t="str">
        <f>HYPERLINK("http://www.openstreetmap.org/?mlat=33.6442&amp;mlon=42.8227&amp;zoom=12#map=12/33.6442/42.8227","Maplink1")</f>
        <v>Maplink1</v>
      </c>
      <c r="AV201" s="14" t="str">
        <f>HYPERLINK("https://www.google.iq/maps/search/+33.6442,42.8227/@33.6442,42.8227,14z?hl=en","Maplink2")</f>
        <v>Maplink2</v>
      </c>
      <c r="AW201" s="14" t="str">
        <f>HYPERLINK("http://www.bing.com/maps/?lvl=14&amp;sty=h&amp;cp=33.6442~42.8227&amp;sp=point.33.6442_42.8227_Al-Qalqalah","Maplink3")</f>
        <v>Maplink3</v>
      </c>
    </row>
    <row r="202" spans="1:49" ht="15" customHeight="1" x14ac:dyDescent="0.25">
      <c r="A202" s="21">
        <v>23842</v>
      </c>
      <c r="B202" s="22" t="s">
        <v>9</v>
      </c>
      <c r="C202" s="22" t="s">
        <v>508</v>
      </c>
      <c r="D202" s="22" t="s">
        <v>577</v>
      </c>
      <c r="E202" s="22" t="s">
        <v>578</v>
      </c>
      <c r="F202" s="22">
        <v>33.903191999999997</v>
      </c>
      <c r="G202" s="22">
        <v>42.561853999999997</v>
      </c>
      <c r="H202" s="21" t="s">
        <v>73</v>
      </c>
      <c r="I202" s="21" t="s">
        <v>511</v>
      </c>
      <c r="J202" s="21" t="s">
        <v>579</v>
      </c>
      <c r="K202" s="24">
        <v>29</v>
      </c>
      <c r="L202" s="24">
        <v>174</v>
      </c>
      <c r="M202" s="23">
        <v>29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21</v>
      </c>
      <c r="AG202" s="23"/>
      <c r="AH202" s="23"/>
      <c r="AI202" s="23"/>
      <c r="AJ202" s="23"/>
      <c r="AK202" s="23"/>
      <c r="AL202" s="23"/>
      <c r="AM202" s="23">
        <v>8</v>
      </c>
      <c r="AN202" s="23"/>
      <c r="AO202" s="23">
        <v>29</v>
      </c>
      <c r="AP202" s="23"/>
      <c r="AQ202" s="23"/>
      <c r="AR202" s="23"/>
      <c r="AS202" s="23"/>
      <c r="AT202" s="23"/>
      <c r="AU202" s="14" t="str">
        <f>HYPERLINK("http://www.openstreetmap.org/?mlat=33.9032&amp;mlon=42.5619&amp;zoom=12#map=12/33.9032/42.5619","Maplink1")</f>
        <v>Maplink1</v>
      </c>
      <c r="AV202" s="14" t="str">
        <f>HYPERLINK("https://www.google.iq/maps/search/+33.9032,42.5619/@33.9032,42.5619,14z?hl=en","Maplink2")</f>
        <v>Maplink2</v>
      </c>
      <c r="AW202" s="14" t="str">
        <f>HYPERLINK("http://www.bing.com/maps/?lvl=14&amp;sty=h&amp;cp=33.9032~42.5619&amp;sp=point.33.9032_42.5619_Al-Qutiniyah","Maplink3")</f>
        <v>Maplink3</v>
      </c>
    </row>
    <row r="203" spans="1:49" ht="15" customHeight="1" x14ac:dyDescent="0.25">
      <c r="A203" s="21">
        <v>136</v>
      </c>
      <c r="B203" s="22" t="s">
        <v>9</v>
      </c>
      <c r="C203" s="22" t="s">
        <v>508</v>
      </c>
      <c r="D203" s="22" t="s">
        <v>8260</v>
      </c>
      <c r="E203" s="22" t="s">
        <v>580</v>
      </c>
      <c r="F203" s="22">
        <v>33.888697999999998</v>
      </c>
      <c r="G203" s="22">
        <v>42.522120000000001</v>
      </c>
      <c r="H203" s="21" t="s">
        <v>73</v>
      </c>
      <c r="I203" s="21" t="s">
        <v>511</v>
      </c>
      <c r="J203" s="21" t="s">
        <v>581</v>
      </c>
      <c r="K203" s="24">
        <v>95</v>
      </c>
      <c r="L203" s="24">
        <v>570</v>
      </c>
      <c r="M203" s="23">
        <v>95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70</v>
      </c>
      <c r="AG203" s="23"/>
      <c r="AH203" s="23"/>
      <c r="AI203" s="23"/>
      <c r="AJ203" s="23"/>
      <c r="AK203" s="23">
        <v>2</v>
      </c>
      <c r="AL203" s="23"/>
      <c r="AM203" s="23">
        <v>23</v>
      </c>
      <c r="AN203" s="23"/>
      <c r="AO203" s="23">
        <v>35</v>
      </c>
      <c r="AP203" s="23">
        <v>60</v>
      </c>
      <c r="AQ203" s="23"/>
      <c r="AR203" s="23"/>
      <c r="AS203" s="23"/>
      <c r="AT203" s="23"/>
      <c r="AU203" s="14" t="str">
        <f>HYPERLINK("http://www.openstreetmap.org/?mlat=33.8887&amp;mlon=42.5221&amp;zoom=12#map=12/33.8887/42.5221","Maplink1")</f>
        <v>Maplink1</v>
      </c>
      <c r="AV203" s="14" t="str">
        <f>HYPERLINK("https://www.google.iq/maps/search/+33.8887,42.5221/@33.8887,42.5221,14z?hl=en","Maplink2")</f>
        <v>Maplink2</v>
      </c>
      <c r="AW203" s="14" t="str">
        <f>HYPERLINK("http://www.bing.com/maps/?lvl=14&amp;sty=h&amp;cp=33.8887~42.5221&amp;sp=point.33.8887_42.5221_Al-shuhda?a","Maplink3")</f>
        <v>Maplink3</v>
      </c>
    </row>
    <row r="204" spans="1:49" ht="15" customHeight="1" x14ac:dyDescent="0.25">
      <c r="A204" s="21">
        <v>23831</v>
      </c>
      <c r="B204" s="22" t="s">
        <v>9</v>
      </c>
      <c r="C204" s="22" t="s">
        <v>508</v>
      </c>
      <c r="D204" s="22" t="s">
        <v>582</v>
      </c>
      <c r="E204" s="22" t="s">
        <v>583</v>
      </c>
      <c r="F204" s="22">
        <v>33.630186000000002</v>
      </c>
      <c r="G204" s="22">
        <v>42.819651999999998</v>
      </c>
      <c r="H204" s="21" t="s">
        <v>73</v>
      </c>
      <c r="I204" s="21" t="s">
        <v>511</v>
      </c>
      <c r="J204" s="21" t="s">
        <v>584</v>
      </c>
      <c r="K204" s="24">
        <v>190</v>
      </c>
      <c r="L204" s="24">
        <v>1140</v>
      </c>
      <c r="M204" s="23">
        <v>190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115</v>
      </c>
      <c r="AG204" s="23"/>
      <c r="AH204" s="23"/>
      <c r="AI204" s="23"/>
      <c r="AJ204" s="23"/>
      <c r="AK204" s="23"/>
      <c r="AL204" s="23"/>
      <c r="AM204" s="23">
        <v>75</v>
      </c>
      <c r="AN204" s="23"/>
      <c r="AO204" s="23">
        <v>171</v>
      </c>
      <c r="AP204" s="23"/>
      <c r="AQ204" s="23"/>
      <c r="AR204" s="23"/>
      <c r="AS204" s="23">
        <v>19</v>
      </c>
      <c r="AT204" s="23"/>
      <c r="AU204" s="14" t="str">
        <f>HYPERLINK("http://www.openstreetmap.org/?mlat=33.6302&amp;mlon=42.8197&amp;zoom=12#map=12/33.6302/42.8197","Maplink1")</f>
        <v>Maplink1</v>
      </c>
      <c r="AV204" s="14" t="str">
        <f>HYPERLINK("https://www.google.iq/maps/search/+33.6302,42.8197/@33.6302,42.8197,14z?hl=en","Maplink2")</f>
        <v>Maplink2</v>
      </c>
      <c r="AW204" s="14" t="str">
        <f>HYPERLINK("http://www.bing.com/maps/?lvl=14&amp;sty=h&amp;cp=33.6302~42.8197&amp;sp=point.33.6302_42.8197_Al-Sikak","Maplink3")</f>
        <v>Maplink3</v>
      </c>
    </row>
    <row r="205" spans="1:49" ht="15" customHeight="1" x14ac:dyDescent="0.25">
      <c r="A205" s="21">
        <v>23847</v>
      </c>
      <c r="B205" s="22" t="s">
        <v>9</v>
      </c>
      <c r="C205" s="22" t="s">
        <v>508</v>
      </c>
      <c r="D205" s="22" t="s">
        <v>585</v>
      </c>
      <c r="E205" s="22" t="s">
        <v>586</v>
      </c>
      <c r="F205" s="22">
        <v>33.545144999999998</v>
      </c>
      <c r="G205" s="22">
        <v>42.977186000000003</v>
      </c>
      <c r="H205" s="21" t="s">
        <v>73</v>
      </c>
      <c r="I205" s="21" t="s">
        <v>511</v>
      </c>
      <c r="J205" s="21" t="s">
        <v>587</v>
      </c>
      <c r="K205" s="24">
        <v>165</v>
      </c>
      <c r="L205" s="24">
        <v>990</v>
      </c>
      <c r="M205" s="23">
        <v>165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107</v>
      </c>
      <c r="AG205" s="23"/>
      <c r="AH205" s="23"/>
      <c r="AI205" s="23"/>
      <c r="AJ205" s="23"/>
      <c r="AK205" s="23">
        <v>8</v>
      </c>
      <c r="AL205" s="23">
        <v>18</v>
      </c>
      <c r="AM205" s="23">
        <v>32</v>
      </c>
      <c r="AN205" s="23"/>
      <c r="AO205" s="23">
        <v>165</v>
      </c>
      <c r="AP205" s="23"/>
      <c r="AQ205" s="23"/>
      <c r="AR205" s="23"/>
      <c r="AS205" s="23"/>
      <c r="AT205" s="23"/>
      <c r="AU205" s="14" t="str">
        <f>HYPERLINK("http://www.openstreetmap.org/?mlat=33.5451&amp;mlon=42.9772&amp;zoom=12#map=12/33.5451/42.9772","Maplink1")</f>
        <v>Maplink1</v>
      </c>
      <c r="AV205" s="14" t="str">
        <f>HYPERLINK("https://www.google.iq/maps/search/+33.5451,42.9772/@33.5451,42.9772,14z?hl=en","Maplink2")</f>
        <v>Maplink2</v>
      </c>
      <c r="AW205" s="14" t="str">
        <f>HYPERLINK("http://www.bing.com/maps/?lvl=14&amp;sty=h&amp;cp=33.5451~42.9772&amp;sp=point.33.5451_42.9772_Al-Tarabshah","Maplink3")</f>
        <v>Maplink3</v>
      </c>
    </row>
    <row r="206" spans="1:49" ht="15" customHeight="1" x14ac:dyDescent="0.25">
      <c r="A206" s="21">
        <v>312</v>
      </c>
      <c r="B206" s="22" t="s">
        <v>9</v>
      </c>
      <c r="C206" s="22" t="s">
        <v>508</v>
      </c>
      <c r="D206" s="22" t="s">
        <v>588</v>
      </c>
      <c r="E206" s="22" t="s">
        <v>589</v>
      </c>
      <c r="F206" s="22">
        <v>33.635908999999998</v>
      </c>
      <c r="G206" s="22">
        <v>42.826883000000002</v>
      </c>
      <c r="H206" s="21" t="s">
        <v>73</v>
      </c>
      <c r="I206" s="21" t="s">
        <v>511</v>
      </c>
      <c r="J206" s="21" t="s">
        <v>590</v>
      </c>
      <c r="K206" s="24">
        <v>422</v>
      </c>
      <c r="L206" s="24">
        <v>2532</v>
      </c>
      <c r="M206" s="23">
        <v>422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271</v>
      </c>
      <c r="AG206" s="23"/>
      <c r="AH206" s="23"/>
      <c r="AI206" s="23"/>
      <c r="AJ206" s="23"/>
      <c r="AK206" s="23">
        <v>24</v>
      </c>
      <c r="AL206" s="23">
        <v>14</v>
      </c>
      <c r="AM206" s="23">
        <v>113</v>
      </c>
      <c r="AN206" s="23"/>
      <c r="AO206" s="23">
        <v>412</v>
      </c>
      <c r="AP206" s="23"/>
      <c r="AQ206" s="23"/>
      <c r="AR206" s="23">
        <v>10</v>
      </c>
      <c r="AS206" s="23"/>
      <c r="AT206" s="23"/>
      <c r="AU206" s="14" t="str">
        <f>HYPERLINK("http://www.openstreetmap.org/?mlat=33.6359&amp;mlon=42.8269&amp;zoom=12#map=12/33.6359/42.8269","Maplink1")</f>
        <v>Maplink1</v>
      </c>
      <c r="AV206" s="14" t="str">
        <f>HYPERLINK("https://www.google.iq/maps/search/+33.6359,42.8269/@33.6359,42.8269,14z?hl=en","Maplink2")</f>
        <v>Maplink2</v>
      </c>
      <c r="AW206" s="14" t="str">
        <f>HYPERLINK("http://www.bing.com/maps/?lvl=14&amp;sty=h&amp;cp=33.6359~42.8269&amp;sp=point.33.6359_42.8269_Al-Ummal","Maplink3")</f>
        <v>Maplink3</v>
      </c>
    </row>
    <row r="207" spans="1:49" ht="15" customHeight="1" x14ac:dyDescent="0.25">
      <c r="A207" s="21">
        <v>11</v>
      </c>
      <c r="B207" s="22" t="s">
        <v>9</v>
      </c>
      <c r="C207" s="22" t="s">
        <v>508</v>
      </c>
      <c r="D207" s="22" t="s">
        <v>591</v>
      </c>
      <c r="E207" s="22" t="s">
        <v>592</v>
      </c>
      <c r="F207" s="22">
        <v>33.530912000000001</v>
      </c>
      <c r="G207" s="22">
        <v>42.907496000000002</v>
      </c>
      <c r="H207" s="21" t="s">
        <v>73</v>
      </c>
      <c r="I207" s="21" t="s">
        <v>511</v>
      </c>
      <c r="J207" s="21" t="s">
        <v>593</v>
      </c>
      <c r="K207" s="24">
        <v>81</v>
      </c>
      <c r="L207" s="24">
        <v>486</v>
      </c>
      <c r="M207" s="23">
        <v>81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51</v>
      </c>
      <c r="AG207" s="23"/>
      <c r="AH207" s="23">
        <v>17</v>
      </c>
      <c r="AI207" s="23"/>
      <c r="AJ207" s="23"/>
      <c r="AK207" s="23"/>
      <c r="AL207" s="23"/>
      <c r="AM207" s="23">
        <v>13</v>
      </c>
      <c r="AN207" s="23"/>
      <c r="AO207" s="23">
        <v>81</v>
      </c>
      <c r="AP207" s="23"/>
      <c r="AQ207" s="23"/>
      <c r="AR207" s="23"/>
      <c r="AS207" s="23"/>
      <c r="AT207" s="23"/>
      <c r="AU207" s="14" t="str">
        <f>HYPERLINK("http://www.openstreetmap.org/?mlat=33.5309&amp;mlon=42.9075&amp;zoom=12#map=12/33.5309/42.9075","Maplink1")</f>
        <v>Maplink1</v>
      </c>
      <c r="AV207" s="14" t="str">
        <f>HYPERLINK("https://www.google.iq/maps/search/+33.5309,42.9075/@33.5309,42.9075,14z?hl=en","Maplink2")</f>
        <v>Maplink2</v>
      </c>
      <c r="AW207" s="14" t="str">
        <f>HYPERLINK("http://www.bing.com/maps/?lvl=14&amp;sty=h&amp;cp=33.5309~42.9075&amp;sp=point.33.5309_42.9075_Aqabah","Maplink3")</f>
        <v>Maplink3</v>
      </c>
    </row>
    <row r="208" spans="1:49" ht="15" customHeight="1" x14ac:dyDescent="0.25">
      <c r="A208" s="21">
        <v>24115</v>
      </c>
      <c r="B208" s="22" t="s">
        <v>9</v>
      </c>
      <c r="C208" s="22" t="s">
        <v>508</v>
      </c>
      <c r="D208" s="22" t="s">
        <v>594</v>
      </c>
      <c r="E208" s="22" t="s">
        <v>595</v>
      </c>
      <c r="F208" s="22">
        <v>33.762962000000002</v>
      </c>
      <c r="G208" s="22">
        <v>42.730246000000001</v>
      </c>
      <c r="H208" s="21" t="s">
        <v>73</v>
      </c>
      <c r="I208" s="21" t="s">
        <v>511</v>
      </c>
      <c r="J208" s="21" t="s">
        <v>596</v>
      </c>
      <c r="K208" s="24">
        <v>22</v>
      </c>
      <c r="L208" s="24">
        <v>132</v>
      </c>
      <c r="M208" s="23">
        <v>22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12</v>
      </c>
      <c r="AG208" s="23"/>
      <c r="AH208" s="23"/>
      <c r="AI208" s="23"/>
      <c r="AJ208" s="23"/>
      <c r="AK208" s="23"/>
      <c r="AL208" s="23"/>
      <c r="AM208" s="23">
        <v>10</v>
      </c>
      <c r="AN208" s="23"/>
      <c r="AO208" s="23">
        <v>22</v>
      </c>
      <c r="AP208" s="23"/>
      <c r="AQ208" s="23"/>
      <c r="AR208" s="23"/>
      <c r="AS208" s="23"/>
      <c r="AT208" s="23"/>
      <c r="AU208" s="14" t="str">
        <f>HYPERLINK("http://www.openstreetmap.org/?mlat=33.763&amp;mlon=42.7302&amp;zoom=12#map=12/33.763/42.7302","Maplink1")</f>
        <v>Maplink1</v>
      </c>
      <c r="AV208" s="14" t="str">
        <f>HYPERLINK("https://www.google.iq/maps/search/+33.763,42.7302/@33.763,42.7302,14z?hl=en","Maplink2")</f>
        <v>Maplink2</v>
      </c>
      <c r="AW208" s="14" t="str">
        <f>HYPERLINK("http://www.bing.com/maps/?lvl=14&amp;sty=h&amp;cp=33.763~42.7302&amp;sp=point.33.763_42.7302_Bani Khazraj","Maplink3")</f>
        <v>Maplink3</v>
      </c>
    </row>
    <row r="209" spans="1:49" ht="15" customHeight="1" x14ac:dyDescent="0.25">
      <c r="A209" s="21">
        <v>21264</v>
      </c>
      <c r="B209" s="22" t="s">
        <v>9</v>
      </c>
      <c r="C209" s="22" t="s">
        <v>508</v>
      </c>
      <c r="D209" s="22" t="s">
        <v>597</v>
      </c>
      <c r="E209" s="22" t="s">
        <v>598</v>
      </c>
      <c r="F209" s="22">
        <v>33.647554</v>
      </c>
      <c r="G209" s="22">
        <v>42.814266000000003</v>
      </c>
      <c r="H209" s="21" t="s">
        <v>73</v>
      </c>
      <c r="I209" s="21" t="s">
        <v>511</v>
      </c>
      <c r="J209" s="21" t="s">
        <v>599</v>
      </c>
      <c r="K209" s="24">
        <v>130</v>
      </c>
      <c r="L209" s="24">
        <v>780</v>
      </c>
      <c r="M209" s="23">
        <v>130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130</v>
      </c>
      <c r="AG209" s="23"/>
      <c r="AH209" s="23"/>
      <c r="AI209" s="23"/>
      <c r="AJ209" s="23"/>
      <c r="AK209" s="23"/>
      <c r="AL209" s="23"/>
      <c r="AM209" s="23"/>
      <c r="AN209" s="23"/>
      <c r="AO209" s="23">
        <v>130</v>
      </c>
      <c r="AP209" s="23"/>
      <c r="AQ209" s="23"/>
      <c r="AR209" s="23"/>
      <c r="AS209" s="23"/>
      <c r="AT209" s="23"/>
      <c r="AU209" s="14" t="str">
        <f>HYPERLINK("http://www.openstreetmap.org/?mlat=33.6476&amp;mlon=42.8143&amp;zoom=12#map=12/33.6476/42.8143","Maplink1")</f>
        <v>Maplink1</v>
      </c>
      <c r="AV209" s="14" t="str">
        <f>HYPERLINK("https://www.google.iq/maps/search/+33.6476,42.8143/@33.6476,42.8143,14z?hl=en","Maplink2")</f>
        <v>Maplink2</v>
      </c>
      <c r="AW209" s="14" t="str">
        <f>HYPERLINK("http://www.bing.com/maps/?lvl=14&amp;sty=h&amp;cp=33.6476~42.8143&amp;sp=point.33.6476_42.8143_Basair","Maplink3")</f>
        <v>Maplink3</v>
      </c>
    </row>
    <row r="210" spans="1:49" ht="15" customHeight="1" x14ac:dyDescent="0.25">
      <c r="A210" s="21">
        <v>23829</v>
      </c>
      <c r="B210" s="22" t="s">
        <v>9</v>
      </c>
      <c r="C210" s="22" t="s">
        <v>508</v>
      </c>
      <c r="D210" s="22" t="s">
        <v>600</v>
      </c>
      <c r="E210" s="22" t="s">
        <v>601</v>
      </c>
      <c r="F210" s="22">
        <v>33.584775999999998</v>
      </c>
      <c r="G210" s="22">
        <v>42.88073</v>
      </c>
      <c r="H210" s="21" t="s">
        <v>73</v>
      </c>
      <c r="I210" s="21" t="s">
        <v>511</v>
      </c>
      <c r="J210" s="21" t="s">
        <v>602</v>
      </c>
      <c r="K210" s="24">
        <v>397</v>
      </c>
      <c r="L210" s="24">
        <v>2382</v>
      </c>
      <c r="M210" s="23">
        <v>397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377</v>
      </c>
      <c r="AG210" s="23"/>
      <c r="AH210" s="23"/>
      <c r="AI210" s="23"/>
      <c r="AJ210" s="23"/>
      <c r="AK210" s="23"/>
      <c r="AL210" s="23"/>
      <c r="AM210" s="23">
        <v>20</v>
      </c>
      <c r="AN210" s="23"/>
      <c r="AO210" s="23">
        <v>140</v>
      </c>
      <c r="AP210" s="23">
        <v>110</v>
      </c>
      <c r="AQ210" s="23"/>
      <c r="AR210" s="23"/>
      <c r="AS210" s="23">
        <v>147</v>
      </c>
      <c r="AT210" s="23"/>
      <c r="AU210" s="14" t="str">
        <f>HYPERLINK("http://www.openstreetmap.org/?mlat=33.5848&amp;mlon=42.8807&amp;zoom=12#map=12/33.5848/42.8807","Maplink1")</f>
        <v>Maplink1</v>
      </c>
      <c r="AV210" s="14" t="str">
        <f>HYPERLINK("https://www.google.iq/maps/search/+33.5848,42.8807/@33.5848,42.8807,14z?hl=en","Maplink2")</f>
        <v>Maplink2</v>
      </c>
      <c r="AW210" s="14" t="str">
        <f>HYPERLINK("http://www.bing.com/maps/?lvl=14&amp;sty=h&amp;cp=33.5848~42.8807&amp;sp=point.33.5848_42.8807_Binan","Maplink3")</f>
        <v>Maplink3</v>
      </c>
    </row>
    <row r="211" spans="1:49" ht="15" customHeight="1" x14ac:dyDescent="0.25">
      <c r="A211" s="21">
        <v>23843</v>
      </c>
      <c r="B211" s="22" t="s">
        <v>9</v>
      </c>
      <c r="C211" s="22" t="s">
        <v>508</v>
      </c>
      <c r="D211" s="22" t="s">
        <v>603</v>
      </c>
      <c r="E211" s="22" t="s">
        <v>604</v>
      </c>
      <c r="F211" s="22">
        <v>33.871611999999999</v>
      </c>
      <c r="G211" s="22">
        <v>42.754936000000001</v>
      </c>
      <c r="H211" s="21" t="s">
        <v>73</v>
      </c>
      <c r="I211" s="21" t="s">
        <v>511</v>
      </c>
      <c r="J211" s="21" t="s">
        <v>605</v>
      </c>
      <c r="K211" s="24">
        <v>33</v>
      </c>
      <c r="L211" s="24">
        <v>198</v>
      </c>
      <c r="M211" s="23">
        <v>33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25</v>
      </c>
      <c r="AG211" s="23"/>
      <c r="AH211" s="23"/>
      <c r="AI211" s="23"/>
      <c r="AJ211" s="23"/>
      <c r="AK211" s="23"/>
      <c r="AL211" s="23"/>
      <c r="AM211" s="23">
        <v>8</v>
      </c>
      <c r="AN211" s="23"/>
      <c r="AO211" s="23">
        <v>33</v>
      </c>
      <c r="AP211" s="23"/>
      <c r="AQ211" s="23"/>
      <c r="AR211" s="23"/>
      <c r="AS211" s="23"/>
      <c r="AT211" s="23"/>
      <c r="AU211" s="14" t="str">
        <f>HYPERLINK("http://www.openstreetmap.org/?mlat=33.8716&amp;mlon=42.7549&amp;zoom=12#map=12/33.8716/42.7549","Maplink1")</f>
        <v>Maplink1</v>
      </c>
      <c r="AV211" s="14" t="str">
        <f>HYPERLINK("https://www.google.iq/maps/search/+33.8716,42.7549/@33.8716,42.7549,14z?hl=en","Maplink2")</f>
        <v>Maplink2</v>
      </c>
      <c r="AW211" s="14" t="str">
        <f>HYPERLINK("http://www.bing.com/maps/?lvl=14&amp;sty=h&amp;cp=33.8716~42.7549&amp;sp=point.33.8716_42.7549_Duweliyah","Maplink3")</f>
        <v>Maplink3</v>
      </c>
    </row>
    <row r="212" spans="1:49" ht="15" customHeight="1" x14ac:dyDescent="0.25">
      <c r="A212" s="21">
        <v>23838</v>
      </c>
      <c r="B212" s="22" t="s">
        <v>9</v>
      </c>
      <c r="C212" s="22" t="s">
        <v>508</v>
      </c>
      <c r="D212" s="22" t="s">
        <v>606</v>
      </c>
      <c r="E212" s="22" t="s">
        <v>141</v>
      </c>
      <c r="F212" s="22">
        <v>33.589885000000002</v>
      </c>
      <c r="G212" s="22">
        <v>42.618650000000002</v>
      </c>
      <c r="H212" s="21" t="s">
        <v>73</v>
      </c>
      <c r="I212" s="21" t="s">
        <v>511</v>
      </c>
      <c r="J212" s="21" t="s">
        <v>607</v>
      </c>
      <c r="K212" s="24">
        <v>21</v>
      </c>
      <c r="L212" s="24">
        <v>126</v>
      </c>
      <c r="M212" s="23">
        <v>21</v>
      </c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>
        <v>19</v>
      </c>
      <c r="AL212" s="23"/>
      <c r="AM212" s="23">
        <v>2</v>
      </c>
      <c r="AN212" s="23"/>
      <c r="AO212" s="23">
        <v>21</v>
      </c>
      <c r="AP212" s="23"/>
      <c r="AQ212" s="23"/>
      <c r="AR212" s="23"/>
      <c r="AS212" s="23"/>
      <c r="AT212" s="23"/>
      <c r="AU212" s="14" t="str">
        <f>HYPERLINK("http://www.openstreetmap.org/?mlat=33.5899&amp;mlon=42.6187&amp;zoom=12#map=12/33.5899/42.6187","Maplink1")</f>
        <v>Maplink1</v>
      </c>
      <c r="AV212" s="14" t="str">
        <f>HYPERLINK("https://www.google.iq/maps/search/+33.5899,42.6187/@33.5899,42.6187,14z?hl=en","Maplink2")</f>
        <v>Maplink2</v>
      </c>
      <c r="AW212" s="14" t="str">
        <f>HYPERLINK("http://www.bing.com/maps/?lvl=14&amp;sty=h&amp;cp=33.5899~42.6187&amp;sp=point.33.5899_42.6187_Hay Al Farouq","Maplink3")</f>
        <v>Maplink3</v>
      </c>
    </row>
    <row r="213" spans="1:49" ht="15" customHeight="1" x14ac:dyDescent="0.25">
      <c r="A213" s="21">
        <v>21471</v>
      </c>
      <c r="B213" s="22" t="s">
        <v>9</v>
      </c>
      <c r="C213" s="22" t="s">
        <v>508</v>
      </c>
      <c r="D213" s="22" t="s">
        <v>608</v>
      </c>
      <c r="E213" s="22" t="s">
        <v>609</v>
      </c>
      <c r="F213" s="22">
        <v>33.885179000000001</v>
      </c>
      <c r="G213" s="22">
        <v>42.524751999999999</v>
      </c>
      <c r="H213" s="21" t="s">
        <v>73</v>
      </c>
      <c r="I213" s="21" t="s">
        <v>511</v>
      </c>
      <c r="J213" s="21" t="s">
        <v>610</v>
      </c>
      <c r="K213" s="24">
        <v>165</v>
      </c>
      <c r="L213" s="24">
        <v>990</v>
      </c>
      <c r="M213" s="23">
        <v>165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124</v>
      </c>
      <c r="AG213" s="23"/>
      <c r="AH213" s="23"/>
      <c r="AI213" s="23"/>
      <c r="AJ213" s="23"/>
      <c r="AK213" s="23">
        <v>17</v>
      </c>
      <c r="AL213" s="23"/>
      <c r="AM213" s="23">
        <v>24</v>
      </c>
      <c r="AN213" s="23"/>
      <c r="AO213" s="23">
        <v>117</v>
      </c>
      <c r="AP213" s="23">
        <v>48</v>
      </c>
      <c r="AQ213" s="23"/>
      <c r="AR213" s="23"/>
      <c r="AS213" s="23"/>
      <c r="AT213" s="23"/>
      <c r="AU213" s="14" t="str">
        <f>HYPERLINK("http://www.openstreetmap.org/?mlat=33.8852&amp;mlon=42.5248&amp;zoom=12#map=12/33.8852/42.5248","Maplink1")</f>
        <v>Maplink1</v>
      </c>
      <c r="AV213" s="14" t="str">
        <f>HYPERLINK("https://www.google.iq/maps/search/+33.8852,42.5248/@33.8852,42.5248,14z?hl=en","Maplink2")</f>
        <v>Maplink2</v>
      </c>
      <c r="AW213" s="14" t="str">
        <f>HYPERLINK("http://www.bing.com/maps/?lvl=14&amp;sty=h&amp;cp=33.8852~42.5248&amp;sp=point.33.8852_42.5248_Hay Al Hurriya","Maplink3")</f>
        <v>Maplink3</v>
      </c>
    </row>
    <row r="214" spans="1:49" ht="15" customHeight="1" x14ac:dyDescent="0.25">
      <c r="A214" s="21">
        <v>228</v>
      </c>
      <c r="B214" s="22" t="s">
        <v>9</v>
      </c>
      <c r="C214" s="22" t="s">
        <v>508</v>
      </c>
      <c r="D214" s="22" t="s">
        <v>611</v>
      </c>
      <c r="E214" s="22" t="s">
        <v>612</v>
      </c>
      <c r="F214" s="22">
        <v>33.639259000000003</v>
      </c>
      <c r="G214" s="22">
        <v>42.825597000000002</v>
      </c>
      <c r="H214" s="21" t="s">
        <v>73</v>
      </c>
      <c r="I214" s="21" t="s">
        <v>511</v>
      </c>
      <c r="J214" s="21" t="s">
        <v>613</v>
      </c>
      <c r="K214" s="24">
        <v>638</v>
      </c>
      <c r="L214" s="24">
        <v>3828</v>
      </c>
      <c r="M214" s="23">
        <v>638</v>
      </c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486</v>
      </c>
      <c r="AG214" s="23"/>
      <c r="AH214" s="23"/>
      <c r="AI214" s="23"/>
      <c r="AJ214" s="23"/>
      <c r="AK214" s="23">
        <v>55</v>
      </c>
      <c r="AL214" s="23"/>
      <c r="AM214" s="23">
        <v>97</v>
      </c>
      <c r="AN214" s="23"/>
      <c r="AO214" s="23">
        <v>638</v>
      </c>
      <c r="AP214" s="23"/>
      <c r="AQ214" s="23"/>
      <c r="AR214" s="23"/>
      <c r="AS214" s="23"/>
      <c r="AT214" s="23"/>
      <c r="AU214" s="14" t="str">
        <f>HYPERLINK("http://www.openstreetmap.org/?mlat=33.6393&amp;mlon=42.8256&amp;zoom=12#map=12/33.6393/42.8256","Maplink1")</f>
        <v>Maplink1</v>
      </c>
      <c r="AV214" s="14" t="str">
        <f>HYPERLINK("https://www.google.iq/maps/search/+33.6393,42.8256/@33.6393,42.8256,14z?hl=en","Maplink2")</f>
        <v>Maplink2</v>
      </c>
      <c r="AW214" s="14" t="str">
        <f>HYPERLINK("http://www.bing.com/maps/?lvl=14&amp;sty=h&amp;cp=33.6393~42.8256&amp;sp=point.33.6393_42.8256_Hay al Jury","Maplink3")</f>
        <v>Maplink3</v>
      </c>
    </row>
    <row r="215" spans="1:49" ht="15" customHeight="1" x14ac:dyDescent="0.25">
      <c r="A215" s="21">
        <v>21470</v>
      </c>
      <c r="B215" s="22" t="s">
        <v>9</v>
      </c>
      <c r="C215" s="22" t="s">
        <v>508</v>
      </c>
      <c r="D215" s="22" t="s">
        <v>614</v>
      </c>
      <c r="E215" s="22" t="s">
        <v>615</v>
      </c>
      <c r="F215" s="22">
        <v>33.881143999999999</v>
      </c>
      <c r="G215" s="22">
        <v>42.525905000000002</v>
      </c>
      <c r="H215" s="21" t="s">
        <v>73</v>
      </c>
      <c r="I215" s="21" t="s">
        <v>511</v>
      </c>
      <c r="J215" s="21" t="s">
        <v>616</v>
      </c>
      <c r="K215" s="24">
        <v>134</v>
      </c>
      <c r="L215" s="24">
        <v>804</v>
      </c>
      <c r="M215" s="23">
        <v>134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62</v>
      </c>
      <c r="AG215" s="23"/>
      <c r="AH215" s="23"/>
      <c r="AI215" s="23"/>
      <c r="AJ215" s="23"/>
      <c r="AK215" s="23">
        <v>14</v>
      </c>
      <c r="AL215" s="23">
        <v>28</v>
      </c>
      <c r="AM215" s="23">
        <v>30</v>
      </c>
      <c r="AN215" s="23"/>
      <c r="AO215" s="23">
        <v>55</v>
      </c>
      <c r="AP215" s="23"/>
      <c r="AQ215" s="23"/>
      <c r="AR215" s="23">
        <v>79</v>
      </c>
      <c r="AS215" s="23"/>
      <c r="AT215" s="23"/>
      <c r="AU215" s="14" t="str">
        <f>HYPERLINK("http://www.openstreetmap.org/?mlat=33.8811&amp;mlon=42.5259&amp;zoom=12#map=12/33.8811/42.5259","Maplink1")</f>
        <v>Maplink1</v>
      </c>
      <c r="AV215" s="14" t="str">
        <f>HYPERLINK("https://www.google.iq/maps/search/+33.8811,42.5259/@33.8811,42.5259,14z?hl=en","Maplink2")</f>
        <v>Maplink2</v>
      </c>
      <c r="AW215" s="14" t="str">
        <f>HYPERLINK("http://www.bing.com/maps/?lvl=14&amp;sty=h&amp;cp=33.8811~42.5259&amp;sp=point.33.8811_42.5259_Hay Al Khadraa","Maplink3")</f>
        <v>Maplink3</v>
      </c>
    </row>
    <row r="216" spans="1:49" ht="15" customHeight="1" x14ac:dyDescent="0.25">
      <c r="A216" s="21">
        <v>23839</v>
      </c>
      <c r="B216" s="22" t="s">
        <v>9</v>
      </c>
      <c r="C216" s="22" t="s">
        <v>508</v>
      </c>
      <c r="D216" s="22" t="s">
        <v>8261</v>
      </c>
      <c r="E216" s="22" t="s">
        <v>617</v>
      </c>
      <c r="F216" s="22">
        <v>33.594890999999997</v>
      </c>
      <c r="G216" s="22">
        <v>42.613263000000003</v>
      </c>
      <c r="H216" s="21" t="s">
        <v>73</v>
      </c>
      <c r="I216" s="21" t="s">
        <v>511</v>
      </c>
      <c r="J216" s="21" t="s">
        <v>618</v>
      </c>
      <c r="K216" s="24">
        <v>90</v>
      </c>
      <c r="L216" s="24">
        <v>540</v>
      </c>
      <c r="M216" s="23">
        <v>90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59</v>
      </c>
      <c r="AG216" s="23"/>
      <c r="AH216" s="23"/>
      <c r="AI216" s="23"/>
      <c r="AJ216" s="23"/>
      <c r="AK216" s="23">
        <v>22</v>
      </c>
      <c r="AL216" s="23"/>
      <c r="AM216" s="23">
        <v>9</v>
      </c>
      <c r="AN216" s="23"/>
      <c r="AO216" s="23">
        <v>90</v>
      </c>
      <c r="AP216" s="23"/>
      <c r="AQ216" s="23"/>
      <c r="AR216" s="23"/>
      <c r="AS216" s="23"/>
      <c r="AT216" s="23"/>
      <c r="AU216" s="14" t="str">
        <f>HYPERLINK("http://www.openstreetmap.org/?mlat=33.5949&amp;mlon=42.6133&amp;zoom=12#map=12/33.5949/42.6133","Maplink1")</f>
        <v>Maplink1</v>
      </c>
      <c r="AV216" s="14" t="str">
        <f>HYPERLINK("https://www.google.iq/maps/search/+33.5949,42.6133/@33.5949,42.6133,14z?hl=en","Maplink2")</f>
        <v>Maplink2</v>
      </c>
      <c r="AW216" s="14" t="str">
        <f>HYPERLINK("http://www.bing.com/maps/?lvl=14&amp;sty=h&amp;cp=33.5949~42.6133&amp;sp=point.33.5949_42.6133_Hay Al Mamoun","Maplink3")</f>
        <v>Maplink3</v>
      </c>
    </row>
    <row r="217" spans="1:49" ht="15" customHeight="1" x14ac:dyDescent="0.25">
      <c r="A217" s="21">
        <v>21469</v>
      </c>
      <c r="B217" s="22" t="s">
        <v>9</v>
      </c>
      <c r="C217" s="22" t="s">
        <v>508</v>
      </c>
      <c r="D217" s="22" t="s">
        <v>227</v>
      </c>
      <c r="E217" s="22" t="s">
        <v>619</v>
      </c>
      <c r="F217" s="22">
        <v>33.870199</v>
      </c>
      <c r="G217" s="22">
        <v>42.52131</v>
      </c>
      <c r="H217" s="21" t="s">
        <v>73</v>
      </c>
      <c r="I217" s="21" t="s">
        <v>511</v>
      </c>
      <c r="J217" s="21" t="s">
        <v>620</v>
      </c>
      <c r="K217" s="24">
        <v>30</v>
      </c>
      <c r="L217" s="24">
        <v>180</v>
      </c>
      <c r="M217" s="23">
        <v>30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7</v>
      </c>
      <c r="AG217" s="23"/>
      <c r="AH217" s="23"/>
      <c r="AI217" s="23"/>
      <c r="AJ217" s="23"/>
      <c r="AK217" s="23">
        <v>6</v>
      </c>
      <c r="AL217" s="23"/>
      <c r="AM217" s="23">
        <v>17</v>
      </c>
      <c r="AN217" s="23"/>
      <c r="AO217" s="23">
        <v>30</v>
      </c>
      <c r="AP217" s="23"/>
      <c r="AQ217" s="23"/>
      <c r="AR217" s="23"/>
      <c r="AS217" s="23"/>
      <c r="AT217" s="23"/>
      <c r="AU217" s="14" t="str">
        <f>HYPERLINK("http://www.openstreetmap.org/?mlat=33.8702&amp;mlon=42.5213&amp;zoom=12#map=12/33.8702/42.5213","Maplink1")</f>
        <v>Maplink1</v>
      </c>
      <c r="AV217" s="14" t="str">
        <f>HYPERLINK("https://www.google.iq/maps/search/+33.8702,42.5213/@33.8702,42.5213,14z?hl=en","Maplink2")</f>
        <v>Maplink2</v>
      </c>
      <c r="AW217" s="14" t="str">
        <f>HYPERLINK("http://www.bing.com/maps/?lvl=14&amp;sty=h&amp;cp=33.8702~42.5213&amp;sp=point.33.8702_42.5213_Hay Al Salam","Maplink3")</f>
        <v>Maplink3</v>
      </c>
    </row>
    <row r="218" spans="1:49" ht="15" customHeight="1" x14ac:dyDescent="0.25">
      <c r="A218" s="21">
        <v>221</v>
      </c>
      <c r="B218" s="22" t="s">
        <v>9</v>
      </c>
      <c r="C218" s="22" t="s">
        <v>508</v>
      </c>
      <c r="D218" s="22" t="s">
        <v>621</v>
      </c>
      <c r="E218" s="22" t="s">
        <v>622</v>
      </c>
      <c r="F218" s="22">
        <v>33.590407999999996</v>
      </c>
      <c r="G218" s="22">
        <v>42.613314000000003</v>
      </c>
      <c r="H218" s="21" t="s">
        <v>73</v>
      </c>
      <c r="I218" s="21" t="s">
        <v>511</v>
      </c>
      <c r="J218" s="21" t="s">
        <v>623</v>
      </c>
      <c r="K218" s="24">
        <v>165</v>
      </c>
      <c r="L218" s="24">
        <v>990</v>
      </c>
      <c r="M218" s="23">
        <v>165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88</v>
      </c>
      <c r="AG218" s="23"/>
      <c r="AH218" s="23"/>
      <c r="AI218" s="23"/>
      <c r="AJ218" s="23">
        <v>5</v>
      </c>
      <c r="AK218" s="23">
        <v>21</v>
      </c>
      <c r="AL218" s="23">
        <v>26</v>
      </c>
      <c r="AM218" s="23">
        <v>25</v>
      </c>
      <c r="AN218" s="23"/>
      <c r="AO218" s="23">
        <v>127</v>
      </c>
      <c r="AP218" s="23">
        <v>38</v>
      </c>
      <c r="AQ218" s="23"/>
      <c r="AR218" s="23"/>
      <c r="AS218" s="23"/>
      <c r="AT218" s="23"/>
      <c r="AU218" s="14" t="str">
        <f>HYPERLINK("http://www.openstreetmap.org/?mlat=33.5904&amp;mlon=42.6133&amp;zoom=12#map=12/33.5904/42.6133","Maplink1")</f>
        <v>Maplink1</v>
      </c>
      <c r="AV218" s="14" t="str">
        <f>HYPERLINK("https://www.google.iq/maps/search/+33.5904,42.6133/@33.5904,42.6133,14z?hl=en","Maplink2")</f>
        <v>Maplink2</v>
      </c>
      <c r="AW218" s="14" t="str">
        <f>HYPERLINK("http://www.bing.com/maps/?lvl=14&amp;sty=h&amp;cp=33.5904~42.6133&amp;sp=point.33.5904_42.6133_Hay Al-Askari","Maplink3")</f>
        <v>Maplink3</v>
      </c>
    </row>
    <row r="219" spans="1:49" ht="15" customHeight="1" x14ac:dyDescent="0.25">
      <c r="A219" s="21">
        <v>21230</v>
      </c>
      <c r="B219" s="22" t="s">
        <v>9</v>
      </c>
      <c r="C219" s="22" t="s">
        <v>508</v>
      </c>
      <c r="D219" s="22" t="s">
        <v>624</v>
      </c>
      <c r="E219" s="22" t="s">
        <v>625</v>
      </c>
      <c r="F219" s="22">
        <v>33.637310999999997</v>
      </c>
      <c r="G219" s="22">
        <v>42.834653000000003</v>
      </c>
      <c r="H219" s="21" t="s">
        <v>73</v>
      </c>
      <c r="I219" s="21" t="s">
        <v>511</v>
      </c>
      <c r="J219" s="21" t="s">
        <v>626</v>
      </c>
      <c r="K219" s="24">
        <v>87</v>
      </c>
      <c r="L219" s="24">
        <v>522</v>
      </c>
      <c r="M219" s="23">
        <v>87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67</v>
      </c>
      <c r="AG219" s="23"/>
      <c r="AH219" s="23"/>
      <c r="AI219" s="23"/>
      <c r="AJ219" s="23"/>
      <c r="AK219" s="23">
        <v>10</v>
      </c>
      <c r="AL219" s="23">
        <v>10</v>
      </c>
      <c r="AM219" s="23"/>
      <c r="AN219" s="23"/>
      <c r="AO219" s="23"/>
      <c r="AP219" s="23"/>
      <c r="AQ219" s="23"/>
      <c r="AR219" s="23">
        <v>87</v>
      </c>
      <c r="AS219" s="23"/>
      <c r="AT219" s="23"/>
      <c r="AU219" s="14" t="str">
        <f>HYPERLINK("http://www.openstreetmap.org/?mlat=33.6373&amp;mlon=42.8347&amp;zoom=12#map=12/33.6373/42.8347","Maplink1")</f>
        <v>Maplink1</v>
      </c>
      <c r="AV219" s="14" t="str">
        <f>HYPERLINK("https://www.google.iq/maps/search/+33.6373,42.8347/@33.6373,42.8347,14z?hl=en","Maplink2")</f>
        <v>Maplink2</v>
      </c>
      <c r="AW219" s="14" t="str">
        <f>HYPERLINK("http://www.bing.com/maps/?lvl=14&amp;sty=h&amp;cp=33.6373~42.8347&amp;sp=point.33.6373_42.8347_Hay Al-Dawarah Al-Sharqiyah","Maplink3")</f>
        <v>Maplink3</v>
      </c>
    </row>
    <row r="220" spans="1:49" ht="15" customHeight="1" x14ac:dyDescent="0.25">
      <c r="A220" s="21">
        <v>218</v>
      </c>
      <c r="B220" s="22" t="s">
        <v>9</v>
      </c>
      <c r="C220" s="22" t="s">
        <v>508</v>
      </c>
      <c r="D220" s="22" t="s">
        <v>627</v>
      </c>
      <c r="E220" s="22" t="s">
        <v>628</v>
      </c>
      <c r="F220" s="22">
        <v>33.632505999999999</v>
      </c>
      <c r="G220" s="22">
        <v>42.830697000000001</v>
      </c>
      <c r="H220" s="21" t="s">
        <v>73</v>
      </c>
      <c r="I220" s="21" t="s">
        <v>511</v>
      </c>
      <c r="J220" s="21" t="s">
        <v>629</v>
      </c>
      <c r="K220" s="24">
        <v>603</v>
      </c>
      <c r="L220" s="24">
        <v>3618</v>
      </c>
      <c r="M220" s="23">
        <v>603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>
        <v>507</v>
      </c>
      <c r="AG220" s="23"/>
      <c r="AH220" s="23"/>
      <c r="AI220" s="23"/>
      <c r="AJ220" s="23"/>
      <c r="AK220" s="23">
        <v>58</v>
      </c>
      <c r="AL220" s="23"/>
      <c r="AM220" s="23">
        <v>38</v>
      </c>
      <c r="AN220" s="23"/>
      <c r="AO220" s="23">
        <v>503</v>
      </c>
      <c r="AP220" s="23"/>
      <c r="AQ220" s="23"/>
      <c r="AR220" s="23"/>
      <c r="AS220" s="23">
        <v>100</v>
      </c>
      <c r="AT220" s="23"/>
      <c r="AU220" s="14" t="str">
        <f>HYPERLINK("http://www.openstreetmap.org/?mlat=33.6325&amp;mlon=42.8307&amp;zoom=12#map=12/33.6325/42.8307","Maplink1")</f>
        <v>Maplink1</v>
      </c>
      <c r="AV220" s="14" t="str">
        <f>HYPERLINK("https://www.google.iq/maps/search/+33.6325,42.8307/@33.6325,42.8307,14z?hl=en","Maplink2")</f>
        <v>Maplink2</v>
      </c>
      <c r="AW220" s="14" t="str">
        <f>HYPERLINK("http://www.bing.com/maps/?lvl=14&amp;sty=h&amp;cp=33.6325~42.8307&amp;sp=point.33.6325_42.8307_Hay Al-Etfaa","Maplink3")</f>
        <v>Maplink3</v>
      </c>
    </row>
    <row r="221" spans="1:49" ht="15" customHeight="1" x14ac:dyDescent="0.25">
      <c r="A221" s="21">
        <v>220</v>
      </c>
      <c r="B221" s="22" t="s">
        <v>9</v>
      </c>
      <c r="C221" s="22" t="s">
        <v>508</v>
      </c>
      <c r="D221" s="22" t="s">
        <v>630</v>
      </c>
      <c r="E221" s="22" t="s">
        <v>631</v>
      </c>
      <c r="F221" s="22">
        <v>33.658118000000002</v>
      </c>
      <c r="G221" s="22">
        <v>42.573441000000003</v>
      </c>
      <c r="H221" s="21" t="s">
        <v>73</v>
      </c>
      <c r="I221" s="21" t="s">
        <v>511</v>
      </c>
      <c r="J221" s="21" t="s">
        <v>632</v>
      </c>
      <c r="K221" s="24">
        <v>124</v>
      </c>
      <c r="L221" s="24">
        <v>744</v>
      </c>
      <c r="M221" s="23">
        <v>124</v>
      </c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67</v>
      </c>
      <c r="AG221" s="23"/>
      <c r="AH221" s="23"/>
      <c r="AI221" s="23"/>
      <c r="AJ221" s="23"/>
      <c r="AK221" s="23">
        <v>22</v>
      </c>
      <c r="AL221" s="23">
        <v>35</v>
      </c>
      <c r="AM221" s="23"/>
      <c r="AN221" s="23"/>
      <c r="AO221" s="23"/>
      <c r="AP221" s="23"/>
      <c r="AQ221" s="23"/>
      <c r="AR221" s="23">
        <v>110</v>
      </c>
      <c r="AS221" s="23">
        <v>14</v>
      </c>
      <c r="AT221" s="23"/>
      <c r="AU221" s="14" t="str">
        <f>HYPERLINK("http://www.openstreetmap.org/?mlat=33.6581&amp;mlon=42.5734&amp;zoom=12#map=12/33.6581/42.5734","Maplink1")</f>
        <v>Maplink1</v>
      </c>
      <c r="AV221" s="14" t="str">
        <f>HYPERLINK("https://www.google.iq/maps/search/+33.6581,42.5734/@33.6581,42.5734,14z?hl=en","Maplink2")</f>
        <v>Maplink2</v>
      </c>
      <c r="AW221" s="14" t="str">
        <f>HYPERLINK("http://www.bing.com/maps/?lvl=14&amp;sty=h&amp;cp=33.6581~42.5734&amp;sp=point.33.6581_42.5734_Hay Al-Hasaniya","Maplink3")</f>
        <v>Maplink3</v>
      </c>
    </row>
    <row r="222" spans="1:49" ht="15" customHeight="1" x14ac:dyDescent="0.25">
      <c r="A222" s="21">
        <v>219</v>
      </c>
      <c r="B222" s="22" t="s">
        <v>9</v>
      </c>
      <c r="C222" s="22" t="s">
        <v>508</v>
      </c>
      <c r="D222" s="22" t="s">
        <v>633</v>
      </c>
      <c r="E222" s="22" t="s">
        <v>634</v>
      </c>
      <c r="F222" s="22">
        <v>33.636519999999997</v>
      </c>
      <c r="G222" s="22">
        <v>42.817701999999997</v>
      </c>
      <c r="H222" s="21" t="s">
        <v>73</v>
      </c>
      <c r="I222" s="21" t="s">
        <v>511</v>
      </c>
      <c r="J222" s="21" t="s">
        <v>635</v>
      </c>
      <c r="K222" s="24">
        <v>327</v>
      </c>
      <c r="L222" s="24">
        <v>1962</v>
      </c>
      <c r="M222" s="23">
        <v>327</v>
      </c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>
        <v>206</v>
      </c>
      <c r="AG222" s="23"/>
      <c r="AH222" s="23"/>
      <c r="AI222" s="23"/>
      <c r="AJ222" s="23"/>
      <c r="AK222" s="23">
        <v>69</v>
      </c>
      <c r="AL222" s="23"/>
      <c r="AM222" s="23">
        <v>52</v>
      </c>
      <c r="AN222" s="23"/>
      <c r="AO222" s="23">
        <v>321</v>
      </c>
      <c r="AP222" s="23"/>
      <c r="AQ222" s="23"/>
      <c r="AR222" s="23">
        <v>6</v>
      </c>
      <c r="AS222" s="23"/>
      <c r="AT222" s="23"/>
      <c r="AU222" s="14" t="str">
        <f>HYPERLINK("http://www.openstreetmap.org/?mlat=33.6365&amp;mlon=42.8177&amp;zoom=12#map=12/33.6365/42.8177","Maplink1")</f>
        <v>Maplink1</v>
      </c>
      <c r="AV222" s="14" t="str">
        <f>HYPERLINK("https://www.google.iq/maps/search/+33.6365,42.8177/@33.6365,42.8177,14z?hl=en","Maplink2")</f>
        <v>Maplink2</v>
      </c>
      <c r="AW222" s="14" t="str">
        <f>HYPERLINK("http://www.bing.com/maps/?lvl=14&amp;sty=h&amp;cp=33.6365~42.8177&amp;sp=point.33.6365_42.8177_Hay Al-Jabal","Maplink3")</f>
        <v>Maplink3</v>
      </c>
    </row>
    <row r="223" spans="1:49" ht="15" customHeight="1" x14ac:dyDescent="0.25">
      <c r="A223" s="21">
        <v>23885</v>
      </c>
      <c r="B223" s="22" t="s">
        <v>9</v>
      </c>
      <c r="C223" s="22" t="s">
        <v>508</v>
      </c>
      <c r="D223" s="22" t="s">
        <v>8262</v>
      </c>
      <c r="E223" s="22" t="s">
        <v>636</v>
      </c>
      <c r="F223" s="22">
        <v>33.630026000000001</v>
      </c>
      <c r="G223" s="22">
        <v>42.843528999999997</v>
      </c>
      <c r="H223" s="21" t="s">
        <v>73</v>
      </c>
      <c r="I223" s="21" t="s">
        <v>511</v>
      </c>
      <c r="J223" s="21" t="s">
        <v>637</v>
      </c>
      <c r="K223" s="24">
        <v>284</v>
      </c>
      <c r="L223" s="24">
        <v>1704</v>
      </c>
      <c r="M223" s="23">
        <v>284</v>
      </c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207</v>
      </c>
      <c r="AG223" s="23"/>
      <c r="AH223" s="23"/>
      <c r="AI223" s="23"/>
      <c r="AJ223" s="23"/>
      <c r="AK223" s="23">
        <v>40</v>
      </c>
      <c r="AL223" s="23"/>
      <c r="AM223" s="23">
        <v>37</v>
      </c>
      <c r="AN223" s="23"/>
      <c r="AO223" s="23">
        <v>267</v>
      </c>
      <c r="AP223" s="23"/>
      <c r="AQ223" s="23"/>
      <c r="AR223" s="23"/>
      <c r="AS223" s="23">
        <v>17</v>
      </c>
      <c r="AT223" s="23"/>
      <c r="AU223" s="14" t="str">
        <f>HYPERLINK("http://www.openstreetmap.org/?mlat=33.63&amp;mlon=42.8435&amp;zoom=12#map=12/33.63/42.8435","Maplink1")</f>
        <v>Maplink1</v>
      </c>
      <c r="AV223" s="14" t="str">
        <f>HYPERLINK("https://www.google.iq/maps/search/+33.63,42.8435/@33.63,42.8435,14z?hl=en","Maplink2")</f>
        <v>Maplink2</v>
      </c>
      <c r="AW223" s="14" t="str">
        <f>HYPERLINK("http://www.bing.com/maps/?lvl=14&amp;sty=h&amp;cp=33.63~42.8435&amp;sp=point.33.63_42.8435_Hay Al-jamyah 2","Maplink3")</f>
        <v>Maplink3</v>
      </c>
    </row>
    <row r="224" spans="1:49" ht="15" customHeight="1" x14ac:dyDescent="0.25">
      <c r="A224" s="21">
        <v>224</v>
      </c>
      <c r="B224" s="22" t="s">
        <v>9</v>
      </c>
      <c r="C224" s="22" t="s">
        <v>508</v>
      </c>
      <c r="D224" s="22" t="s">
        <v>638</v>
      </c>
      <c r="E224" s="22" t="s">
        <v>639</v>
      </c>
      <c r="F224" s="22">
        <v>33.589874999999999</v>
      </c>
      <c r="G224" s="22">
        <v>42.609439999999999</v>
      </c>
      <c r="H224" s="21" t="s">
        <v>73</v>
      </c>
      <c r="I224" s="21" t="s">
        <v>511</v>
      </c>
      <c r="J224" s="21" t="s">
        <v>640</v>
      </c>
      <c r="K224" s="24">
        <v>225</v>
      </c>
      <c r="L224" s="24">
        <v>1350</v>
      </c>
      <c r="M224" s="23">
        <v>225</v>
      </c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112</v>
      </c>
      <c r="AG224" s="23"/>
      <c r="AH224" s="23"/>
      <c r="AI224" s="23"/>
      <c r="AJ224" s="23">
        <v>3</v>
      </c>
      <c r="AK224" s="23">
        <v>9</v>
      </c>
      <c r="AL224" s="23">
        <v>67</v>
      </c>
      <c r="AM224" s="23">
        <v>34</v>
      </c>
      <c r="AN224" s="23"/>
      <c r="AO224" s="23">
        <v>190</v>
      </c>
      <c r="AP224" s="23"/>
      <c r="AQ224" s="23"/>
      <c r="AR224" s="23">
        <v>35</v>
      </c>
      <c r="AS224" s="23"/>
      <c r="AT224" s="23"/>
      <c r="AU224" s="14" t="str">
        <f>HYPERLINK("http://www.openstreetmap.org/?mlat=33.5899&amp;mlon=42.6094&amp;zoom=12#map=12/33.5899/42.6094","Maplink1")</f>
        <v>Maplink1</v>
      </c>
      <c r="AV224" s="14" t="str">
        <f>HYPERLINK("https://www.google.iq/maps/search/+33.5899,42.6094/@33.5899,42.6094,14z?hl=en","Maplink2")</f>
        <v>Maplink2</v>
      </c>
      <c r="AW224" s="14" t="str">
        <f>HYPERLINK("http://www.bing.com/maps/?lvl=14&amp;sty=h&amp;cp=33.5899~42.6094&amp;sp=point.33.5899_42.6094_Hay Al-Khudhir","Maplink3")</f>
        <v>Maplink3</v>
      </c>
    </row>
    <row r="225" spans="1:49" ht="15" customHeight="1" x14ac:dyDescent="0.25">
      <c r="A225" s="21">
        <v>21231</v>
      </c>
      <c r="B225" s="22" t="s">
        <v>9</v>
      </c>
      <c r="C225" s="22" t="s">
        <v>508</v>
      </c>
      <c r="D225" s="22" t="s">
        <v>641</v>
      </c>
      <c r="E225" s="22" t="s">
        <v>642</v>
      </c>
      <c r="F225" s="22">
        <v>33.638007000000002</v>
      </c>
      <c r="G225" s="22">
        <v>42.836699000000003</v>
      </c>
      <c r="H225" s="21" t="s">
        <v>73</v>
      </c>
      <c r="I225" s="21" t="s">
        <v>511</v>
      </c>
      <c r="J225" s="21" t="s">
        <v>643</v>
      </c>
      <c r="K225" s="24">
        <v>123</v>
      </c>
      <c r="L225" s="24">
        <v>738</v>
      </c>
      <c r="M225" s="23">
        <v>123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86</v>
      </c>
      <c r="AG225" s="23"/>
      <c r="AH225" s="23"/>
      <c r="AI225" s="23"/>
      <c r="AJ225" s="23"/>
      <c r="AK225" s="23">
        <v>13</v>
      </c>
      <c r="AL225" s="23"/>
      <c r="AM225" s="23">
        <v>24</v>
      </c>
      <c r="AN225" s="23"/>
      <c r="AO225" s="23">
        <v>77</v>
      </c>
      <c r="AP225" s="23"/>
      <c r="AQ225" s="23"/>
      <c r="AR225" s="23">
        <v>14</v>
      </c>
      <c r="AS225" s="23">
        <v>32</v>
      </c>
      <c r="AT225" s="23"/>
      <c r="AU225" s="14" t="str">
        <f>HYPERLINK("http://www.openstreetmap.org/?mlat=33.6371&amp;mlon=42.8382&amp;zoom=12#map=12/33.6371/42.8382","Maplink1")</f>
        <v>Maplink1</v>
      </c>
      <c r="AV225" s="14" t="str">
        <f>HYPERLINK("https://www.google.iq/maps/search/+33.6371,42.8382/@33.6371,42.8382,14z?hl=en","Maplink2")</f>
        <v>Maplink2</v>
      </c>
      <c r="AW225" s="14" t="str">
        <f>HYPERLINK("http://www.bing.com/maps/?lvl=14&amp;sty=h&amp;cp=33.6371~42.8382&amp;sp=point.33.6371_42.8382_Hay Al-Qadisiyah","Maplink3")</f>
        <v>Maplink3</v>
      </c>
    </row>
    <row r="226" spans="1:49" ht="15" customHeight="1" x14ac:dyDescent="0.25">
      <c r="A226" s="21">
        <v>21408</v>
      </c>
      <c r="B226" s="22" t="s">
        <v>9</v>
      </c>
      <c r="C226" s="22" t="s">
        <v>508</v>
      </c>
      <c r="D226" s="22" t="s">
        <v>644</v>
      </c>
      <c r="E226" s="22" t="s">
        <v>645</v>
      </c>
      <c r="F226" s="22">
        <v>33.876202999999997</v>
      </c>
      <c r="G226" s="22">
        <v>42.526127000000002</v>
      </c>
      <c r="H226" s="21" t="s">
        <v>73</v>
      </c>
      <c r="I226" s="21" t="s">
        <v>511</v>
      </c>
      <c r="J226" s="21" t="s">
        <v>646</v>
      </c>
      <c r="K226" s="24">
        <v>89</v>
      </c>
      <c r="L226" s="24">
        <v>534</v>
      </c>
      <c r="M226" s="23">
        <v>89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60</v>
      </c>
      <c r="AG226" s="23"/>
      <c r="AH226" s="23"/>
      <c r="AI226" s="23"/>
      <c r="AJ226" s="23"/>
      <c r="AK226" s="23">
        <v>4</v>
      </c>
      <c r="AL226" s="23">
        <v>7</v>
      </c>
      <c r="AM226" s="23">
        <v>18</v>
      </c>
      <c r="AN226" s="23"/>
      <c r="AO226" s="23">
        <v>89</v>
      </c>
      <c r="AP226" s="23"/>
      <c r="AQ226" s="23"/>
      <c r="AR226" s="23"/>
      <c r="AS226" s="23"/>
      <c r="AT226" s="23"/>
      <c r="AU226" s="14" t="str">
        <f>HYPERLINK("http://www.openstreetmap.org/?mlat=33.8762&amp;mlon=42.5261&amp;zoom=12#map=12/33.8762/42.5261","Maplink1")</f>
        <v>Maplink1</v>
      </c>
      <c r="AV226" s="14" t="str">
        <f>HYPERLINK("https://www.google.iq/maps/search/+33.8762,42.5261/@33.8762,42.5261,14z?hl=en","Maplink2")</f>
        <v>Maplink2</v>
      </c>
      <c r="AW226" s="14" t="str">
        <f>HYPERLINK("http://www.bing.com/maps/?lvl=14&amp;sty=h&amp;cp=33.8762~42.5261&amp;sp=point.33.8762_42.5261_Hay Al-Quds","Maplink3")</f>
        <v>Maplink3</v>
      </c>
    </row>
    <row r="227" spans="1:49" ht="15" customHeight="1" x14ac:dyDescent="0.25">
      <c r="A227" s="21">
        <v>23837</v>
      </c>
      <c r="B227" s="22" t="s">
        <v>9</v>
      </c>
      <c r="C227" s="22" t="s">
        <v>508</v>
      </c>
      <c r="D227" s="22" t="s">
        <v>647</v>
      </c>
      <c r="E227" s="22" t="s">
        <v>436</v>
      </c>
      <c r="F227" s="22">
        <v>33.587470000000003</v>
      </c>
      <c r="G227" s="22">
        <v>42.608139000000001</v>
      </c>
      <c r="H227" s="21" t="s">
        <v>73</v>
      </c>
      <c r="I227" s="21" t="s">
        <v>511</v>
      </c>
      <c r="J227" s="21" t="s">
        <v>648</v>
      </c>
      <c r="K227" s="24">
        <v>113</v>
      </c>
      <c r="L227" s="24">
        <v>678</v>
      </c>
      <c r="M227" s="23">
        <v>113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61</v>
      </c>
      <c r="AG227" s="23"/>
      <c r="AH227" s="23"/>
      <c r="AI227" s="23"/>
      <c r="AJ227" s="23">
        <v>2</v>
      </c>
      <c r="AK227" s="23">
        <v>17</v>
      </c>
      <c r="AL227" s="23"/>
      <c r="AM227" s="23">
        <v>33</v>
      </c>
      <c r="AN227" s="23"/>
      <c r="AO227" s="23">
        <v>113</v>
      </c>
      <c r="AP227" s="23"/>
      <c r="AQ227" s="23"/>
      <c r="AR227" s="23"/>
      <c r="AS227" s="23"/>
      <c r="AT227" s="23"/>
      <c r="AU227" s="14" t="str">
        <f>HYPERLINK("http://www.openstreetmap.org/?mlat=33.5875&amp;mlon=42.6081&amp;zoom=12#map=12/33.5875/42.6081","Maplink1")</f>
        <v>Maplink1</v>
      </c>
      <c r="AV227" s="14" t="str">
        <f>HYPERLINK("https://www.google.iq/maps/search/+33.5875,42.6081/@33.5875,42.6081,14z?hl=en","Maplink2")</f>
        <v>Maplink2</v>
      </c>
      <c r="AW227" s="14" t="str">
        <f>HYPERLINK("http://www.bing.com/maps/?lvl=14&amp;sty=h&amp;cp=33.5875~42.6081&amp;sp=point.33.5875_42.6081_Hay Al-Sadiq","Maplink3")</f>
        <v>Maplink3</v>
      </c>
    </row>
    <row r="228" spans="1:49" ht="15" customHeight="1" x14ac:dyDescent="0.25">
      <c r="A228" s="21">
        <v>23833</v>
      </c>
      <c r="B228" s="22" t="s">
        <v>9</v>
      </c>
      <c r="C228" s="22" t="s">
        <v>508</v>
      </c>
      <c r="D228" s="22" t="s">
        <v>649</v>
      </c>
      <c r="E228" s="22" t="s">
        <v>662</v>
      </c>
      <c r="F228" s="22">
        <v>33.636071000000001</v>
      </c>
      <c r="G228" s="22">
        <v>42.814709000000001</v>
      </c>
      <c r="H228" s="21" t="s">
        <v>73</v>
      </c>
      <c r="I228" s="21" t="s">
        <v>511</v>
      </c>
      <c r="J228" s="21" t="s">
        <v>650</v>
      </c>
      <c r="K228" s="24">
        <v>220</v>
      </c>
      <c r="L228" s="24">
        <v>1320</v>
      </c>
      <c r="M228" s="23">
        <v>220</v>
      </c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>
        <v>220</v>
      </c>
      <c r="AN228" s="23"/>
      <c r="AO228" s="23">
        <v>220</v>
      </c>
      <c r="AP228" s="23"/>
      <c r="AQ228" s="23"/>
      <c r="AR228" s="23"/>
      <c r="AS228" s="23"/>
      <c r="AT228" s="23"/>
      <c r="AU228" s="14" t="str">
        <f>HYPERLINK("http://www.openstreetmap.org/?mlat=33.6361&amp;mlon=42.8147&amp;zoom=12#map=12/33.6361/42.8147","Maplink1")</f>
        <v>Maplink1</v>
      </c>
      <c r="AV228" s="14" t="str">
        <f>HYPERLINK("https://www.google.iq/maps/search/+33.6361,42.8147/@33.6361,42.8147,14z?hl=en","Maplink2")</f>
        <v>Maplink2</v>
      </c>
      <c r="AW228" s="14" t="str">
        <f>HYPERLINK("http://www.bing.com/maps/?lvl=14&amp;sty=h&amp;cp=33.6361~42.8147&amp;sp=point.33.6361_42.8147_Hay Al-Sinay","Maplink3")</f>
        <v>Maplink3</v>
      </c>
    </row>
    <row r="229" spans="1:49" ht="15" customHeight="1" x14ac:dyDescent="0.25">
      <c r="A229" s="21">
        <v>23886</v>
      </c>
      <c r="B229" s="22" t="s">
        <v>9</v>
      </c>
      <c r="C229" s="22" t="s">
        <v>508</v>
      </c>
      <c r="D229" s="22" t="s">
        <v>651</v>
      </c>
      <c r="E229" s="22" t="s">
        <v>652</v>
      </c>
      <c r="F229" s="22">
        <v>33.892074000000001</v>
      </c>
      <c r="G229" s="22">
        <v>42.709912000000003</v>
      </c>
      <c r="H229" s="21" t="s">
        <v>73</v>
      </c>
      <c r="I229" s="21" t="s">
        <v>511</v>
      </c>
      <c r="J229" s="21" t="s">
        <v>653</v>
      </c>
      <c r="K229" s="24">
        <v>9</v>
      </c>
      <c r="L229" s="24">
        <v>54</v>
      </c>
      <c r="M229" s="23">
        <v>9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>
        <v>3</v>
      </c>
      <c r="AK229" s="23"/>
      <c r="AL229" s="23"/>
      <c r="AM229" s="23">
        <v>6</v>
      </c>
      <c r="AN229" s="23"/>
      <c r="AO229" s="23">
        <v>9</v>
      </c>
      <c r="AP229" s="23"/>
      <c r="AQ229" s="23"/>
      <c r="AR229" s="23"/>
      <c r="AS229" s="23"/>
      <c r="AT229" s="23"/>
      <c r="AU229" s="14" t="str">
        <f>HYPERLINK("http://www.openstreetmap.org/?mlat=33.8921&amp;mlon=42.7099&amp;zoom=12#map=12/33.8921/42.7099","Maplink1")</f>
        <v>Maplink1</v>
      </c>
      <c r="AV229" s="14" t="str">
        <f>HYPERLINK("https://www.google.iq/maps/search/+33.8921,42.7099/@33.8921,42.7099,14z?hl=en","Maplink2")</f>
        <v>Maplink2</v>
      </c>
      <c r="AW229" s="14" t="str">
        <f>HYPERLINK("http://www.bing.com/maps/?lvl=14&amp;sty=h&amp;cp=33.8921~42.7099&amp;sp=point.33.8921_42.7099_Hay Al-Sirajiyah","Maplink3")</f>
        <v>Maplink3</v>
      </c>
    </row>
    <row r="230" spans="1:49" ht="15" customHeight="1" x14ac:dyDescent="0.25">
      <c r="A230" s="21">
        <v>226</v>
      </c>
      <c r="B230" s="22" t="s">
        <v>9</v>
      </c>
      <c r="C230" s="22" t="s">
        <v>508</v>
      </c>
      <c r="D230" s="22" t="s">
        <v>654</v>
      </c>
      <c r="E230" s="22" t="s">
        <v>655</v>
      </c>
      <c r="F230" s="22">
        <v>33.626868000000002</v>
      </c>
      <c r="G230" s="22">
        <v>42.839903</v>
      </c>
      <c r="H230" s="21" t="s">
        <v>73</v>
      </c>
      <c r="I230" s="21" t="s">
        <v>511</v>
      </c>
      <c r="J230" s="21" t="s">
        <v>656</v>
      </c>
      <c r="K230" s="24">
        <v>189</v>
      </c>
      <c r="L230" s="24">
        <v>1134</v>
      </c>
      <c r="M230" s="23">
        <v>189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157</v>
      </c>
      <c r="AG230" s="23"/>
      <c r="AH230" s="23"/>
      <c r="AI230" s="23"/>
      <c r="AJ230" s="23"/>
      <c r="AK230" s="23">
        <v>10</v>
      </c>
      <c r="AL230" s="23"/>
      <c r="AM230" s="23">
        <v>22</v>
      </c>
      <c r="AN230" s="23"/>
      <c r="AO230" s="23">
        <v>167</v>
      </c>
      <c r="AP230" s="23"/>
      <c r="AQ230" s="23"/>
      <c r="AR230" s="23">
        <v>22</v>
      </c>
      <c r="AS230" s="23"/>
      <c r="AT230" s="23"/>
      <c r="AU230" s="14" t="str">
        <f>HYPERLINK("http://www.openstreetmap.org/?mlat=33.6269&amp;mlon=42.8399&amp;zoom=12#map=12/33.6269/42.8399","Maplink1")</f>
        <v>Maplink1</v>
      </c>
      <c r="AV230" s="14" t="str">
        <f>HYPERLINK("https://www.google.iq/maps/search/+33.6269,42.8399/@33.6269,42.8399,14z?hl=en","Maplink2")</f>
        <v>Maplink2</v>
      </c>
      <c r="AW230" s="14" t="str">
        <f>HYPERLINK("http://www.bing.com/maps/?lvl=14&amp;sty=h&amp;cp=33.6269~42.8399&amp;sp=point.33.6269_42.8399_Hay Al-Zuhoor","Maplink3")</f>
        <v>Maplink3</v>
      </c>
    </row>
    <row r="231" spans="1:49" ht="15" customHeight="1" x14ac:dyDescent="0.25">
      <c r="A231" s="21">
        <v>53</v>
      </c>
      <c r="B231" s="22" t="s">
        <v>9</v>
      </c>
      <c r="C231" s="22" t="s">
        <v>508</v>
      </c>
      <c r="D231" s="22" t="s">
        <v>8168</v>
      </c>
      <c r="E231" s="22" t="s">
        <v>657</v>
      </c>
      <c r="F231" s="22">
        <v>33.698059999999998</v>
      </c>
      <c r="G231" s="22">
        <v>42.746380000000002</v>
      </c>
      <c r="H231" s="21" t="s">
        <v>73</v>
      </c>
      <c r="I231" s="21" t="s">
        <v>511</v>
      </c>
      <c r="J231" s="21" t="s">
        <v>658</v>
      </c>
      <c r="K231" s="24">
        <v>82</v>
      </c>
      <c r="L231" s="24">
        <v>492</v>
      </c>
      <c r="M231" s="23">
        <v>82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75</v>
      </c>
      <c r="AG231" s="23"/>
      <c r="AH231" s="23"/>
      <c r="AI231" s="23"/>
      <c r="AJ231" s="23"/>
      <c r="AK231" s="23"/>
      <c r="AL231" s="23"/>
      <c r="AM231" s="23">
        <v>7</v>
      </c>
      <c r="AN231" s="23"/>
      <c r="AO231" s="23">
        <v>67</v>
      </c>
      <c r="AP231" s="23"/>
      <c r="AQ231" s="23"/>
      <c r="AR231" s="23"/>
      <c r="AS231" s="23">
        <v>15</v>
      </c>
      <c r="AT231" s="23"/>
      <c r="AU231" s="14" t="str">
        <f>HYPERLINK("http://www.openstreetmap.org/?mlat=33.6981&amp;mlon=42.7464&amp;zoom=12#map=12/33.6981/42.7464","Maplink1")</f>
        <v>Maplink1</v>
      </c>
      <c r="AV231" s="14" t="str">
        <f>HYPERLINK("https://www.google.iq/maps/search/+33.6981,42.7464/@33.6981,42.7464,14z?hl=en","Maplink2")</f>
        <v>Maplink2</v>
      </c>
      <c r="AW231" s="14" t="str">
        <f>HYPERLINK("http://www.bing.com/maps/?lvl=14&amp;sty=h&amp;cp=33.6981~42.7464&amp;sp=point.33.6981_42.7464_Heet-Maskhan","Maplink3")</f>
        <v>Maplink3</v>
      </c>
    </row>
    <row r="232" spans="1:49" ht="15" customHeight="1" x14ac:dyDescent="0.25">
      <c r="A232" s="21">
        <v>41</v>
      </c>
      <c r="B232" s="22" t="s">
        <v>9</v>
      </c>
      <c r="C232" s="22" t="s">
        <v>508</v>
      </c>
      <c r="D232" s="22" t="s">
        <v>659</v>
      </c>
      <c r="E232" s="22" t="s">
        <v>660</v>
      </c>
      <c r="F232" s="22">
        <v>33.907415999999998</v>
      </c>
      <c r="G232" s="22">
        <v>42.544311999999998</v>
      </c>
      <c r="H232" s="21" t="s">
        <v>73</v>
      </c>
      <c r="I232" s="21" t="s">
        <v>511</v>
      </c>
      <c r="J232" s="21" t="s">
        <v>661</v>
      </c>
      <c r="K232" s="24">
        <v>81</v>
      </c>
      <c r="L232" s="24">
        <v>486</v>
      </c>
      <c r="M232" s="23">
        <v>81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64</v>
      </c>
      <c r="AG232" s="23"/>
      <c r="AH232" s="23"/>
      <c r="AI232" s="23"/>
      <c r="AJ232" s="23"/>
      <c r="AK232" s="23">
        <v>5</v>
      </c>
      <c r="AL232" s="23"/>
      <c r="AM232" s="23">
        <v>12</v>
      </c>
      <c r="AN232" s="23"/>
      <c r="AO232" s="23">
        <v>81</v>
      </c>
      <c r="AP232" s="23"/>
      <c r="AQ232" s="23"/>
      <c r="AR232" s="23"/>
      <c r="AS232" s="23"/>
      <c r="AT232" s="23"/>
      <c r="AU232" s="14" t="str">
        <f>HYPERLINK("http://www.openstreetmap.org/?mlat=33.9074&amp;mlon=42.5443&amp;zoom=12#map=12/33.9074/42.5443","Maplink1")</f>
        <v>Maplink1</v>
      </c>
      <c r="AV232" s="14" t="str">
        <f>HYPERLINK("https://www.google.iq/maps/search/+33.9074,42.5443/@33.9074,42.5443,14z?hl=en","Maplink2")</f>
        <v>Maplink2</v>
      </c>
      <c r="AW232" s="14" t="str">
        <f>HYPERLINK("http://www.bing.com/maps/?lvl=14&amp;sty=h&amp;cp=33.9074~42.5443&amp;sp=point.33.9074_42.5443_Jubbah","Maplink3")</f>
        <v>Maplink3</v>
      </c>
    </row>
    <row r="233" spans="1:49" ht="15" customHeight="1" x14ac:dyDescent="0.25">
      <c r="A233" s="21">
        <v>23835</v>
      </c>
      <c r="B233" s="22" t="s">
        <v>9</v>
      </c>
      <c r="C233" s="22" t="s">
        <v>508</v>
      </c>
      <c r="D233" s="22" t="s">
        <v>8263</v>
      </c>
      <c r="E233" s="22" t="s">
        <v>662</v>
      </c>
      <c r="F233" s="22">
        <v>33.592497000000002</v>
      </c>
      <c r="G233" s="22">
        <v>42.623727000000002</v>
      </c>
      <c r="H233" s="21" t="s">
        <v>73</v>
      </c>
      <c r="I233" s="21" t="s">
        <v>511</v>
      </c>
      <c r="J233" s="21" t="s">
        <v>663</v>
      </c>
      <c r="K233" s="24">
        <v>104</v>
      </c>
      <c r="L233" s="24">
        <v>624</v>
      </c>
      <c r="M233" s="23">
        <v>104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21</v>
      </c>
      <c r="AG233" s="23"/>
      <c r="AH233" s="23"/>
      <c r="AI233" s="23"/>
      <c r="AJ233" s="23">
        <v>4</v>
      </c>
      <c r="AK233" s="23">
        <v>29</v>
      </c>
      <c r="AL233" s="23"/>
      <c r="AM233" s="23">
        <v>50</v>
      </c>
      <c r="AN233" s="23"/>
      <c r="AO233" s="23">
        <v>104</v>
      </c>
      <c r="AP233" s="23"/>
      <c r="AQ233" s="23"/>
      <c r="AR233" s="23"/>
      <c r="AS233" s="23"/>
      <c r="AT233" s="23"/>
      <c r="AU233" s="14" t="str">
        <f>HYPERLINK("http://www.openstreetmap.org/?mlat=33.5925&amp;mlon=42.6237&amp;zoom=12#map=12/33.5925/42.6237","Maplink1")</f>
        <v>Maplink1</v>
      </c>
      <c r="AV233" s="14" t="str">
        <f>HYPERLINK("https://www.google.iq/maps/search/+33.5925,42.6237/@33.5925,42.6237,14z?hl=en","Maplink2")</f>
        <v>Maplink2</v>
      </c>
      <c r="AW233" s="14" t="str">
        <f>HYPERLINK("http://www.bing.com/maps/?lvl=14&amp;sty=h&amp;cp=33.5925~42.6237&amp;sp=point.33.5925_42.6237_Kapisah-Hay Al-Sinay","Maplink3")</f>
        <v>Maplink3</v>
      </c>
    </row>
    <row r="234" spans="1:49" ht="15" customHeight="1" x14ac:dyDescent="0.25">
      <c r="A234" s="21">
        <v>5</v>
      </c>
      <c r="B234" s="22" t="s">
        <v>9</v>
      </c>
      <c r="C234" s="22" t="s">
        <v>508</v>
      </c>
      <c r="D234" s="22" t="s">
        <v>664</v>
      </c>
      <c r="E234" s="22" t="s">
        <v>665</v>
      </c>
      <c r="F234" s="22">
        <v>33.591861000000002</v>
      </c>
      <c r="G234" s="22">
        <v>42.611404999999998</v>
      </c>
      <c r="H234" s="21" t="s">
        <v>73</v>
      </c>
      <c r="I234" s="21" t="s">
        <v>511</v>
      </c>
      <c r="J234" s="21" t="s">
        <v>666</v>
      </c>
      <c r="K234" s="24">
        <v>85</v>
      </c>
      <c r="L234" s="24">
        <v>510</v>
      </c>
      <c r="M234" s="23">
        <v>85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>
        <v>57</v>
      </c>
      <c r="AG234" s="23"/>
      <c r="AH234" s="23"/>
      <c r="AI234" s="23"/>
      <c r="AJ234" s="23"/>
      <c r="AK234" s="23">
        <v>4</v>
      </c>
      <c r="AL234" s="23"/>
      <c r="AM234" s="23">
        <v>24</v>
      </c>
      <c r="AN234" s="23"/>
      <c r="AO234" s="23">
        <v>85</v>
      </c>
      <c r="AP234" s="23"/>
      <c r="AQ234" s="23"/>
      <c r="AR234" s="23"/>
      <c r="AS234" s="23"/>
      <c r="AT234" s="23"/>
      <c r="AU234" s="14" t="str">
        <f>HYPERLINK("http://www.openstreetmap.org/?mlat=33.5919&amp;mlon=42.6114&amp;zoom=12#map=12/33.5919/42.6114","Maplink1")</f>
        <v>Maplink1</v>
      </c>
      <c r="AV234" s="14" t="str">
        <f>HYPERLINK("https://www.google.iq/maps/search/+33.5919,42.6114/@33.5919,42.6114,14z?hl=en","Maplink2")</f>
        <v>Maplink2</v>
      </c>
      <c r="AW234" s="14" t="str">
        <f>HYPERLINK("http://www.bing.com/maps/?lvl=14&amp;sty=h&amp;cp=33.5919~42.6114&amp;sp=point.33.5919_42.6114_Kubaisa Al-qadimah","Maplink3")</f>
        <v>Maplink3</v>
      </c>
    </row>
    <row r="235" spans="1:49" ht="15" customHeight="1" x14ac:dyDescent="0.25">
      <c r="A235" s="21">
        <v>24335</v>
      </c>
      <c r="B235" s="22" t="s">
        <v>9</v>
      </c>
      <c r="C235" s="22" t="s">
        <v>508</v>
      </c>
      <c r="D235" s="22" t="s">
        <v>667</v>
      </c>
      <c r="E235" s="22" t="s">
        <v>668</v>
      </c>
      <c r="F235" s="22">
        <v>33.704428999999998</v>
      </c>
      <c r="G235" s="22">
        <v>42.771718</v>
      </c>
      <c r="H235" s="21" t="s">
        <v>73</v>
      </c>
      <c r="I235" s="21" t="s">
        <v>511</v>
      </c>
      <c r="J235" s="21"/>
      <c r="K235" s="24">
        <v>60</v>
      </c>
      <c r="L235" s="24">
        <v>360</v>
      </c>
      <c r="M235" s="23">
        <v>60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>
        <v>60</v>
      </c>
      <c r="AG235" s="23"/>
      <c r="AH235" s="23"/>
      <c r="AI235" s="23"/>
      <c r="AJ235" s="23"/>
      <c r="AK235" s="23"/>
      <c r="AL235" s="23"/>
      <c r="AM235" s="23"/>
      <c r="AN235" s="23"/>
      <c r="AO235" s="23"/>
      <c r="AP235" s="23">
        <v>60</v>
      </c>
      <c r="AQ235" s="23"/>
      <c r="AR235" s="23"/>
      <c r="AS235" s="23"/>
      <c r="AT235" s="23"/>
      <c r="AU235" s="14" t="str">
        <f>HYPERLINK("http://www.openstreetmap.org/?mlat=33.7044&amp;mlon=42.7717&amp;zoom=12#map=12/33.7044/42.7717","Maplink1")</f>
        <v>Maplink1</v>
      </c>
      <c r="AV235" s="14" t="str">
        <f>HYPERLINK("https://www.google.iq/maps/search/+33.7044,42.7717/@33.7044,42.7717,14z?hl=en","Maplink2")</f>
        <v>Maplink2</v>
      </c>
      <c r="AW235" s="14" t="str">
        <f>HYPERLINK("http://www.bing.com/maps/?lvl=14&amp;sty=h&amp;cp=33.7044~42.7717&amp;sp=point.33.7044_42.7717_Manazil","Maplink3")</f>
        <v>Maplink3</v>
      </c>
    </row>
    <row r="236" spans="1:49" ht="15" customHeight="1" x14ac:dyDescent="0.25">
      <c r="A236" s="21">
        <v>191</v>
      </c>
      <c r="B236" s="22" t="s">
        <v>9</v>
      </c>
      <c r="C236" s="22" t="s">
        <v>508</v>
      </c>
      <c r="D236" s="22" t="s">
        <v>669</v>
      </c>
      <c r="E236" s="22" t="s">
        <v>670</v>
      </c>
      <c r="F236" s="22">
        <v>33.642051000000002</v>
      </c>
      <c r="G236" s="22">
        <v>42.812998999999998</v>
      </c>
      <c r="H236" s="21" t="s">
        <v>73</v>
      </c>
      <c r="I236" s="21" t="s">
        <v>511</v>
      </c>
      <c r="J236" s="21" t="s">
        <v>671</v>
      </c>
      <c r="K236" s="24">
        <v>253</v>
      </c>
      <c r="L236" s="24">
        <v>1518</v>
      </c>
      <c r="M236" s="23">
        <v>253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>
        <v>158</v>
      </c>
      <c r="AG236" s="23"/>
      <c r="AH236" s="23"/>
      <c r="AI236" s="23"/>
      <c r="AJ236" s="23"/>
      <c r="AK236" s="23">
        <v>10</v>
      </c>
      <c r="AL236" s="23">
        <v>38</v>
      </c>
      <c r="AM236" s="23">
        <v>47</v>
      </c>
      <c r="AN236" s="23"/>
      <c r="AO236" s="23">
        <v>246</v>
      </c>
      <c r="AP236" s="23"/>
      <c r="AQ236" s="23"/>
      <c r="AR236" s="23">
        <v>7</v>
      </c>
      <c r="AS236" s="23"/>
      <c r="AT236" s="23"/>
      <c r="AU236" s="14" t="str">
        <f>HYPERLINK("http://www.openstreetmap.org/?mlat=33.6423&amp;mlon=42.8137&amp;zoom=12#map=12/33.6423/42.8137","Maplink1")</f>
        <v>Maplink1</v>
      </c>
      <c r="AV236" s="14" t="str">
        <f>HYPERLINK("https://www.google.iq/maps/search/+33.6423,42.8137/@33.6423,42.8137,14z?hl=en","Maplink2")</f>
        <v>Maplink2</v>
      </c>
      <c r="AW236" s="14" t="str">
        <f>HYPERLINK("http://www.bing.com/maps/?lvl=14&amp;sty=h&amp;cp=33.6423~42.8137&amp;sp=point.33.6423_42.8137_Mualmeen","Maplink3")</f>
        <v>Maplink3</v>
      </c>
    </row>
    <row r="237" spans="1:49" ht="15" customHeight="1" x14ac:dyDescent="0.25">
      <c r="A237" s="21">
        <v>21322</v>
      </c>
      <c r="B237" s="22" t="s">
        <v>9</v>
      </c>
      <c r="C237" s="22" t="s">
        <v>508</v>
      </c>
      <c r="D237" s="22" t="s">
        <v>672</v>
      </c>
      <c r="E237" s="22" t="s">
        <v>673</v>
      </c>
      <c r="F237" s="22">
        <v>33.891779</v>
      </c>
      <c r="G237" s="22">
        <v>42.621493999999998</v>
      </c>
      <c r="H237" s="21" t="s">
        <v>73</v>
      </c>
      <c r="I237" s="21" t="s">
        <v>511</v>
      </c>
      <c r="J237" s="21" t="s">
        <v>674</v>
      </c>
      <c r="K237" s="24">
        <v>59</v>
      </c>
      <c r="L237" s="24">
        <v>354</v>
      </c>
      <c r="M237" s="23">
        <v>59</v>
      </c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42</v>
      </c>
      <c r="AG237" s="23"/>
      <c r="AH237" s="23"/>
      <c r="AI237" s="23"/>
      <c r="AJ237" s="23"/>
      <c r="AK237" s="23"/>
      <c r="AL237" s="23"/>
      <c r="AM237" s="23">
        <v>17</v>
      </c>
      <c r="AN237" s="23"/>
      <c r="AO237" s="23">
        <v>22</v>
      </c>
      <c r="AP237" s="23">
        <v>37</v>
      </c>
      <c r="AQ237" s="23"/>
      <c r="AR237" s="23"/>
      <c r="AS237" s="23"/>
      <c r="AT237" s="23"/>
      <c r="AU237" s="14" t="str">
        <f>HYPERLINK("http://www.openstreetmap.org/?mlat=33.8918&amp;mlon=42.6215&amp;zoom=12#map=12/33.8918/42.6215","Maplink1")</f>
        <v>Maplink1</v>
      </c>
      <c r="AV237" s="14" t="str">
        <f>HYPERLINK("https://www.google.iq/maps/search/+33.8918,42.6215/@33.8918,42.6215,14z?hl=en","Maplink2")</f>
        <v>Maplink2</v>
      </c>
      <c r="AW237" s="14" t="str">
        <f>HYPERLINK("http://www.bing.com/maps/?lvl=14&amp;sty=h&amp;cp=33.8918~42.6215&amp;sp=point.33.8918_42.6215_Qaryat Al-Dolab","Maplink3")</f>
        <v>Maplink3</v>
      </c>
    </row>
    <row r="238" spans="1:49" ht="15" customHeight="1" x14ac:dyDescent="0.25">
      <c r="A238" s="21">
        <v>70</v>
      </c>
      <c r="B238" s="22" t="s">
        <v>9</v>
      </c>
      <c r="C238" s="22" t="s">
        <v>508</v>
      </c>
      <c r="D238" s="22" t="s">
        <v>675</v>
      </c>
      <c r="E238" s="22" t="s">
        <v>676</v>
      </c>
      <c r="F238" s="22">
        <v>33.867491999999999</v>
      </c>
      <c r="G238" s="22">
        <v>42.522739000000001</v>
      </c>
      <c r="H238" s="21" t="s">
        <v>73</v>
      </c>
      <c r="I238" s="21" t="s">
        <v>511</v>
      </c>
      <c r="J238" s="21" t="s">
        <v>677</v>
      </c>
      <c r="K238" s="24">
        <v>27</v>
      </c>
      <c r="L238" s="24">
        <v>162</v>
      </c>
      <c r="M238" s="23">
        <v>27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>
        <v>22</v>
      </c>
      <c r="AG238" s="23"/>
      <c r="AH238" s="23"/>
      <c r="AI238" s="23"/>
      <c r="AJ238" s="23"/>
      <c r="AK238" s="23"/>
      <c r="AL238" s="23"/>
      <c r="AM238" s="23">
        <v>5</v>
      </c>
      <c r="AN238" s="23"/>
      <c r="AO238" s="23">
        <v>27</v>
      </c>
      <c r="AP238" s="23"/>
      <c r="AQ238" s="23"/>
      <c r="AR238" s="23"/>
      <c r="AS238" s="23"/>
      <c r="AT238" s="23"/>
      <c r="AU238" s="14" t="str">
        <f>HYPERLINK("http://www.openstreetmap.org/?mlat=33.8675&amp;mlon=42.5227&amp;zoom=12#map=12/33.8675/42.5227","Maplink1")</f>
        <v>Maplink1</v>
      </c>
      <c r="AV238" s="14" t="str">
        <f>HYPERLINK("https://www.google.iq/maps/search/+33.8675,42.5227/@33.8675,42.5227,14z?hl=en","Maplink2")</f>
        <v>Maplink2</v>
      </c>
      <c r="AW238" s="14" t="str">
        <f>HYPERLINK("http://www.bing.com/maps/?lvl=14&amp;sty=h&amp;cp=33.8675~42.5227&amp;sp=point.33.8675_42.5227_Samalah","Maplink3")</f>
        <v>Maplink3</v>
      </c>
    </row>
    <row r="239" spans="1:49" ht="15" customHeight="1" x14ac:dyDescent="0.25">
      <c r="A239" s="21">
        <v>73</v>
      </c>
      <c r="B239" s="22" t="s">
        <v>9</v>
      </c>
      <c r="C239" s="22" t="s">
        <v>508</v>
      </c>
      <c r="D239" s="22" t="s">
        <v>678</v>
      </c>
      <c r="E239" s="22" t="s">
        <v>679</v>
      </c>
      <c r="F239" s="22">
        <v>33.970179000000002</v>
      </c>
      <c r="G239" s="22">
        <v>42.562407999999998</v>
      </c>
      <c r="H239" s="21" t="s">
        <v>73</v>
      </c>
      <c r="I239" s="21" t="s">
        <v>511</v>
      </c>
      <c r="J239" s="21" t="s">
        <v>680</v>
      </c>
      <c r="K239" s="24">
        <v>35</v>
      </c>
      <c r="L239" s="24">
        <v>210</v>
      </c>
      <c r="M239" s="23">
        <v>35</v>
      </c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28</v>
      </c>
      <c r="AG239" s="23"/>
      <c r="AH239" s="23"/>
      <c r="AI239" s="23"/>
      <c r="AJ239" s="23"/>
      <c r="AK239" s="23"/>
      <c r="AL239" s="23"/>
      <c r="AM239" s="23">
        <v>7</v>
      </c>
      <c r="AN239" s="23"/>
      <c r="AO239" s="23">
        <v>35</v>
      </c>
      <c r="AP239" s="23"/>
      <c r="AQ239" s="23"/>
      <c r="AR239" s="23"/>
      <c r="AS239" s="23"/>
      <c r="AT239" s="23"/>
      <c r="AU239" s="14" t="str">
        <f>HYPERLINK("http://www.openstreetmap.org/?mlat=33.9702&amp;mlon=42.5624&amp;zoom=12#map=12/33.9702/42.5624","Maplink1")</f>
        <v>Maplink1</v>
      </c>
      <c r="AV239" s="14" t="str">
        <f>HYPERLINK("https://www.google.iq/maps/search/+33.9702,42.5624/@33.9702,42.5624,14z?hl=en","Maplink2")</f>
        <v>Maplink2</v>
      </c>
      <c r="AW239" s="14" t="str">
        <f>HYPERLINK("http://www.bing.com/maps/?lvl=14&amp;sty=h&amp;cp=33.9702~42.5624&amp;sp=point.33.9702_42.5624_Sawar","Maplink3")</f>
        <v>Maplink3</v>
      </c>
    </row>
    <row r="240" spans="1:49" ht="15" customHeight="1" x14ac:dyDescent="0.25">
      <c r="A240" s="21">
        <v>137</v>
      </c>
      <c r="B240" s="22" t="s">
        <v>9</v>
      </c>
      <c r="C240" s="22" t="s">
        <v>508</v>
      </c>
      <c r="D240" s="22" t="s">
        <v>681</v>
      </c>
      <c r="E240" s="22" t="s">
        <v>682</v>
      </c>
      <c r="F240" s="22">
        <v>33.599010999999997</v>
      </c>
      <c r="G240" s="22">
        <v>42.888981999999999</v>
      </c>
      <c r="H240" s="21" t="s">
        <v>73</v>
      </c>
      <c r="I240" s="21" t="s">
        <v>511</v>
      </c>
      <c r="J240" s="21" t="s">
        <v>683</v>
      </c>
      <c r="K240" s="24">
        <v>196</v>
      </c>
      <c r="L240" s="24">
        <v>1176</v>
      </c>
      <c r="M240" s="23">
        <v>196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>
        <v>161</v>
      </c>
      <c r="AG240" s="23"/>
      <c r="AH240" s="23"/>
      <c r="AI240" s="23"/>
      <c r="AJ240" s="23"/>
      <c r="AK240" s="23">
        <v>12</v>
      </c>
      <c r="AL240" s="23"/>
      <c r="AM240" s="23">
        <v>23</v>
      </c>
      <c r="AN240" s="23"/>
      <c r="AO240" s="23">
        <v>124</v>
      </c>
      <c r="AP240" s="23"/>
      <c r="AQ240" s="23"/>
      <c r="AR240" s="23"/>
      <c r="AS240" s="23">
        <v>72</v>
      </c>
      <c r="AT240" s="23"/>
      <c r="AU240" s="14" t="str">
        <f>HYPERLINK("http://www.openstreetmap.org/?mlat=33.599&amp;mlon=42.889&amp;zoom=12#map=12/33.599/42.889","Maplink1")</f>
        <v>Maplink1</v>
      </c>
      <c r="AV240" s="14" t="str">
        <f>HYPERLINK("https://www.google.iq/maps/search/+33.599,42.889/@33.599,42.889,14z?hl=en","Maplink2")</f>
        <v>Maplink2</v>
      </c>
      <c r="AW240" s="14" t="str">
        <f>HYPERLINK("http://www.bing.com/maps/?lvl=14&amp;sty=h&amp;cp=33.599~42.889&amp;sp=point.33.599_42.889_Saweeb","Maplink3")</f>
        <v>Maplink3</v>
      </c>
    </row>
    <row r="241" spans="1:49" ht="15" customHeight="1" x14ac:dyDescent="0.25">
      <c r="A241" s="21">
        <v>23836</v>
      </c>
      <c r="B241" s="22" t="s">
        <v>9</v>
      </c>
      <c r="C241" s="22" t="s">
        <v>508</v>
      </c>
      <c r="D241" s="22" t="s">
        <v>684</v>
      </c>
      <c r="E241" s="22" t="s">
        <v>685</v>
      </c>
      <c r="F241" s="22">
        <v>33.594790000000003</v>
      </c>
      <c r="G241" s="22">
        <v>42.623876000000003</v>
      </c>
      <c r="H241" s="21" t="s">
        <v>73</v>
      </c>
      <c r="I241" s="21" t="s">
        <v>511</v>
      </c>
      <c r="J241" s="21" t="s">
        <v>686</v>
      </c>
      <c r="K241" s="24">
        <v>135</v>
      </c>
      <c r="L241" s="24">
        <v>810</v>
      </c>
      <c r="M241" s="23">
        <v>135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67</v>
      </c>
      <c r="AG241" s="23"/>
      <c r="AH241" s="23"/>
      <c r="AI241" s="23"/>
      <c r="AJ241" s="23"/>
      <c r="AK241" s="23">
        <v>24</v>
      </c>
      <c r="AL241" s="23">
        <v>33</v>
      </c>
      <c r="AM241" s="23">
        <v>11</v>
      </c>
      <c r="AN241" s="23"/>
      <c r="AO241" s="23">
        <v>135</v>
      </c>
      <c r="AP241" s="23"/>
      <c r="AQ241" s="23"/>
      <c r="AR241" s="23"/>
      <c r="AS241" s="23"/>
      <c r="AT241" s="23"/>
      <c r="AU241" s="14" t="str">
        <f>HYPERLINK("http://www.openstreetmap.org/?mlat=33.5948&amp;mlon=42.6239&amp;zoom=12#map=12/33.5948/42.6239","Maplink1")</f>
        <v>Maplink1</v>
      </c>
      <c r="AV241" s="14" t="str">
        <f>HYPERLINK("https://www.google.iq/maps/search/+33.5948,42.6239/@33.5948,42.6239,14z?hl=en","Maplink2")</f>
        <v>Maplink2</v>
      </c>
      <c r="AW241" s="14" t="str">
        <f>HYPERLINK("http://www.bing.com/maps/?lvl=14&amp;sty=h&amp;cp=33.5948~42.6239&amp;sp=point.33.5948_42.6239_Smnet Collective","Maplink3")</f>
        <v>Maplink3</v>
      </c>
    </row>
    <row r="242" spans="1:49" ht="15" customHeight="1" x14ac:dyDescent="0.25">
      <c r="A242" s="21">
        <v>138</v>
      </c>
      <c r="B242" s="22" t="s">
        <v>9</v>
      </c>
      <c r="C242" s="22" t="s">
        <v>508</v>
      </c>
      <c r="D242" s="22" t="s">
        <v>687</v>
      </c>
      <c r="E242" s="22" t="s">
        <v>688</v>
      </c>
      <c r="F242" s="22">
        <v>33.545392</v>
      </c>
      <c r="G242" s="22">
        <v>42.977063000000001</v>
      </c>
      <c r="H242" s="21" t="s">
        <v>73</v>
      </c>
      <c r="I242" s="21" t="s">
        <v>511</v>
      </c>
      <c r="J242" s="21" t="s">
        <v>689</v>
      </c>
      <c r="K242" s="24">
        <v>205</v>
      </c>
      <c r="L242" s="24">
        <v>1230</v>
      </c>
      <c r="M242" s="23">
        <v>205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104</v>
      </c>
      <c r="AG242" s="23"/>
      <c r="AH242" s="23"/>
      <c r="AI242" s="23"/>
      <c r="AJ242" s="23"/>
      <c r="AK242" s="23">
        <v>29</v>
      </c>
      <c r="AL242" s="23">
        <v>13</v>
      </c>
      <c r="AM242" s="23">
        <v>59</v>
      </c>
      <c r="AN242" s="23"/>
      <c r="AO242" s="23">
        <v>205</v>
      </c>
      <c r="AP242" s="23"/>
      <c r="AQ242" s="23"/>
      <c r="AR242" s="23"/>
      <c r="AS242" s="23"/>
      <c r="AT242" s="23"/>
      <c r="AU242" s="14" t="str">
        <f>HYPERLINK("http://www.openstreetmap.org/?mlat=33.5454&amp;mlon=42.9771&amp;zoom=12#map=12/33.5454/42.9771","Maplink1")</f>
        <v>Maplink1</v>
      </c>
      <c r="AV242" s="14" t="str">
        <f>HYPERLINK("https://www.google.iq/maps/search/+33.5454,42.9771/@33.5454,42.9771,14z?hl=en","Maplink2")</f>
        <v>Maplink2</v>
      </c>
      <c r="AW242" s="14" t="str">
        <f>HYPERLINK("http://www.bing.com/maps/?lvl=14&amp;sty=h&amp;cp=33.5454~42.9771&amp;sp=point.33.5454_42.9771_Tal aswad","Maplink3")</f>
        <v>Maplink3</v>
      </c>
    </row>
    <row r="243" spans="1:49" ht="15" customHeight="1" x14ac:dyDescent="0.25">
      <c r="A243" s="21">
        <v>194</v>
      </c>
      <c r="B243" s="22" t="s">
        <v>9</v>
      </c>
      <c r="C243" s="22" t="s">
        <v>508</v>
      </c>
      <c r="D243" s="22" t="s">
        <v>690</v>
      </c>
      <c r="E243" s="22" t="s">
        <v>691</v>
      </c>
      <c r="F243" s="22">
        <v>33.631995000000003</v>
      </c>
      <c r="G243" s="22">
        <v>42.839765999999997</v>
      </c>
      <c r="H243" s="21" t="s">
        <v>73</v>
      </c>
      <c r="I243" s="21" t="s">
        <v>511</v>
      </c>
      <c r="J243" s="21" t="s">
        <v>692</v>
      </c>
      <c r="K243" s="24">
        <v>568</v>
      </c>
      <c r="L243" s="24">
        <v>3408</v>
      </c>
      <c r="M243" s="23">
        <v>568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441</v>
      </c>
      <c r="AG243" s="23"/>
      <c r="AH243" s="23"/>
      <c r="AI243" s="23"/>
      <c r="AJ243" s="23"/>
      <c r="AK243" s="23">
        <v>36</v>
      </c>
      <c r="AL243" s="23">
        <v>10</v>
      </c>
      <c r="AM243" s="23">
        <v>81</v>
      </c>
      <c r="AN243" s="23"/>
      <c r="AO243" s="23">
        <v>568</v>
      </c>
      <c r="AP243" s="23"/>
      <c r="AQ243" s="23"/>
      <c r="AR243" s="23"/>
      <c r="AS243" s="23"/>
      <c r="AT243" s="23"/>
      <c r="AU243" s="14" t="str">
        <f>HYPERLINK("http://www.openstreetmap.org/?mlat=33.632&amp;mlon=42.8398&amp;zoom=12#map=12/33.632/42.8398","Maplink1")</f>
        <v>Maplink1</v>
      </c>
      <c r="AV243" s="14" t="str">
        <f>HYPERLINK("https://www.google.iq/maps/search/+33.632,42.8398/@33.632,42.8398,14z?hl=en","Maplink2")</f>
        <v>Maplink2</v>
      </c>
      <c r="AW243" s="14" t="str">
        <f>HYPERLINK("http://www.bing.com/maps/?lvl=14&amp;sty=h&amp;cp=33.632~42.8398&amp;sp=point.33.632_42.8398_The first jamaiya","Maplink3")</f>
        <v>Maplink3</v>
      </c>
    </row>
    <row r="244" spans="1:49" ht="15" customHeight="1" x14ac:dyDescent="0.25">
      <c r="A244" s="21">
        <v>23840</v>
      </c>
      <c r="B244" s="22" t="s">
        <v>9</v>
      </c>
      <c r="C244" s="22" t="s">
        <v>508</v>
      </c>
      <c r="D244" s="22" t="s">
        <v>693</v>
      </c>
      <c r="E244" s="22" t="s">
        <v>694</v>
      </c>
      <c r="F244" s="22">
        <v>33.823839</v>
      </c>
      <c r="G244" s="22">
        <v>42.720722000000002</v>
      </c>
      <c r="H244" s="21" t="s">
        <v>73</v>
      </c>
      <c r="I244" s="21" t="s">
        <v>511</v>
      </c>
      <c r="J244" s="21" t="s">
        <v>695</v>
      </c>
      <c r="K244" s="24">
        <v>62</v>
      </c>
      <c r="L244" s="24">
        <v>372</v>
      </c>
      <c r="M244" s="23">
        <v>62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>
        <v>19</v>
      </c>
      <c r="AG244" s="23"/>
      <c r="AH244" s="23"/>
      <c r="AI244" s="23"/>
      <c r="AJ244" s="23"/>
      <c r="AK244" s="23"/>
      <c r="AL244" s="23"/>
      <c r="AM244" s="23">
        <v>43</v>
      </c>
      <c r="AN244" s="23"/>
      <c r="AO244" s="23">
        <v>62</v>
      </c>
      <c r="AP244" s="23"/>
      <c r="AQ244" s="23"/>
      <c r="AR244" s="23"/>
      <c r="AS244" s="23"/>
      <c r="AT244" s="23"/>
      <c r="AU244" s="14" t="str">
        <f>HYPERLINK("http://www.openstreetmap.org/?mlat=33.8238&amp;mlon=42.7207&amp;zoom=12#map=12/33.8238/42.7207","Maplink1")</f>
        <v>Maplink1</v>
      </c>
      <c r="AV244" s="14" t="str">
        <f>HYPERLINK("https://www.google.iq/maps/search/+33.8238,42.7207/@33.8238,42.7207,14z?hl=en","Maplink2")</f>
        <v>Maplink2</v>
      </c>
      <c r="AW244" s="14" t="str">
        <f>HYPERLINK("http://www.bing.com/maps/?lvl=14&amp;sty=h&amp;cp=33.8238~42.7207&amp;sp=point.33.8238_42.7207_Zakhikhah","Maplink3")</f>
        <v>Maplink3</v>
      </c>
    </row>
    <row r="245" spans="1:49" ht="15" customHeight="1" x14ac:dyDescent="0.25">
      <c r="A245" s="21">
        <v>23848</v>
      </c>
      <c r="B245" s="22" t="s">
        <v>9</v>
      </c>
      <c r="C245" s="22" t="s">
        <v>508</v>
      </c>
      <c r="D245" s="22" t="s">
        <v>696</v>
      </c>
      <c r="E245" s="22" t="s">
        <v>697</v>
      </c>
      <c r="F245" s="22">
        <v>33.543667999999997</v>
      </c>
      <c r="G245" s="22">
        <v>42.932872000000003</v>
      </c>
      <c r="H245" s="21" t="s">
        <v>73</v>
      </c>
      <c r="I245" s="21" t="s">
        <v>511</v>
      </c>
      <c r="J245" s="21" t="s">
        <v>698</v>
      </c>
      <c r="K245" s="24">
        <v>109</v>
      </c>
      <c r="L245" s="24">
        <v>654</v>
      </c>
      <c r="M245" s="23">
        <v>109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78</v>
      </c>
      <c r="AG245" s="23"/>
      <c r="AH245" s="23"/>
      <c r="AI245" s="23"/>
      <c r="AJ245" s="23"/>
      <c r="AK245" s="23">
        <v>11</v>
      </c>
      <c r="AL245" s="23"/>
      <c r="AM245" s="23">
        <v>20</v>
      </c>
      <c r="AN245" s="23"/>
      <c r="AO245" s="23">
        <v>109</v>
      </c>
      <c r="AP245" s="23"/>
      <c r="AQ245" s="23"/>
      <c r="AR245" s="23"/>
      <c r="AS245" s="23"/>
      <c r="AT245" s="23"/>
      <c r="AU245" s="14" t="str">
        <f>HYPERLINK("http://www.openstreetmap.org/?mlat=33.5437&amp;mlon=42.9329&amp;zoom=12#map=12/33.5437/42.9329","Maplink1")</f>
        <v>Maplink1</v>
      </c>
      <c r="AV245" s="14" t="str">
        <f>HYPERLINK("https://www.google.iq/maps/search/+33.5437,42.9329/@33.5437,42.9329,14z?hl=en","Maplink2")</f>
        <v>Maplink2</v>
      </c>
      <c r="AW245" s="14" t="str">
        <f>HYPERLINK("http://www.bing.com/maps/?lvl=14&amp;sty=h&amp;cp=33.5437~42.9329&amp;sp=point.33.5437_42.9329_Zoyah Al-gharbiyah","Maplink3")</f>
        <v>Maplink3</v>
      </c>
    </row>
    <row r="246" spans="1:49" ht="15" customHeight="1" x14ac:dyDescent="0.25">
      <c r="A246" s="21">
        <v>23849</v>
      </c>
      <c r="B246" s="22" t="s">
        <v>9</v>
      </c>
      <c r="C246" s="22" t="s">
        <v>508</v>
      </c>
      <c r="D246" s="22" t="s">
        <v>699</v>
      </c>
      <c r="E246" s="22" t="s">
        <v>700</v>
      </c>
      <c r="F246" s="22">
        <v>33.546228999999997</v>
      </c>
      <c r="G246" s="22">
        <v>42.985419</v>
      </c>
      <c r="H246" s="21" t="s">
        <v>73</v>
      </c>
      <c r="I246" s="21" t="s">
        <v>511</v>
      </c>
      <c r="J246" s="21" t="s">
        <v>701</v>
      </c>
      <c r="K246" s="24">
        <v>116</v>
      </c>
      <c r="L246" s="24">
        <v>696</v>
      </c>
      <c r="M246" s="23">
        <v>116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>
        <v>90</v>
      </c>
      <c r="AG246" s="23"/>
      <c r="AH246" s="23"/>
      <c r="AI246" s="23"/>
      <c r="AJ246" s="23"/>
      <c r="AK246" s="23">
        <v>16</v>
      </c>
      <c r="AL246" s="23"/>
      <c r="AM246" s="23">
        <v>10</v>
      </c>
      <c r="AN246" s="23"/>
      <c r="AO246" s="23">
        <v>116</v>
      </c>
      <c r="AP246" s="23"/>
      <c r="AQ246" s="23"/>
      <c r="AR246" s="23"/>
      <c r="AS246" s="23"/>
      <c r="AT246" s="23"/>
      <c r="AU246" s="14" t="str">
        <f>HYPERLINK("http://www.openstreetmap.org/?mlat=33.5462&amp;mlon=42.9854&amp;zoom=12#map=12/33.5462/42.9854","Maplink1")</f>
        <v>Maplink1</v>
      </c>
      <c r="AV246" s="14" t="str">
        <f>HYPERLINK("https://www.google.iq/maps/search/+33.5462,42.9854/@33.5462,42.9854,14z?hl=en","Maplink2")</f>
        <v>Maplink2</v>
      </c>
      <c r="AW246" s="14" t="str">
        <f>HYPERLINK("http://www.bing.com/maps/?lvl=14&amp;sty=h&amp;cp=33.5462~42.9854&amp;sp=point.33.5462_42.9854_Zoyah Al-sharqiyah","Maplink3")</f>
        <v>Maplink3</v>
      </c>
    </row>
    <row r="247" spans="1:49" ht="15" customHeight="1" x14ac:dyDescent="0.25">
      <c r="A247" s="21">
        <v>88</v>
      </c>
      <c r="B247" s="22" t="s">
        <v>9</v>
      </c>
      <c r="C247" s="22" t="s">
        <v>508</v>
      </c>
      <c r="D247" s="22" t="s">
        <v>702</v>
      </c>
      <c r="E247" s="22" t="s">
        <v>703</v>
      </c>
      <c r="F247" s="22">
        <v>33.997861</v>
      </c>
      <c r="G247" s="22">
        <v>42.519021000000002</v>
      </c>
      <c r="H247" s="21" t="s">
        <v>73</v>
      </c>
      <c r="I247" s="21" t="s">
        <v>511</v>
      </c>
      <c r="J247" s="21" t="s">
        <v>704</v>
      </c>
      <c r="K247" s="24">
        <v>54</v>
      </c>
      <c r="L247" s="24">
        <v>324</v>
      </c>
      <c r="M247" s="23">
        <v>54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54</v>
      </c>
      <c r="AG247" s="23"/>
      <c r="AH247" s="23"/>
      <c r="AI247" s="23"/>
      <c r="AJ247" s="23"/>
      <c r="AK247" s="23"/>
      <c r="AL247" s="23"/>
      <c r="AM247" s="23"/>
      <c r="AN247" s="23"/>
      <c r="AO247" s="23"/>
      <c r="AP247" s="23">
        <v>54</v>
      </c>
      <c r="AQ247" s="23"/>
      <c r="AR247" s="23"/>
      <c r="AS247" s="23"/>
      <c r="AT247" s="23"/>
      <c r="AU247" s="14" t="str">
        <f>HYPERLINK("http://www.openstreetmap.org/?mlat=33.9979&amp;mlon=42.519&amp;zoom=12#map=12/33.9979/42.519","Maplink1")</f>
        <v>Maplink1</v>
      </c>
      <c r="AV247" s="14" t="str">
        <f>HYPERLINK("https://www.google.iq/maps/search/+33.9979,42.519/@33.9979,42.519,14z?hl=en","Maplink2")</f>
        <v>Maplink2</v>
      </c>
      <c r="AW247" s="14" t="str">
        <f>HYPERLINK("http://www.bing.com/maps/?lvl=14&amp;sty=h&amp;cp=33.9979~42.519&amp;sp=point.33.9979_42.519_Zuwayyah","Maplink3")</f>
        <v>Maplink3</v>
      </c>
    </row>
    <row r="248" spans="1:49" ht="15" customHeight="1" x14ac:dyDescent="0.25">
      <c r="A248" s="21">
        <v>200</v>
      </c>
      <c r="B248" s="22" t="s">
        <v>9</v>
      </c>
      <c r="C248" s="22" t="s">
        <v>705</v>
      </c>
      <c r="D248" s="22" t="s">
        <v>162</v>
      </c>
      <c r="E248" s="22" t="s">
        <v>120</v>
      </c>
      <c r="F248" s="22">
        <v>34.480606000000002</v>
      </c>
      <c r="G248" s="22">
        <v>41.914783999999997</v>
      </c>
      <c r="H248" s="21" t="s">
        <v>73</v>
      </c>
      <c r="I248" s="21" t="s">
        <v>706</v>
      </c>
      <c r="J248" s="21" t="s">
        <v>707</v>
      </c>
      <c r="K248" s="24">
        <v>278</v>
      </c>
      <c r="L248" s="24">
        <v>1668</v>
      </c>
      <c r="M248" s="23">
        <v>278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155</v>
      </c>
      <c r="AG248" s="23"/>
      <c r="AH248" s="23">
        <v>20</v>
      </c>
      <c r="AI248" s="23"/>
      <c r="AJ248" s="23">
        <v>5</v>
      </c>
      <c r="AK248" s="23">
        <v>86</v>
      </c>
      <c r="AL248" s="23">
        <v>6</v>
      </c>
      <c r="AM248" s="23">
        <v>6</v>
      </c>
      <c r="AN248" s="23"/>
      <c r="AO248" s="23">
        <v>229</v>
      </c>
      <c r="AP248" s="23"/>
      <c r="AQ248" s="23"/>
      <c r="AR248" s="23">
        <v>49</v>
      </c>
      <c r="AS248" s="23"/>
      <c r="AT248" s="23"/>
      <c r="AU248" s="14" t="str">
        <f>HYPERLINK("http://www.openstreetmap.org/?mlat=34.4806&amp;mlon=41.9148&amp;zoom=12#map=12/34.4806/41.9148","Maplink1")</f>
        <v>Maplink1</v>
      </c>
      <c r="AV248" s="14" t="str">
        <f>HYPERLINK("https://www.google.iq/maps/search/+34.4806,41.9148/@34.4806,41.9148,14z?hl=en","Maplink2")</f>
        <v>Maplink2</v>
      </c>
      <c r="AW248" s="14" t="str">
        <f>HYPERLINK("http://www.bing.com/maps/?lvl=14&amp;sty=h&amp;cp=34.4806~41.9148&amp;sp=point.34.4806_41.9148_Al Askaree","Maplink3")</f>
        <v>Maplink3</v>
      </c>
    </row>
    <row r="249" spans="1:49" ht="15" customHeight="1" x14ac:dyDescent="0.25">
      <c r="A249" s="21">
        <v>264</v>
      </c>
      <c r="B249" s="22" t="s">
        <v>9</v>
      </c>
      <c r="C249" s="22" t="s">
        <v>705</v>
      </c>
      <c r="D249" s="22" t="s">
        <v>708</v>
      </c>
      <c r="E249" s="22" t="s">
        <v>709</v>
      </c>
      <c r="F249" s="22">
        <v>34.463354000000002</v>
      </c>
      <c r="G249" s="22">
        <v>41.914002000000004</v>
      </c>
      <c r="H249" s="21" t="s">
        <v>73</v>
      </c>
      <c r="I249" s="21" t="s">
        <v>706</v>
      </c>
      <c r="J249" s="21" t="s">
        <v>710</v>
      </c>
      <c r="K249" s="24">
        <v>124</v>
      </c>
      <c r="L249" s="24">
        <v>744</v>
      </c>
      <c r="M249" s="23">
        <v>124</v>
      </c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85</v>
      </c>
      <c r="AG249" s="23"/>
      <c r="AH249" s="23"/>
      <c r="AI249" s="23"/>
      <c r="AJ249" s="23">
        <v>2</v>
      </c>
      <c r="AK249" s="23">
        <v>37</v>
      </c>
      <c r="AL249" s="23"/>
      <c r="AM249" s="23"/>
      <c r="AN249" s="23"/>
      <c r="AO249" s="23">
        <v>117</v>
      </c>
      <c r="AP249" s="23"/>
      <c r="AQ249" s="23"/>
      <c r="AR249" s="23">
        <v>7</v>
      </c>
      <c r="AS249" s="23"/>
      <c r="AT249" s="23"/>
      <c r="AU249" s="14" t="str">
        <f>HYPERLINK("http://www.openstreetmap.org/?mlat=34.4634&amp;mlon=41.914&amp;zoom=12#map=12/34.4634/41.914","Maplink1")</f>
        <v>Maplink1</v>
      </c>
      <c r="AV249" s="14" t="str">
        <f>HYPERLINK("https://www.google.iq/maps/search/+34.4634,41.914/@34.4634,41.914,14z?hl=en","Maplink2")</f>
        <v>Maplink2</v>
      </c>
      <c r="AW249" s="14" t="str">
        <f>HYPERLINK("http://www.bing.com/maps/?lvl=14&amp;sty=h&amp;cp=34.4634~41.914&amp;sp=point.34.4634_41.914_Al Qaala","Maplink3")</f>
        <v>Maplink3</v>
      </c>
    </row>
    <row r="250" spans="1:49" ht="15" customHeight="1" x14ac:dyDescent="0.25">
      <c r="A250" s="21">
        <v>23861</v>
      </c>
      <c r="B250" s="22" t="s">
        <v>9</v>
      </c>
      <c r="C250" s="22" t="s">
        <v>705</v>
      </c>
      <c r="D250" s="22" t="s">
        <v>711</v>
      </c>
      <c r="E250" s="22" t="s">
        <v>712</v>
      </c>
      <c r="F250" s="22">
        <v>34.486485000000002</v>
      </c>
      <c r="G250" s="22">
        <v>41.879828000000003</v>
      </c>
      <c r="H250" s="21" t="s">
        <v>73</v>
      </c>
      <c r="I250" s="21" t="s">
        <v>706</v>
      </c>
      <c r="J250" s="21" t="s">
        <v>713</v>
      </c>
      <c r="K250" s="24">
        <v>164</v>
      </c>
      <c r="L250" s="24">
        <v>984</v>
      </c>
      <c r="M250" s="23">
        <v>114</v>
      </c>
      <c r="N250" s="23"/>
      <c r="O250" s="23">
        <v>50</v>
      </c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>
        <v>90</v>
      </c>
      <c r="AG250" s="23"/>
      <c r="AH250" s="23"/>
      <c r="AI250" s="23"/>
      <c r="AJ250" s="23"/>
      <c r="AK250" s="23">
        <v>72</v>
      </c>
      <c r="AL250" s="23">
        <v>2</v>
      </c>
      <c r="AM250" s="23"/>
      <c r="AN250" s="23"/>
      <c r="AO250" s="23">
        <v>114</v>
      </c>
      <c r="AP250" s="23">
        <v>50</v>
      </c>
      <c r="AQ250" s="23"/>
      <c r="AR250" s="23"/>
      <c r="AS250" s="23"/>
      <c r="AT250" s="23"/>
      <c r="AU250" s="14" t="str">
        <f>HYPERLINK("http://www.openstreetmap.org/?mlat=34.4865&amp;mlon=41.8798&amp;zoom=12#map=12/34.4865/41.8798","Maplink1")</f>
        <v>Maplink1</v>
      </c>
      <c r="AV250" s="14" t="str">
        <f>HYPERLINK("https://www.google.iq/maps/search/+34.4865,41.8798/@34.4865,41.8798,14z?hl=en","Maplink2")</f>
        <v>Maplink2</v>
      </c>
      <c r="AW250" s="14" t="str">
        <f>HYPERLINK("http://www.bing.com/maps/?lvl=14&amp;sty=h&amp;cp=34.4865~41.8798&amp;sp=point.34.4865_41.8798_Al-Hidayah","Maplink3")</f>
        <v>Maplink3</v>
      </c>
    </row>
    <row r="251" spans="1:49" ht="15" customHeight="1" x14ac:dyDescent="0.25">
      <c r="A251" s="21">
        <v>267</v>
      </c>
      <c r="B251" s="22" t="s">
        <v>9</v>
      </c>
      <c r="C251" s="22" t="s">
        <v>705</v>
      </c>
      <c r="D251" s="22" t="s">
        <v>224</v>
      </c>
      <c r="E251" s="22" t="s">
        <v>225</v>
      </c>
      <c r="F251" s="22">
        <v>34.484053000000003</v>
      </c>
      <c r="G251" s="22">
        <v>41.910806999999998</v>
      </c>
      <c r="H251" s="21" t="s">
        <v>73</v>
      </c>
      <c r="I251" s="21" t="s">
        <v>706</v>
      </c>
      <c r="J251" s="21" t="s">
        <v>714</v>
      </c>
      <c r="K251" s="24">
        <v>223</v>
      </c>
      <c r="L251" s="24">
        <v>1338</v>
      </c>
      <c r="M251" s="23">
        <v>223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>
        <v>91</v>
      </c>
      <c r="AG251" s="23"/>
      <c r="AH251" s="23">
        <v>39</v>
      </c>
      <c r="AI251" s="23"/>
      <c r="AJ251" s="23"/>
      <c r="AK251" s="23">
        <v>76</v>
      </c>
      <c r="AL251" s="23">
        <v>17</v>
      </c>
      <c r="AM251" s="23"/>
      <c r="AN251" s="23"/>
      <c r="AO251" s="23">
        <v>196</v>
      </c>
      <c r="AP251" s="23"/>
      <c r="AQ251" s="23"/>
      <c r="AR251" s="23">
        <v>27</v>
      </c>
      <c r="AS251" s="23"/>
      <c r="AT251" s="23"/>
      <c r="AU251" s="14" t="str">
        <f>HYPERLINK("http://www.openstreetmap.org/?mlat=34.4841&amp;mlon=41.9108&amp;zoom=12#map=12/34.4841/41.9108","Maplink1")</f>
        <v>Maplink1</v>
      </c>
      <c r="AV251" s="14" t="str">
        <f>HYPERLINK("https://www.google.iq/maps/search/+34.4841,41.9108/@34.4841,41.9108,14z?hl=en","Maplink2")</f>
        <v>Maplink2</v>
      </c>
      <c r="AW251" s="14" t="str">
        <f>HYPERLINK("http://www.bing.com/maps/?lvl=14&amp;sty=h&amp;cp=34.4841~41.9108&amp;sp=point.34.4841_41.9108_Hay Al Qadissiyah","Maplink3")</f>
        <v>Maplink3</v>
      </c>
    </row>
    <row r="252" spans="1:49" ht="15" customHeight="1" x14ac:dyDescent="0.25">
      <c r="A252" s="21">
        <v>23640</v>
      </c>
      <c r="B252" s="22" t="s">
        <v>9</v>
      </c>
      <c r="C252" s="22" t="s">
        <v>705</v>
      </c>
      <c r="D252" s="22" t="s">
        <v>227</v>
      </c>
      <c r="E252" s="22" t="s">
        <v>715</v>
      </c>
      <c r="F252" s="22">
        <v>34.490068000000001</v>
      </c>
      <c r="G252" s="22">
        <v>41.906717999999998</v>
      </c>
      <c r="H252" s="21" t="s">
        <v>73</v>
      </c>
      <c r="I252" s="21" t="s">
        <v>706</v>
      </c>
      <c r="J252" s="21" t="s">
        <v>716</v>
      </c>
      <c r="K252" s="24">
        <v>121</v>
      </c>
      <c r="L252" s="24">
        <v>726</v>
      </c>
      <c r="M252" s="23">
        <v>121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>
        <v>50</v>
      </c>
      <c r="AG252" s="23"/>
      <c r="AH252" s="23"/>
      <c r="AI252" s="23"/>
      <c r="AJ252" s="23"/>
      <c r="AK252" s="23">
        <v>44</v>
      </c>
      <c r="AL252" s="23">
        <v>15</v>
      </c>
      <c r="AM252" s="23">
        <v>12</v>
      </c>
      <c r="AN252" s="23"/>
      <c r="AO252" s="23">
        <v>121</v>
      </c>
      <c r="AP252" s="23"/>
      <c r="AQ252" s="23"/>
      <c r="AR252" s="23"/>
      <c r="AS252" s="23"/>
      <c r="AT252" s="23"/>
      <c r="AU252" s="14" t="str">
        <f>HYPERLINK("http://www.openstreetmap.org/?mlat=34.4901&amp;mlon=41.9067&amp;zoom=12#map=12/34.4901/41.9067","Maplink1")</f>
        <v>Maplink1</v>
      </c>
      <c r="AV252" s="14" t="str">
        <f>HYPERLINK("https://www.google.iq/maps/search/+34.4901,41.9067/@34.4901,41.9067,14z?hl=en","Maplink2")</f>
        <v>Maplink2</v>
      </c>
      <c r="AW252" s="14" t="str">
        <f>HYPERLINK("http://www.bing.com/maps/?lvl=14&amp;sty=h&amp;cp=34.4901~41.9067&amp;sp=point.34.4901_41.9067_Hay Al Salam","Maplink3")</f>
        <v>Maplink3</v>
      </c>
    </row>
    <row r="253" spans="1:49" ht="15" customHeight="1" x14ac:dyDescent="0.25">
      <c r="A253" s="21">
        <v>262</v>
      </c>
      <c r="B253" s="22" t="s">
        <v>9</v>
      </c>
      <c r="C253" s="22" t="s">
        <v>705</v>
      </c>
      <c r="D253" s="22" t="s">
        <v>717</v>
      </c>
      <c r="E253" s="22" t="s">
        <v>718</v>
      </c>
      <c r="F253" s="22">
        <v>34.468631999999999</v>
      </c>
      <c r="G253" s="22">
        <v>41.918467999999997</v>
      </c>
      <c r="H253" s="21" t="s">
        <v>73</v>
      </c>
      <c r="I253" s="21" t="s">
        <v>706</v>
      </c>
      <c r="J253" s="21" t="s">
        <v>719</v>
      </c>
      <c r="K253" s="24">
        <v>131</v>
      </c>
      <c r="L253" s="24">
        <v>786</v>
      </c>
      <c r="M253" s="23">
        <v>131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>
        <v>67</v>
      </c>
      <c r="AG253" s="23"/>
      <c r="AH253" s="23">
        <v>6</v>
      </c>
      <c r="AI253" s="23"/>
      <c r="AJ253" s="23"/>
      <c r="AK253" s="23">
        <v>58</v>
      </c>
      <c r="AL253" s="23"/>
      <c r="AM253" s="23"/>
      <c r="AN253" s="23"/>
      <c r="AO253" s="23">
        <v>124</v>
      </c>
      <c r="AP253" s="23"/>
      <c r="AQ253" s="23"/>
      <c r="AR253" s="23">
        <v>7</v>
      </c>
      <c r="AS253" s="23"/>
      <c r="AT253" s="23"/>
      <c r="AU253" s="14" t="str">
        <f>HYPERLINK("http://www.openstreetmap.org/?mlat=34.4686&amp;mlon=41.9185&amp;zoom=12#map=12/34.4686/41.9185","Maplink1")</f>
        <v>Maplink1</v>
      </c>
      <c r="AV253" s="14" t="str">
        <f>HYPERLINK("https://www.google.iq/maps/search/+34.4686,41.9185/@34.4686,41.9185,14z?hl=en","Maplink2")</f>
        <v>Maplink2</v>
      </c>
      <c r="AW253" s="14" t="str">
        <f>HYPERLINK("http://www.bing.com/maps/?lvl=14&amp;sty=h&amp;cp=34.4686~41.9185&amp;sp=point.34.4686_41.9185_Hay Al Shoba","Maplink3")</f>
        <v>Maplink3</v>
      </c>
    </row>
    <row r="254" spans="1:49" ht="15" customHeight="1" x14ac:dyDescent="0.25">
      <c r="A254" s="21">
        <v>23860</v>
      </c>
      <c r="B254" s="22" t="s">
        <v>9</v>
      </c>
      <c r="C254" s="22" t="s">
        <v>705</v>
      </c>
      <c r="D254" s="22" t="s">
        <v>128</v>
      </c>
      <c r="E254" s="22" t="s">
        <v>129</v>
      </c>
      <c r="F254" s="22">
        <v>34.487735000000001</v>
      </c>
      <c r="G254" s="22">
        <v>41.917476999999998</v>
      </c>
      <c r="H254" s="21" t="s">
        <v>73</v>
      </c>
      <c r="I254" s="21" t="s">
        <v>706</v>
      </c>
      <c r="J254" s="21" t="s">
        <v>720</v>
      </c>
      <c r="K254" s="24">
        <v>109</v>
      </c>
      <c r="L254" s="24">
        <v>654</v>
      </c>
      <c r="M254" s="23">
        <v>109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>
        <v>85</v>
      </c>
      <c r="AG254" s="23"/>
      <c r="AH254" s="23"/>
      <c r="AI254" s="23"/>
      <c r="AJ254" s="23"/>
      <c r="AK254" s="23">
        <v>24</v>
      </c>
      <c r="AL254" s="23"/>
      <c r="AM254" s="23"/>
      <c r="AN254" s="23"/>
      <c r="AO254" s="23">
        <v>101</v>
      </c>
      <c r="AP254" s="23"/>
      <c r="AQ254" s="23"/>
      <c r="AR254" s="23">
        <v>8</v>
      </c>
      <c r="AS254" s="23"/>
      <c r="AT254" s="23"/>
      <c r="AU254" s="14" t="str">
        <f>HYPERLINK("http://www.openstreetmap.org/?mlat=34.4877&amp;mlon=41.9175&amp;zoom=12#map=12/34.4877/41.9175","Maplink1")</f>
        <v>Maplink1</v>
      </c>
      <c r="AV254" s="14" t="str">
        <f>HYPERLINK("https://www.google.iq/maps/search/+34.4877,41.9175/@34.4877,41.9175,14z?hl=en","Maplink2")</f>
        <v>Maplink2</v>
      </c>
      <c r="AW254" s="14" t="str">
        <f>HYPERLINK("http://www.bing.com/maps/?lvl=14&amp;sty=h&amp;cp=34.4877~41.9175&amp;sp=point.34.4877_41.9175_Hay Al Shuhadaa","Maplink3")</f>
        <v>Maplink3</v>
      </c>
    </row>
    <row r="255" spans="1:49" ht="15" customHeight="1" x14ac:dyDescent="0.25">
      <c r="A255" s="21">
        <v>23859</v>
      </c>
      <c r="B255" s="22" t="s">
        <v>9</v>
      </c>
      <c r="C255" s="22" t="s">
        <v>705</v>
      </c>
      <c r="D255" s="22" t="s">
        <v>721</v>
      </c>
      <c r="E255" s="22" t="s">
        <v>722</v>
      </c>
      <c r="F255" s="22">
        <v>34.483769000000002</v>
      </c>
      <c r="G255" s="22">
        <v>41.925285000000002</v>
      </c>
      <c r="H255" s="21" t="s">
        <v>73</v>
      </c>
      <c r="I255" s="21" t="s">
        <v>706</v>
      </c>
      <c r="J255" s="21" t="s">
        <v>723</v>
      </c>
      <c r="K255" s="24">
        <v>276</v>
      </c>
      <c r="L255" s="24">
        <v>1656</v>
      </c>
      <c r="M255" s="23">
        <v>276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>
        <v>121</v>
      </c>
      <c r="AG255" s="23"/>
      <c r="AH255" s="23">
        <v>10</v>
      </c>
      <c r="AI255" s="23"/>
      <c r="AJ255" s="23"/>
      <c r="AK255" s="23">
        <v>113</v>
      </c>
      <c r="AL255" s="23">
        <v>17</v>
      </c>
      <c r="AM255" s="23">
        <v>15</v>
      </c>
      <c r="AN255" s="23"/>
      <c r="AO255" s="23">
        <v>267</v>
      </c>
      <c r="AP255" s="23"/>
      <c r="AQ255" s="23"/>
      <c r="AR255" s="23">
        <v>9</v>
      </c>
      <c r="AS255" s="23"/>
      <c r="AT255" s="23"/>
      <c r="AU255" s="14" t="str">
        <f>HYPERLINK("http://www.openstreetmap.org/?mlat=34.4838&amp;mlon=41.9253&amp;zoom=12#map=12/34.4838/41.9253","Maplink1")</f>
        <v>Maplink1</v>
      </c>
      <c r="AV255" s="14" t="str">
        <f>HYPERLINK("https://www.google.iq/maps/search/+34.4838,41.9253/@34.4838,41.9253,14z?hl=en","Maplink2")</f>
        <v>Maplink2</v>
      </c>
      <c r="AW255" s="14" t="str">
        <f>HYPERLINK("http://www.bing.com/maps/?lvl=14&amp;sty=h&amp;cp=34.4838~41.9253&amp;sp=point.34.4838_41.9253_Hay Raua Al-Jadida","Maplink3")</f>
        <v>Maplink3</v>
      </c>
    </row>
    <row r="256" spans="1:49" ht="15" customHeight="1" x14ac:dyDescent="0.25">
      <c r="A256" s="21">
        <v>265</v>
      </c>
      <c r="B256" s="22" t="s">
        <v>9</v>
      </c>
      <c r="C256" s="22" t="s">
        <v>705</v>
      </c>
      <c r="D256" s="22" t="s">
        <v>724</v>
      </c>
      <c r="E256" s="22" t="s">
        <v>725</v>
      </c>
      <c r="F256" s="22">
        <v>34.474778999999998</v>
      </c>
      <c r="G256" s="22">
        <v>41.915934999999998</v>
      </c>
      <c r="H256" s="21" t="s">
        <v>73</v>
      </c>
      <c r="I256" s="21" t="s">
        <v>706</v>
      </c>
      <c r="J256" s="21" t="s">
        <v>726</v>
      </c>
      <c r="K256" s="24">
        <v>209</v>
      </c>
      <c r="L256" s="24">
        <v>1254</v>
      </c>
      <c r="M256" s="23">
        <v>209</v>
      </c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>
        <v>98</v>
      </c>
      <c r="AG256" s="23"/>
      <c r="AH256" s="23">
        <v>21</v>
      </c>
      <c r="AI256" s="23"/>
      <c r="AJ256" s="23">
        <v>4</v>
      </c>
      <c r="AK256" s="23">
        <v>86</v>
      </c>
      <c r="AL256" s="23"/>
      <c r="AM256" s="23"/>
      <c r="AN256" s="23"/>
      <c r="AO256" s="23">
        <v>201</v>
      </c>
      <c r="AP256" s="23"/>
      <c r="AQ256" s="23"/>
      <c r="AR256" s="23">
        <v>8</v>
      </c>
      <c r="AS256" s="23"/>
      <c r="AT256" s="23"/>
      <c r="AU256" s="14" t="str">
        <f>HYPERLINK("http://www.openstreetmap.org/?mlat=34.4748&amp;mlon=41.9159&amp;zoom=12#map=12/34.4748/41.9159","Maplink1")</f>
        <v>Maplink1</v>
      </c>
      <c r="AV256" s="14" t="str">
        <f>HYPERLINK("https://www.google.iq/maps/search/+34.4748,41.9159/@34.4748,41.9159,14z?hl=en","Maplink2")</f>
        <v>Maplink2</v>
      </c>
      <c r="AW256" s="14" t="str">
        <f>HYPERLINK("http://www.bing.com/maps/?lvl=14&amp;sty=h&amp;cp=34.4748~41.9159&amp;sp=point.34.4748_41.9159_Rawa Al Qadima","Maplink3")</f>
        <v>Maplink3</v>
      </c>
    </row>
    <row r="257" spans="1:49" ht="15" customHeight="1" x14ac:dyDescent="0.25">
      <c r="A257" s="21">
        <v>23852</v>
      </c>
      <c r="B257" s="22" t="s">
        <v>9</v>
      </c>
      <c r="C257" s="22" t="s">
        <v>727</v>
      </c>
      <c r="D257" s="22" t="s">
        <v>8169</v>
      </c>
      <c r="E257" s="22" t="s">
        <v>8170</v>
      </c>
      <c r="F257" s="22">
        <v>33.407721000000002</v>
      </c>
      <c r="G257" s="22">
        <v>43.175035000000001</v>
      </c>
      <c r="H257" s="21" t="s">
        <v>73</v>
      </c>
      <c r="I257" s="21" t="s">
        <v>729</v>
      </c>
      <c r="J257" s="21" t="s">
        <v>731</v>
      </c>
      <c r="K257" s="24">
        <v>132</v>
      </c>
      <c r="L257" s="24">
        <v>792</v>
      </c>
      <c r="M257" s="23">
        <v>132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>
        <v>14</v>
      </c>
      <c r="AG257" s="23"/>
      <c r="AH257" s="23">
        <v>118</v>
      </c>
      <c r="AI257" s="23"/>
      <c r="AJ257" s="23"/>
      <c r="AK257" s="23"/>
      <c r="AL257" s="23"/>
      <c r="AM257" s="23"/>
      <c r="AN257" s="23"/>
      <c r="AO257" s="23">
        <v>118</v>
      </c>
      <c r="AP257" s="23"/>
      <c r="AQ257" s="23"/>
      <c r="AR257" s="23">
        <v>14</v>
      </c>
      <c r="AS257" s="23"/>
      <c r="AT257" s="23"/>
      <c r="AU257" s="14" t="str">
        <f>HYPERLINK("http://www.openstreetmap.org/?mlat=33.4077&amp;mlon=43.175&amp;zoom=12#map=12/33.4077/43.175","Maplink1")</f>
        <v>Maplink1</v>
      </c>
      <c r="AV257" s="14" t="str">
        <f>HYPERLINK("https://www.google.iq/maps/search/+33.4077,43.175/@33.4077,43.175,14z?hl=en","Maplink2")</f>
        <v>Maplink2</v>
      </c>
      <c r="AW257" s="14" t="str">
        <f>HYPERLINK("http://www.bing.com/maps/?lvl=14&amp;sty=h&amp;cp=33.4077~43.175&amp;sp=point.33.4077_43.175_7 Killo-Al Barkhrabit complex","Maplink3")</f>
        <v>Maplink3</v>
      </c>
    </row>
    <row r="258" spans="1:49" ht="15" customHeight="1" x14ac:dyDescent="0.25">
      <c r="A258" s="21">
        <v>23851</v>
      </c>
      <c r="B258" s="22" t="s">
        <v>9</v>
      </c>
      <c r="C258" s="22" t="s">
        <v>727</v>
      </c>
      <c r="D258" s="22" t="s">
        <v>8171</v>
      </c>
      <c r="E258" s="22" t="s">
        <v>8172</v>
      </c>
      <c r="F258" s="22">
        <v>33.414855000000003</v>
      </c>
      <c r="G258" s="22">
        <v>43.171568999999998</v>
      </c>
      <c r="H258" s="21" t="s">
        <v>73</v>
      </c>
      <c r="I258" s="21" t="s">
        <v>729</v>
      </c>
      <c r="J258" s="21" t="s">
        <v>732</v>
      </c>
      <c r="K258" s="24">
        <v>138</v>
      </c>
      <c r="L258" s="24">
        <v>828</v>
      </c>
      <c r="M258" s="23">
        <v>95</v>
      </c>
      <c r="N258" s="23">
        <v>43</v>
      </c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>
        <v>28</v>
      </c>
      <c r="AG258" s="23"/>
      <c r="AH258" s="23">
        <v>110</v>
      </c>
      <c r="AI258" s="23"/>
      <c r="AJ258" s="23"/>
      <c r="AK258" s="23"/>
      <c r="AL258" s="23"/>
      <c r="AM258" s="23"/>
      <c r="AN258" s="23"/>
      <c r="AO258" s="23">
        <v>95</v>
      </c>
      <c r="AP258" s="23"/>
      <c r="AQ258" s="23"/>
      <c r="AR258" s="23">
        <v>43</v>
      </c>
      <c r="AS258" s="23"/>
      <c r="AT258" s="23"/>
      <c r="AU258" s="14" t="str">
        <f>HYPERLINK("http://www.openstreetmap.org/?mlat=33.4149&amp;mlon=43.1716&amp;zoom=12#map=12/33.4149/43.1716","Maplink1")</f>
        <v>Maplink1</v>
      </c>
      <c r="AV258" s="14" t="str">
        <f>HYPERLINK("https://www.google.iq/maps/search/+33.4149,43.1716/@33.4149,43.1716,14z?hl=en","Maplink2")</f>
        <v>Maplink2</v>
      </c>
      <c r="AW258" s="14" t="str">
        <f>HYPERLINK("http://www.bing.com/maps/?lvl=14&amp;sty=h&amp;cp=33.4149~43.1716&amp;sp=point.33.4149_43.1716_7 Killo-Al Karfanat","Maplink3")</f>
        <v>Maplink3</v>
      </c>
    </row>
    <row r="259" spans="1:49" ht="15" customHeight="1" x14ac:dyDescent="0.25">
      <c r="A259" s="21">
        <v>23850</v>
      </c>
      <c r="B259" s="22" t="s">
        <v>9</v>
      </c>
      <c r="C259" s="22" t="s">
        <v>727</v>
      </c>
      <c r="D259" s="22" t="s">
        <v>8173</v>
      </c>
      <c r="E259" s="22" t="s">
        <v>8174</v>
      </c>
      <c r="F259" s="22">
        <v>33.411642999999998</v>
      </c>
      <c r="G259" s="22">
        <v>43.176772999999997</v>
      </c>
      <c r="H259" s="21" t="s">
        <v>73</v>
      </c>
      <c r="I259" s="21" t="s">
        <v>729</v>
      </c>
      <c r="J259" s="21" t="s">
        <v>733</v>
      </c>
      <c r="K259" s="24">
        <v>216</v>
      </c>
      <c r="L259" s="24">
        <v>1296</v>
      </c>
      <c r="M259" s="23">
        <v>161</v>
      </c>
      <c r="N259" s="23"/>
      <c r="O259" s="23">
        <v>55</v>
      </c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55</v>
      </c>
      <c r="AG259" s="23"/>
      <c r="AH259" s="23">
        <v>161</v>
      </c>
      <c r="AI259" s="23"/>
      <c r="AJ259" s="23"/>
      <c r="AK259" s="23"/>
      <c r="AL259" s="23"/>
      <c r="AM259" s="23"/>
      <c r="AN259" s="23"/>
      <c r="AO259" s="23">
        <v>161</v>
      </c>
      <c r="AP259" s="23"/>
      <c r="AQ259" s="23"/>
      <c r="AR259" s="23">
        <v>55</v>
      </c>
      <c r="AS259" s="23"/>
      <c r="AT259" s="23"/>
      <c r="AU259" s="14" t="str">
        <f>HYPERLINK("http://www.openstreetmap.org/?mlat=33.4116&amp;mlon=43.1768&amp;zoom=12#map=12/33.4116/43.1768","Maplink1")</f>
        <v>Maplink1</v>
      </c>
      <c r="AV259" s="14" t="str">
        <f>HYPERLINK("https://www.google.iq/maps/search/+33.4116,43.1768/@33.4116,43.1768,14z?hl=en","Maplink2")</f>
        <v>Maplink2</v>
      </c>
      <c r="AW259" s="14" t="str">
        <f>HYPERLINK("http://www.bing.com/maps/?lvl=14&amp;sty=h&amp;cp=33.4116~43.1768&amp;sp=point.33.4116_43.1768_7 Killo-Al Sat","Maplink3")</f>
        <v>Maplink3</v>
      </c>
    </row>
    <row r="260" spans="1:49" ht="15" customHeight="1" x14ac:dyDescent="0.25">
      <c r="A260" s="21">
        <v>23889</v>
      </c>
      <c r="B260" s="22" t="s">
        <v>9</v>
      </c>
      <c r="C260" s="22" t="s">
        <v>727</v>
      </c>
      <c r="D260" s="22" t="s">
        <v>8318</v>
      </c>
      <c r="E260" s="22" t="s">
        <v>8175</v>
      </c>
      <c r="F260" s="22">
        <v>33.412630999999998</v>
      </c>
      <c r="G260" s="22">
        <v>43.183388000000001</v>
      </c>
      <c r="H260" s="21" t="s">
        <v>73</v>
      </c>
      <c r="I260" s="21" t="s">
        <v>729</v>
      </c>
      <c r="J260" s="21" t="s">
        <v>734</v>
      </c>
      <c r="K260" s="24">
        <v>107</v>
      </c>
      <c r="L260" s="24">
        <v>642</v>
      </c>
      <c r="M260" s="23">
        <v>107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>
        <v>55</v>
      </c>
      <c r="AI260" s="23"/>
      <c r="AJ260" s="23"/>
      <c r="AK260" s="23"/>
      <c r="AL260" s="23">
        <v>52</v>
      </c>
      <c r="AM260" s="23"/>
      <c r="AN260" s="23"/>
      <c r="AO260" s="23">
        <v>102</v>
      </c>
      <c r="AP260" s="23"/>
      <c r="AQ260" s="23"/>
      <c r="AR260" s="23">
        <v>5</v>
      </c>
      <c r="AS260" s="23"/>
      <c r="AT260" s="23"/>
      <c r="AU260" s="14" t="str">
        <f>HYPERLINK("http://www.openstreetmap.org/?mlat=33.4126&amp;mlon=43.1834&amp;zoom=12#map=12/33.4126/43.1834","Maplink1")</f>
        <v>Maplink1</v>
      </c>
      <c r="AV260" s="14" t="str">
        <f>HYPERLINK("https://www.google.iq/maps/search/+33.4126,43.1834/@33.4126,43.1834,14z?hl=en","Maplink2")</f>
        <v>Maplink2</v>
      </c>
      <c r="AW260" s="14" t="str">
        <f>HYPERLINK("http://www.bing.com/maps/?lvl=14&amp;sty=h&amp;cp=33.4126~43.1834&amp;sp=point.33.4126_43.1834_7 Killo-al-mojamaa al-sakany","Maplink3")</f>
        <v>Maplink3</v>
      </c>
    </row>
    <row r="261" spans="1:49" ht="15" customHeight="1" x14ac:dyDescent="0.25">
      <c r="A261" s="21">
        <v>23858</v>
      </c>
      <c r="B261" s="22" t="s">
        <v>9</v>
      </c>
      <c r="C261" s="22" t="s">
        <v>727</v>
      </c>
      <c r="D261" s="22" t="s">
        <v>735</v>
      </c>
      <c r="E261" s="22" t="s">
        <v>736</v>
      </c>
      <c r="F261" s="22">
        <v>33.387912</v>
      </c>
      <c r="G261" s="22">
        <v>43.532187</v>
      </c>
      <c r="H261" s="21" t="s">
        <v>73</v>
      </c>
      <c r="I261" s="21" t="s">
        <v>729</v>
      </c>
      <c r="J261" s="21" t="s">
        <v>737</v>
      </c>
      <c r="K261" s="24">
        <v>718</v>
      </c>
      <c r="L261" s="24">
        <v>4308</v>
      </c>
      <c r="M261" s="23">
        <v>677</v>
      </c>
      <c r="N261" s="23">
        <v>22</v>
      </c>
      <c r="O261" s="23">
        <v>19</v>
      </c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>
        <v>556</v>
      </c>
      <c r="AG261" s="23"/>
      <c r="AH261" s="23">
        <v>8</v>
      </c>
      <c r="AI261" s="23"/>
      <c r="AJ261" s="23"/>
      <c r="AK261" s="23">
        <v>12</v>
      </c>
      <c r="AL261" s="23">
        <v>68</v>
      </c>
      <c r="AM261" s="23">
        <v>74</v>
      </c>
      <c r="AN261" s="23"/>
      <c r="AO261" s="23">
        <v>132</v>
      </c>
      <c r="AP261" s="23"/>
      <c r="AQ261" s="23"/>
      <c r="AR261" s="23">
        <v>251</v>
      </c>
      <c r="AS261" s="23">
        <v>242</v>
      </c>
      <c r="AT261" s="23">
        <v>93</v>
      </c>
      <c r="AU261" s="14" t="str">
        <f>HYPERLINK("http://www.openstreetmap.org/?mlat=33.3879&amp;mlon=43.5322&amp;zoom=12#map=12/33.3879/43.5322","Maplink1")</f>
        <v>Maplink1</v>
      </c>
      <c r="AV261" s="14" t="str">
        <f>HYPERLINK("https://www.google.iq/maps/search/+33.3879,43.5322/@33.3879,43.5322,14z?hl=en","Maplink2")</f>
        <v>Maplink2</v>
      </c>
      <c r="AW261" s="14" t="str">
        <f>HYPERLINK("http://www.bing.com/maps/?lvl=14&amp;sty=h&amp;cp=33.3879~43.5322&amp;sp=point.33.3879_43.5322_Abu Fless","Maplink3")</f>
        <v>Maplink3</v>
      </c>
    </row>
    <row r="262" spans="1:49" ht="15" customHeight="1" x14ac:dyDescent="0.25">
      <c r="A262" s="21">
        <v>29479</v>
      </c>
      <c r="B262" s="22" t="s">
        <v>9</v>
      </c>
      <c r="C262" s="22" t="s">
        <v>727</v>
      </c>
      <c r="D262" s="22" t="s">
        <v>509</v>
      </c>
      <c r="E262" s="22" t="s">
        <v>510</v>
      </c>
      <c r="F262" s="22">
        <v>33.491343000000001</v>
      </c>
      <c r="G262" s="22">
        <v>43.133495000000003</v>
      </c>
      <c r="H262" s="21" t="s">
        <v>73</v>
      </c>
      <c r="I262" s="21" t="s">
        <v>729</v>
      </c>
      <c r="J262" s="21"/>
      <c r="K262" s="24">
        <v>379</v>
      </c>
      <c r="L262" s="24">
        <v>2274</v>
      </c>
      <c r="M262" s="23">
        <v>379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>
        <v>379</v>
      </c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>
        <v>379</v>
      </c>
      <c r="AU262" s="14" t="str">
        <f>HYPERLINK("http://www.openstreetmap.org/?mlat=33.4913&amp;mlon=43.1335&amp;zoom=12#map=12/33.4913/43.1335","Maplink1")</f>
        <v>Maplink1</v>
      </c>
      <c r="AV262" s="14" t="str">
        <f>HYPERLINK("https://www.google.iq/maps/search/+33.4913,43.1335/@33.4913,43.1335,14z?hl=en","Maplink2")</f>
        <v>Maplink2</v>
      </c>
      <c r="AW262" s="14" t="str">
        <f>HYPERLINK("http://www.bing.com/maps/?lvl=14&amp;sty=h&amp;cp=33.4913~43.1335&amp;sp=point.33.4913_43.1335_Al Angaa","Maplink3")</f>
        <v>Maplink3</v>
      </c>
    </row>
    <row r="263" spans="1:49" ht="15" customHeight="1" x14ac:dyDescent="0.25">
      <c r="A263" s="21">
        <v>24730</v>
      </c>
      <c r="B263" s="22" t="s">
        <v>9</v>
      </c>
      <c r="C263" s="22" t="s">
        <v>727</v>
      </c>
      <c r="D263" s="22" t="s">
        <v>8264</v>
      </c>
      <c r="E263" s="22" t="s">
        <v>738</v>
      </c>
      <c r="F263" s="22">
        <v>33.378565000000002</v>
      </c>
      <c r="G263" s="22">
        <v>43.532009000000002</v>
      </c>
      <c r="H263" s="21" t="s">
        <v>73</v>
      </c>
      <c r="I263" s="21" t="s">
        <v>729</v>
      </c>
      <c r="J263" s="21"/>
      <c r="K263" s="24">
        <v>401</v>
      </c>
      <c r="L263" s="24">
        <v>2406</v>
      </c>
      <c r="M263" s="23">
        <v>345</v>
      </c>
      <c r="N263" s="23">
        <v>4</v>
      </c>
      <c r="O263" s="23">
        <v>52</v>
      </c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>
        <v>358</v>
      </c>
      <c r="AG263" s="23"/>
      <c r="AH263" s="23">
        <v>10</v>
      </c>
      <c r="AI263" s="23"/>
      <c r="AJ263" s="23"/>
      <c r="AK263" s="23"/>
      <c r="AL263" s="23">
        <v>18</v>
      </c>
      <c r="AM263" s="23">
        <v>15</v>
      </c>
      <c r="AN263" s="23"/>
      <c r="AO263" s="23"/>
      <c r="AP263" s="23"/>
      <c r="AQ263" s="23"/>
      <c r="AR263" s="23">
        <v>210</v>
      </c>
      <c r="AS263" s="23">
        <v>43</v>
      </c>
      <c r="AT263" s="23">
        <v>148</v>
      </c>
      <c r="AU263" s="14" t="str">
        <f>HYPERLINK("http://www.openstreetmap.org/?mlat=33.3786&amp;mlon=43.532&amp;zoom=12#map=12/33.3786/43.532","Maplink1")</f>
        <v>Maplink1</v>
      </c>
      <c r="AV263" s="14" t="str">
        <f>HYPERLINK("https://www.google.iq/maps/search/+33.3786,43.532/@33.3786,43.532,14z?hl=en","Maplink2")</f>
        <v>Maplink2</v>
      </c>
      <c r="AW263" s="14" t="str">
        <f>HYPERLINK("http://www.bing.com/maps/?lvl=14&amp;sty=h&amp;cp=33.3786~43.532&amp;sp=point.33.3786_43.532_Al Khulafaa","Maplink3")</f>
        <v>Maplink3</v>
      </c>
    </row>
    <row r="264" spans="1:49" ht="15" customHeight="1" x14ac:dyDescent="0.25">
      <c r="A264" s="21">
        <v>181</v>
      </c>
      <c r="B264" s="22" t="s">
        <v>9</v>
      </c>
      <c r="C264" s="22" t="s">
        <v>727</v>
      </c>
      <c r="D264" s="22" t="s">
        <v>8319</v>
      </c>
      <c r="E264" s="22" t="s">
        <v>788</v>
      </c>
      <c r="F264" s="22">
        <v>33.408788000000001</v>
      </c>
      <c r="G264" s="22">
        <v>43.287788999999997</v>
      </c>
      <c r="H264" s="21" t="s">
        <v>73</v>
      </c>
      <c r="I264" s="21" t="s">
        <v>729</v>
      </c>
      <c r="J264" s="21" t="s">
        <v>789</v>
      </c>
      <c r="K264" s="24">
        <v>20</v>
      </c>
      <c r="L264" s="24">
        <v>120</v>
      </c>
      <c r="M264" s="23">
        <v>20</v>
      </c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>
        <v>20</v>
      </c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>
        <v>20</v>
      </c>
      <c r="AS264" s="23"/>
      <c r="AT264" s="23"/>
      <c r="AU264" s="14" t="str">
        <f>HYPERLINK("http://www.openstreetmap.org/?mlat=33.4088&amp;mlon=43.2878&amp;zoom=12#map=12/33.4088/43.2878","Maplink1")</f>
        <v>Maplink1</v>
      </c>
      <c r="AV264" s="14" t="str">
        <f>HYPERLINK("https://www.google.iq/maps/search/+33.4088,43.2878/@33.4088,43.2878,14z?hl=en","Maplink2")</f>
        <v>Maplink2</v>
      </c>
      <c r="AW264" s="14" t="str">
        <f>HYPERLINK("http://www.bing.com/maps/?lvl=14&amp;sty=h&amp;cp=33.4088~43.2878&amp;sp=point.33.4088_43.2878_Qadisiya-2","Maplink3")</f>
        <v>Maplink3</v>
      </c>
    </row>
    <row r="265" spans="1:49" ht="15" customHeight="1" x14ac:dyDescent="0.25">
      <c r="A265" s="21">
        <v>25439</v>
      </c>
      <c r="B265" s="22" t="s">
        <v>9</v>
      </c>
      <c r="C265" s="22" t="s">
        <v>727</v>
      </c>
      <c r="D265" s="22" t="s">
        <v>739</v>
      </c>
      <c r="E265" s="22" t="s">
        <v>740</v>
      </c>
      <c r="F265" s="22">
        <v>33.405189999999997</v>
      </c>
      <c r="G265" s="22">
        <v>43.290385000000001</v>
      </c>
      <c r="H265" s="21" t="s">
        <v>73</v>
      </c>
      <c r="I265" s="21" t="s">
        <v>729</v>
      </c>
      <c r="J265" s="21"/>
      <c r="K265" s="24">
        <v>17</v>
      </c>
      <c r="L265" s="24">
        <v>102</v>
      </c>
      <c r="M265" s="23">
        <v>17</v>
      </c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>
        <v>17</v>
      </c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>
        <v>17</v>
      </c>
      <c r="AS265" s="23"/>
      <c r="AT265" s="23"/>
      <c r="AU265" s="14" t="str">
        <f>HYPERLINK("http://www.openstreetmap.org/?mlat=33.4052&amp;mlon=43.2904&amp;zoom=12#map=12/33.4052/43.2904","Maplink1")</f>
        <v>Maplink1</v>
      </c>
      <c r="AV265" s="14" t="str">
        <f>HYPERLINK("https://www.google.iq/maps/search/+33.4052,43.2904/@33.4052,43.2904,14z?hl=en","Maplink2")</f>
        <v>Maplink2</v>
      </c>
      <c r="AW265" s="14" t="str">
        <f>HYPERLINK("http://www.bing.com/maps/?lvl=14&amp;sty=h&amp;cp=33.4052~43.2904&amp;sp=point.33.4052_43.2904_Al Rimilah","Maplink3")</f>
        <v>Maplink3</v>
      </c>
    </row>
    <row r="266" spans="1:49" ht="15" customHeight="1" x14ac:dyDescent="0.25">
      <c r="A266" s="21">
        <v>25440</v>
      </c>
      <c r="B266" s="22" t="s">
        <v>9</v>
      </c>
      <c r="C266" s="22" t="s">
        <v>727</v>
      </c>
      <c r="D266" s="22" t="s">
        <v>741</v>
      </c>
      <c r="E266" s="22" t="s">
        <v>742</v>
      </c>
      <c r="F266" s="22">
        <v>33.432822999999999</v>
      </c>
      <c r="G266" s="22">
        <v>43.364002999999997</v>
      </c>
      <c r="H266" s="21" t="s">
        <v>73</v>
      </c>
      <c r="I266" s="21" t="s">
        <v>729</v>
      </c>
      <c r="J266" s="21"/>
      <c r="K266" s="24">
        <v>14</v>
      </c>
      <c r="L266" s="24">
        <v>84</v>
      </c>
      <c r="M266" s="23">
        <v>14</v>
      </c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>
        <v>14</v>
      </c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>
        <v>14</v>
      </c>
      <c r="AS266" s="23"/>
      <c r="AT266" s="23"/>
      <c r="AU266" s="14" t="str">
        <f>HYPERLINK("http://www.openstreetmap.org/?mlat=33.4328&amp;mlon=43.364&amp;zoom=12#map=12/33.4328/43.364","Maplink1")</f>
        <v>Maplink1</v>
      </c>
      <c r="AV266" s="14" t="str">
        <f>HYPERLINK("https://www.google.iq/maps/search/+33.4328,43.364/@33.4328,43.364,14z?hl=en","Maplink2")</f>
        <v>Maplink2</v>
      </c>
      <c r="AW266" s="14" t="str">
        <f>HYPERLINK("http://www.bing.com/maps/?lvl=14&amp;sty=h&amp;cp=33.4328~43.364&amp;sp=point.33.4328_43.364_Al Sajariyah","Maplink3")</f>
        <v>Maplink3</v>
      </c>
    </row>
    <row r="267" spans="1:49" ht="15" customHeight="1" x14ac:dyDescent="0.25">
      <c r="A267" s="21">
        <v>115</v>
      </c>
      <c r="B267" s="22" t="s">
        <v>9</v>
      </c>
      <c r="C267" s="22" t="s">
        <v>727</v>
      </c>
      <c r="D267" s="22" t="s">
        <v>8320</v>
      </c>
      <c r="E267" s="22" t="s">
        <v>743</v>
      </c>
      <c r="F267" s="22">
        <v>33.438446999999996</v>
      </c>
      <c r="G267" s="22">
        <v>43.325181000000001</v>
      </c>
      <c r="H267" s="21" t="s">
        <v>73</v>
      </c>
      <c r="I267" s="21" t="s">
        <v>729</v>
      </c>
      <c r="J267" s="21" t="s">
        <v>744</v>
      </c>
      <c r="K267" s="24">
        <v>199</v>
      </c>
      <c r="L267" s="24">
        <v>1194</v>
      </c>
      <c r="M267" s="23">
        <v>199</v>
      </c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138</v>
      </c>
      <c r="AG267" s="23"/>
      <c r="AH267" s="23"/>
      <c r="AI267" s="23"/>
      <c r="AJ267" s="23"/>
      <c r="AK267" s="23">
        <v>5</v>
      </c>
      <c r="AL267" s="23">
        <v>18</v>
      </c>
      <c r="AM267" s="23">
        <v>38</v>
      </c>
      <c r="AN267" s="23"/>
      <c r="AO267" s="23">
        <v>44</v>
      </c>
      <c r="AP267" s="23"/>
      <c r="AQ267" s="23"/>
      <c r="AR267" s="23">
        <v>81</v>
      </c>
      <c r="AS267" s="23">
        <v>74</v>
      </c>
      <c r="AT267" s="23"/>
      <c r="AU267" s="14" t="str">
        <f>HYPERLINK("http://www.openstreetmap.org/?mlat=33.4384&amp;mlon=43.3252&amp;zoom=12#map=12/33.4384/43.3252","Maplink1")</f>
        <v>Maplink1</v>
      </c>
      <c r="AV267" s="14" t="str">
        <f>HYPERLINK("https://www.google.iq/maps/search/+33.4384,43.3252/@33.4384,43.3252,14z?hl=en","Maplink2")</f>
        <v>Maplink2</v>
      </c>
      <c r="AW267" s="14" t="str">
        <f>HYPERLINK("http://www.bing.com/maps/?lvl=14&amp;sty=h&amp;cp=33.4384~43.3252&amp;sp=point.33.4384_43.3252_Al Sofeya","Maplink3")</f>
        <v>Maplink3</v>
      </c>
    </row>
    <row r="268" spans="1:49" ht="15" customHeight="1" x14ac:dyDescent="0.25">
      <c r="A268" s="21">
        <v>25441</v>
      </c>
      <c r="B268" s="22" t="s">
        <v>9</v>
      </c>
      <c r="C268" s="22" t="s">
        <v>727</v>
      </c>
      <c r="D268" s="22" t="s">
        <v>745</v>
      </c>
      <c r="E268" s="22" t="s">
        <v>746</v>
      </c>
      <c r="F268" s="22">
        <v>33.438257999999998</v>
      </c>
      <c r="G268" s="22">
        <v>43.351342000000002</v>
      </c>
      <c r="H268" s="21" t="s">
        <v>73</v>
      </c>
      <c r="I268" s="21" t="s">
        <v>729</v>
      </c>
      <c r="J268" s="21"/>
      <c r="K268" s="24">
        <v>15</v>
      </c>
      <c r="L268" s="24">
        <v>90</v>
      </c>
      <c r="M268" s="23">
        <v>15</v>
      </c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>
        <v>15</v>
      </c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>
        <v>15</v>
      </c>
      <c r="AS268" s="23"/>
      <c r="AT268" s="23"/>
      <c r="AU268" s="14" t="str">
        <f>HYPERLINK("http://www.openstreetmap.org/?mlat=33.4383&amp;mlon=43.3513&amp;zoom=12#map=12/33.4383/43.3513","Maplink1")</f>
        <v>Maplink1</v>
      </c>
      <c r="AV268" s="14" t="str">
        <f>HYPERLINK("https://www.google.iq/maps/search/+33.4383,43.3513/@33.4383,43.3513,14z?hl=en","Maplink2")</f>
        <v>Maplink2</v>
      </c>
      <c r="AW268" s="14" t="str">
        <f>HYPERLINK("http://www.bing.com/maps/?lvl=14&amp;sty=h&amp;cp=33.4383~43.3513&amp;sp=point.33.4383_43.3513_Al Soora","Maplink3")</f>
        <v>Maplink3</v>
      </c>
    </row>
    <row r="269" spans="1:49" ht="15" customHeight="1" x14ac:dyDescent="0.25">
      <c r="A269" s="21">
        <v>24729</v>
      </c>
      <c r="B269" s="22" t="s">
        <v>9</v>
      </c>
      <c r="C269" s="22" t="s">
        <v>727</v>
      </c>
      <c r="D269" s="22" t="s">
        <v>747</v>
      </c>
      <c r="E269" s="22" t="s">
        <v>748</v>
      </c>
      <c r="F269" s="22">
        <v>33.383673000000002</v>
      </c>
      <c r="G269" s="22">
        <v>43.526364000000001</v>
      </c>
      <c r="H269" s="21" t="s">
        <v>73</v>
      </c>
      <c r="I269" s="21" t="s">
        <v>729</v>
      </c>
      <c r="J269" s="21"/>
      <c r="K269" s="24">
        <v>317</v>
      </c>
      <c r="L269" s="24">
        <v>1902</v>
      </c>
      <c r="M269" s="23">
        <v>317</v>
      </c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>
        <v>184</v>
      </c>
      <c r="AG269" s="23"/>
      <c r="AH269" s="23">
        <v>110</v>
      </c>
      <c r="AI269" s="23"/>
      <c r="AJ269" s="23"/>
      <c r="AK269" s="23"/>
      <c r="AL269" s="23">
        <v>16</v>
      </c>
      <c r="AM269" s="23">
        <v>7</v>
      </c>
      <c r="AN269" s="23"/>
      <c r="AO269" s="23"/>
      <c r="AP269" s="23"/>
      <c r="AQ269" s="23"/>
      <c r="AR269" s="23">
        <v>38</v>
      </c>
      <c r="AS269" s="23">
        <v>279</v>
      </c>
      <c r="AT269" s="23"/>
      <c r="AU269" s="14" t="str">
        <f>HYPERLINK("http://www.openstreetmap.org/?mlat=33.3837&amp;mlon=43.5264&amp;zoom=12#map=12/33.3837/43.5264","Maplink1")</f>
        <v>Maplink1</v>
      </c>
      <c r="AV269" s="14" t="str">
        <f>HYPERLINK("https://www.google.iq/maps/search/+33.3837,43.5264/@33.3837,43.5264,14z?hl=en","Maplink2")</f>
        <v>Maplink2</v>
      </c>
      <c r="AW269" s="14" t="str">
        <f>HYPERLINK("http://www.bing.com/maps/?lvl=14&amp;sty=h&amp;cp=33.3837~43.5264&amp;sp=point.33.3837_43.5264_Al Urobah","Maplink3")</f>
        <v>Maplink3</v>
      </c>
    </row>
    <row r="270" spans="1:49" ht="15" customHeight="1" x14ac:dyDescent="0.25">
      <c r="A270" s="21">
        <v>28395</v>
      </c>
      <c r="B270" s="22" t="s">
        <v>9</v>
      </c>
      <c r="C270" s="22" t="s">
        <v>727</v>
      </c>
      <c r="D270" s="22" t="s">
        <v>549</v>
      </c>
      <c r="E270" s="22" t="s">
        <v>550</v>
      </c>
      <c r="F270" s="22">
        <v>33.397551</v>
      </c>
      <c r="G270" s="22">
        <v>42.854081999999998</v>
      </c>
      <c r="H270" s="21"/>
      <c r="I270" s="21"/>
      <c r="J270" s="21"/>
      <c r="K270" s="24">
        <v>255</v>
      </c>
      <c r="L270" s="24">
        <v>1530</v>
      </c>
      <c r="M270" s="23">
        <v>255</v>
      </c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>
        <v>255</v>
      </c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>
        <v>255</v>
      </c>
      <c r="AT270" s="23"/>
      <c r="AU270" s="14" t="str">
        <f>HYPERLINK("http://www.openstreetmap.org/?mlat=33.3936&amp;mlon=42.8516&amp;zoom=12#map=12/33.3936/42.8516","Maplink1")</f>
        <v>Maplink1</v>
      </c>
      <c r="AV270" s="14" t="str">
        <f>HYPERLINK("https://www.google.iq/maps/search/+33.3936,42.8516/@33.3936,42.8516,14z?hl=en","Maplink2")</f>
        <v>Maplink2</v>
      </c>
      <c r="AW270" s="14" t="str">
        <f>HYPERLINK("http://www.bing.com/maps/?lvl=14&amp;sty=h&amp;cp=33.3936~42.8516&amp;sp=point.33.3936_42.8516_Al Angaa","Maplink3")</f>
        <v>Maplink3</v>
      </c>
    </row>
    <row r="271" spans="1:49" ht="15" customHeight="1" x14ac:dyDescent="0.25">
      <c r="A271" s="21">
        <v>23891</v>
      </c>
      <c r="B271" s="22" t="s">
        <v>9</v>
      </c>
      <c r="C271" s="22" t="s">
        <v>727</v>
      </c>
      <c r="D271" s="22" t="s">
        <v>749</v>
      </c>
      <c r="E271" s="22" t="s">
        <v>750</v>
      </c>
      <c r="F271" s="22">
        <v>33.374498000000003</v>
      </c>
      <c r="G271" s="22">
        <v>42.847051999999998</v>
      </c>
      <c r="H271" s="21" t="s">
        <v>73</v>
      </c>
      <c r="I271" s="21" t="s">
        <v>729</v>
      </c>
      <c r="J271" s="21" t="s">
        <v>751</v>
      </c>
      <c r="K271" s="24">
        <v>237</v>
      </c>
      <c r="L271" s="24">
        <v>1422</v>
      </c>
      <c r="M271" s="23">
        <v>237</v>
      </c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>
        <v>145</v>
      </c>
      <c r="AG271" s="23"/>
      <c r="AH271" s="23"/>
      <c r="AI271" s="23"/>
      <c r="AJ271" s="23"/>
      <c r="AK271" s="23">
        <v>30</v>
      </c>
      <c r="AL271" s="23">
        <v>34</v>
      </c>
      <c r="AM271" s="23">
        <v>28</v>
      </c>
      <c r="AN271" s="23"/>
      <c r="AO271" s="23">
        <v>207</v>
      </c>
      <c r="AP271" s="23"/>
      <c r="AQ271" s="23"/>
      <c r="AR271" s="23">
        <v>30</v>
      </c>
      <c r="AS271" s="23"/>
      <c r="AT271" s="23"/>
      <c r="AU271" s="14" t="str">
        <f>HYPERLINK("http://www.openstreetmap.org/?mlat=33.3745&amp;mlon=42.8471&amp;zoom=12#map=12/33.3745/42.8471","Maplink1")</f>
        <v>Maplink1</v>
      </c>
      <c r="AV271" s="14" t="str">
        <f>HYPERLINK("https://www.google.iq/maps/search/+33.3745,42.8471/@33.3745,42.8471,14z?hl=en","Maplink2")</f>
        <v>Maplink2</v>
      </c>
      <c r="AW271" s="14" t="str">
        <f>HYPERLINK("http://www.bing.com/maps/?lvl=14&amp;sty=h&amp;cp=33.3745~42.8471&amp;sp=point.33.3745_42.8471_Al-Ankor","Maplink3")</f>
        <v>Maplink3</v>
      </c>
    </row>
    <row r="272" spans="1:49" ht="15" customHeight="1" x14ac:dyDescent="0.25">
      <c r="A272" s="21">
        <v>20939</v>
      </c>
      <c r="B272" s="22" t="s">
        <v>9</v>
      </c>
      <c r="C272" s="22" t="s">
        <v>727</v>
      </c>
      <c r="D272" s="22" t="s">
        <v>752</v>
      </c>
      <c r="E272" s="22" t="s">
        <v>753</v>
      </c>
      <c r="F272" s="22">
        <v>33.477840999999998</v>
      </c>
      <c r="G272" s="22">
        <v>43.416561999999999</v>
      </c>
      <c r="H272" s="21" t="s">
        <v>73</v>
      </c>
      <c r="I272" s="21" t="s">
        <v>729</v>
      </c>
      <c r="J272" s="21" t="s">
        <v>754</v>
      </c>
      <c r="K272" s="24">
        <v>18</v>
      </c>
      <c r="L272" s="24">
        <v>108</v>
      </c>
      <c r="M272" s="23">
        <v>18</v>
      </c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>
        <v>18</v>
      </c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>
        <v>18</v>
      </c>
      <c r="AS272" s="23"/>
      <c r="AT272" s="23"/>
      <c r="AU272" s="14" t="str">
        <f>HYPERLINK("http://www.openstreetmap.org/?mlat=33.4778&amp;mlon=43.4166&amp;zoom=12#map=12/33.4778/43.4166","Maplink1")</f>
        <v>Maplink1</v>
      </c>
      <c r="AV272" s="14" t="str">
        <f>HYPERLINK("https://www.google.iq/maps/search/+33.4778,43.4166/@33.4778,43.4166,14z?hl=en","Maplink2")</f>
        <v>Maplink2</v>
      </c>
      <c r="AW272" s="14" t="str">
        <f>HYPERLINK("http://www.bing.com/maps/?lvl=14&amp;sty=h&amp;cp=33.4778~43.4166&amp;sp=point.33.4778_43.4166_Al-Hamidhiyah","Maplink3")</f>
        <v>Maplink3</v>
      </c>
    </row>
    <row r="273" spans="1:49" ht="15" customHeight="1" x14ac:dyDescent="0.25">
      <c r="A273" s="21">
        <v>303</v>
      </c>
      <c r="B273" s="22" t="s">
        <v>9</v>
      </c>
      <c r="C273" s="22" t="s">
        <v>727</v>
      </c>
      <c r="D273" s="22" t="s">
        <v>755</v>
      </c>
      <c r="E273" s="22" t="s">
        <v>532</v>
      </c>
      <c r="F273" s="22">
        <v>33.481547999999997</v>
      </c>
      <c r="G273" s="22">
        <v>43.293579999999999</v>
      </c>
      <c r="H273" s="21" t="s">
        <v>73</v>
      </c>
      <c r="I273" s="21" t="s">
        <v>729</v>
      </c>
      <c r="J273" s="21" t="s">
        <v>756</v>
      </c>
      <c r="K273" s="24">
        <v>313</v>
      </c>
      <c r="L273" s="24">
        <v>1878</v>
      </c>
      <c r="M273" s="23">
        <v>264</v>
      </c>
      <c r="N273" s="23">
        <v>49</v>
      </c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>
        <v>225</v>
      </c>
      <c r="AG273" s="23"/>
      <c r="AH273" s="23">
        <v>11</v>
      </c>
      <c r="AI273" s="23"/>
      <c r="AJ273" s="23"/>
      <c r="AK273" s="23"/>
      <c r="AL273" s="23">
        <v>33</v>
      </c>
      <c r="AM273" s="23">
        <v>44</v>
      </c>
      <c r="AN273" s="23"/>
      <c r="AO273" s="23">
        <v>187</v>
      </c>
      <c r="AP273" s="23"/>
      <c r="AQ273" s="23"/>
      <c r="AR273" s="23">
        <v>126</v>
      </c>
      <c r="AS273" s="23"/>
      <c r="AT273" s="23"/>
      <c r="AU273" s="14" t="str">
        <f>HYPERLINK("http://www.openstreetmap.org/?mlat=33.4815&amp;mlon=43.2936&amp;zoom=12#map=12/33.4815/43.2936","Maplink1")</f>
        <v>Maplink1</v>
      </c>
      <c r="AV273" s="14" t="str">
        <f>HYPERLINK("https://www.google.iq/maps/search/+33.4815,43.2936/@33.4815,43.2936,14z?hl=en","Maplink2")</f>
        <v>Maplink2</v>
      </c>
      <c r="AW273" s="14" t="str">
        <f>HYPERLINK("http://www.bing.com/maps/?lvl=14&amp;sty=h&amp;cp=33.4815~43.2936&amp;sp=point.33.4815_43.2936_Al-Jazerah","Maplink3")</f>
        <v>Maplink3</v>
      </c>
    </row>
    <row r="274" spans="1:49" ht="15" customHeight="1" x14ac:dyDescent="0.25">
      <c r="A274" s="21">
        <v>21227</v>
      </c>
      <c r="B274" s="22" t="s">
        <v>9</v>
      </c>
      <c r="C274" s="22" t="s">
        <v>727</v>
      </c>
      <c r="D274" s="22" t="s">
        <v>757</v>
      </c>
      <c r="E274" s="22" t="s">
        <v>758</v>
      </c>
      <c r="F274" s="22">
        <v>33.465560000000004</v>
      </c>
      <c r="G274" s="22">
        <v>43.279260999999998</v>
      </c>
      <c r="H274" s="21" t="s">
        <v>73</v>
      </c>
      <c r="I274" s="21" t="s">
        <v>729</v>
      </c>
      <c r="J274" s="21" t="s">
        <v>759</v>
      </c>
      <c r="K274" s="24">
        <v>533</v>
      </c>
      <c r="L274" s="24">
        <v>3198</v>
      </c>
      <c r="M274" s="23">
        <v>533</v>
      </c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>
        <v>466</v>
      </c>
      <c r="AG274" s="23"/>
      <c r="AH274" s="23">
        <v>7</v>
      </c>
      <c r="AI274" s="23"/>
      <c r="AJ274" s="23"/>
      <c r="AK274" s="23"/>
      <c r="AL274" s="23">
        <v>40</v>
      </c>
      <c r="AM274" s="23">
        <v>20</v>
      </c>
      <c r="AN274" s="23"/>
      <c r="AO274" s="23">
        <v>277</v>
      </c>
      <c r="AP274" s="23"/>
      <c r="AQ274" s="23"/>
      <c r="AR274" s="23">
        <v>256</v>
      </c>
      <c r="AS274" s="23"/>
      <c r="AT274" s="23"/>
      <c r="AU274" s="14" t="str">
        <f>HYPERLINK("http://www.openstreetmap.org/?mlat=33.4656&amp;mlon=43.2793&amp;zoom=12#map=12/33.4656/43.2793","Maplink1")</f>
        <v>Maplink1</v>
      </c>
      <c r="AV274" s="14" t="str">
        <f>HYPERLINK("https://www.google.iq/maps/search/+33.4656,43.2793/@33.4656,43.2793,14z?hl=en","Maplink2")</f>
        <v>Maplink2</v>
      </c>
      <c r="AW274" s="14" t="str">
        <f>HYPERLINK("http://www.bing.com/maps/?lvl=14&amp;sty=h&amp;cp=33.4656~43.2793&amp;sp=point.33.4656_43.2793_Al-Jeraishi","Maplink3")</f>
        <v>Maplink3</v>
      </c>
    </row>
    <row r="275" spans="1:49" ht="15" customHeight="1" x14ac:dyDescent="0.25">
      <c r="A275" s="21">
        <v>29480</v>
      </c>
      <c r="B275" s="22" t="s">
        <v>9</v>
      </c>
      <c r="C275" s="22" t="s">
        <v>727</v>
      </c>
      <c r="D275" s="22" t="s">
        <v>8176</v>
      </c>
      <c r="E275" s="22" t="s">
        <v>8177</v>
      </c>
      <c r="F275" s="22">
        <v>33.349964589999999</v>
      </c>
      <c r="G275" s="22">
        <v>43.549617689999998</v>
      </c>
      <c r="H275" s="21" t="s">
        <v>73</v>
      </c>
      <c r="I275" s="21" t="s">
        <v>729</v>
      </c>
      <c r="J275" s="21"/>
      <c r="K275" s="24">
        <v>2145</v>
      </c>
      <c r="L275" s="24">
        <v>12870</v>
      </c>
      <c r="M275" s="23">
        <v>2145</v>
      </c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>
        <v>2145</v>
      </c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>
        <v>2145</v>
      </c>
      <c r="AU275" s="14" t="str">
        <f>HYPERLINK("http://www.openstreetmap.org/?mlat=33.35&amp;mlon=43.5496&amp;zoom=12#map=12/33.35/43.5496","Maplink1")</f>
        <v>Maplink1</v>
      </c>
      <c r="AV275" s="14" t="str">
        <f>HYPERLINK("https://www.google.iq/maps/search/+33.35,43.5496/@33.35,43.5496,14z?hl=en","Maplink2")</f>
        <v>Maplink2</v>
      </c>
      <c r="AW275" s="14" t="str">
        <f>HYPERLINK("http://www.bing.com/maps/?lvl=14&amp;sty=h&amp;cp=33.35~43.5496&amp;sp=point.33.35_43.5496_Al Angaa","Maplink3")</f>
        <v>Maplink3</v>
      </c>
    </row>
    <row r="276" spans="1:49" ht="15" customHeight="1" x14ac:dyDescent="0.25">
      <c r="A276" s="21">
        <v>23854</v>
      </c>
      <c r="B276" s="22" t="s">
        <v>9</v>
      </c>
      <c r="C276" s="22" t="s">
        <v>727</v>
      </c>
      <c r="D276" s="22" t="s">
        <v>760</v>
      </c>
      <c r="E276" s="22" t="s">
        <v>761</v>
      </c>
      <c r="F276" s="22">
        <v>33.383175000000001</v>
      </c>
      <c r="G276" s="22">
        <v>43.585312000000002</v>
      </c>
      <c r="H276" s="21" t="s">
        <v>73</v>
      </c>
      <c r="I276" s="21" t="s">
        <v>729</v>
      </c>
      <c r="J276" s="21" t="s">
        <v>762</v>
      </c>
      <c r="K276" s="24">
        <v>112</v>
      </c>
      <c r="L276" s="24">
        <v>672</v>
      </c>
      <c r="M276" s="23">
        <v>112</v>
      </c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>
        <v>112</v>
      </c>
      <c r="AN276" s="23"/>
      <c r="AO276" s="23">
        <v>100</v>
      </c>
      <c r="AP276" s="23"/>
      <c r="AQ276" s="23"/>
      <c r="AR276" s="23">
        <v>12</v>
      </c>
      <c r="AS276" s="23"/>
      <c r="AT276" s="23"/>
      <c r="AU276" s="14" t="str">
        <f>HYPERLINK("http://www.openstreetmap.org/?mlat=33.3832&amp;mlon=43.5853&amp;zoom=12#map=12/33.3832/43.5853","Maplink1")</f>
        <v>Maplink1</v>
      </c>
      <c r="AV276" s="14" t="str">
        <f>HYPERLINK("https://www.google.iq/maps/search/+33.3832,43.5853/@33.3832,43.5853,14z?hl=en","Maplink2")</f>
        <v>Maplink2</v>
      </c>
      <c r="AW276" s="14" t="str">
        <f>HYPERLINK("http://www.bing.com/maps/?lvl=14&amp;sty=h&amp;cp=33.3832~43.5853&amp;sp=point.33.3832_43.5853_Al-Kully Kom Complex","Maplink3")</f>
        <v>Maplink3</v>
      </c>
    </row>
    <row r="277" spans="1:49" ht="15" customHeight="1" x14ac:dyDescent="0.25">
      <c r="A277" s="21">
        <v>23857</v>
      </c>
      <c r="B277" s="22" t="s">
        <v>9</v>
      </c>
      <c r="C277" s="22" t="s">
        <v>727</v>
      </c>
      <c r="D277" s="22" t="s">
        <v>763</v>
      </c>
      <c r="E277" s="22" t="s">
        <v>764</v>
      </c>
      <c r="F277" s="22">
        <v>33.392502</v>
      </c>
      <c r="G277" s="22">
        <v>43.497919000000003</v>
      </c>
      <c r="H277" s="21" t="s">
        <v>73</v>
      </c>
      <c r="I277" s="21" t="s">
        <v>729</v>
      </c>
      <c r="J277" s="21" t="s">
        <v>765</v>
      </c>
      <c r="K277" s="24">
        <v>346</v>
      </c>
      <c r="L277" s="24">
        <v>2076</v>
      </c>
      <c r="M277" s="23">
        <v>281</v>
      </c>
      <c r="N277" s="23">
        <v>35</v>
      </c>
      <c r="O277" s="23">
        <v>30</v>
      </c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244</v>
      </c>
      <c r="AG277" s="23"/>
      <c r="AH277" s="23">
        <v>19</v>
      </c>
      <c r="AI277" s="23"/>
      <c r="AJ277" s="23"/>
      <c r="AK277" s="23"/>
      <c r="AL277" s="23">
        <v>32</v>
      </c>
      <c r="AM277" s="23">
        <v>51</v>
      </c>
      <c r="AN277" s="23"/>
      <c r="AO277" s="23">
        <v>122</v>
      </c>
      <c r="AP277" s="23"/>
      <c r="AQ277" s="23"/>
      <c r="AR277" s="23">
        <v>186</v>
      </c>
      <c r="AS277" s="23">
        <v>38</v>
      </c>
      <c r="AT277" s="23"/>
      <c r="AU277" s="14" t="str">
        <f>HYPERLINK("http://www.openstreetmap.org/?mlat=33.3925&amp;mlon=43.4979&amp;zoom=12#map=12/33.3925/43.4979","Maplink1")</f>
        <v>Maplink1</v>
      </c>
      <c r="AV277" s="14" t="str">
        <f>HYPERLINK("https://www.google.iq/maps/search/+33.3925,43.4979/@33.3925,43.4979,14z?hl=en","Maplink2")</f>
        <v>Maplink2</v>
      </c>
      <c r="AW277" s="14" t="str">
        <f>HYPERLINK("http://www.bing.com/maps/?lvl=14&amp;sty=h&amp;cp=33.3925~43.4979&amp;sp=point.33.3925_43.4979_Al-Sadiqiyah","Maplink3")</f>
        <v>Maplink3</v>
      </c>
    </row>
    <row r="278" spans="1:49" ht="15" customHeight="1" x14ac:dyDescent="0.25">
      <c r="A278" s="21">
        <v>206</v>
      </c>
      <c r="B278" s="22" t="s">
        <v>9</v>
      </c>
      <c r="C278" s="22" t="s">
        <v>727</v>
      </c>
      <c r="D278" s="22" t="s">
        <v>766</v>
      </c>
      <c r="E278" s="22" t="s">
        <v>129</v>
      </c>
      <c r="F278" s="22">
        <v>33.386231000000002</v>
      </c>
      <c r="G278" s="22">
        <v>43.524839</v>
      </c>
      <c r="H278" s="21" t="s">
        <v>73</v>
      </c>
      <c r="I278" s="21" t="s">
        <v>729</v>
      </c>
      <c r="J278" s="21" t="s">
        <v>767</v>
      </c>
      <c r="K278" s="24">
        <v>57</v>
      </c>
      <c r="L278" s="24">
        <v>342</v>
      </c>
      <c r="M278" s="23">
        <v>57</v>
      </c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>
        <v>18</v>
      </c>
      <c r="AI278" s="23"/>
      <c r="AJ278" s="23"/>
      <c r="AK278" s="23"/>
      <c r="AL278" s="23"/>
      <c r="AM278" s="23">
        <v>39</v>
      </c>
      <c r="AN278" s="23"/>
      <c r="AO278" s="23">
        <v>6</v>
      </c>
      <c r="AP278" s="23"/>
      <c r="AQ278" s="23"/>
      <c r="AR278" s="23">
        <v>43</v>
      </c>
      <c r="AS278" s="23">
        <v>8</v>
      </c>
      <c r="AT278" s="23"/>
      <c r="AU278" s="14" t="str">
        <f>HYPERLINK("http://www.openstreetmap.org/?mlat=33.3755&amp;mlon=43.5354&amp;zoom=12#map=12/33.3755/43.5354","Maplink1")</f>
        <v>Maplink1</v>
      </c>
      <c r="AV278" s="14" t="str">
        <f>HYPERLINK("https://www.google.iq/maps/search/+33.3755,43.5354/@33.3755,43.5354,14z?hl=en","Maplink2")</f>
        <v>Maplink2</v>
      </c>
      <c r="AW278" s="14" t="str">
        <f>HYPERLINK("http://www.bing.com/maps/?lvl=14&amp;sty=h&amp;cp=33.3755~43.5354&amp;sp=point.33.3755_43.5354_Al-Shuhadaa","Maplink3")</f>
        <v>Maplink3</v>
      </c>
    </row>
    <row r="279" spans="1:49" ht="15" customHeight="1" x14ac:dyDescent="0.25">
      <c r="A279" s="21">
        <v>21997</v>
      </c>
      <c r="B279" s="22" t="s">
        <v>9</v>
      </c>
      <c r="C279" s="22" t="s">
        <v>727</v>
      </c>
      <c r="D279" s="22" t="s">
        <v>768</v>
      </c>
      <c r="E279" s="22" t="s">
        <v>769</v>
      </c>
      <c r="F279" s="22">
        <v>33.422955000000002</v>
      </c>
      <c r="G279" s="22">
        <v>43.271284000000001</v>
      </c>
      <c r="H279" s="21" t="s">
        <v>73</v>
      </c>
      <c r="I279" s="21" t="s">
        <v>729</v>
      </c>
      <c r="J279" s="21" t="s">
        <v>770</v>
      </c>
      <c r="K279" s="24">
        <v>6</v>
      </c>
      <c r="L279" s="24">
        <v>36</v>
      </c>
      <c r="M279" s="23">
        <v>6</v>
      </c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>
        <v>6</v>
      </c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>
        <v>6</v>
      </c>
      <c r="AS279" s="23"/>
      <c r="AT279" s="23"/>
      <c r="AU279" s="14" t="str">
        <f>HYPERLINK("http://www.openstreetmap.org/?mlat=33.423&amp;mlon=43.2713&amp;zoom=12#map=12/33.423/43.2713","Maplink1")</f>
        <v>Maplink1</v>
      </c>
      <c r="AV279" s="14" t="str">
        <f>HYPERLINK("https://www.google.iq/maps/search/+33.423,43.2713/@33.423,43.2713,14z?hl=en","Maplink2")</f>
        <v>Maplink2</v>
      </c>
      <c r="AW279" s="14" t="str">
        <f>HYPERLINK("http://www.bing.com/maps/?lvl=14&amp;sty=h&amp;cp=33.423~43.2713&amp;sp=point.33.423_43.2713_Hay Al Akrad","Maplink3")</f>
        <v>Maplink3</v>
      </c>
    </row>
    <row r="280" spans="1:49" ht="15" customHeight="1" x14ac:dyDescent="0.25">
      <c r="A280" s="21">
        <v>23887</v>
      </c>
      <c r="B280" s="22" t="s">
        <v>9</v>
      </c>
      <c r="C280" s="22" t="s">
        <v>727</v>
      </c>
      <c r="D280" s="22" t="s">
        <v>771</v>
      </c>
      <c r="E280" s="22" t="s">
        <v>258</v>
      </c>
      <c r="F280" s="22">
        <v>33.385134000000001</v>
      </c>
      <c r="G280" s="22">
        <v>43.520747999999998</v>
      </c>
      <c r="H280" s="21" t="s">
        <v>73</v>
      </c>
      <c r="I280" s="21" t="s">
        <v>729</v>
      </c>
      <c r="J280" s="21" t="s">
        <v>772</v>
      </c>
      <c r="K280" s="24">
        <v>429</v>
      </c>
      <c r="L280" s="24">
        <v>2574</v>
      </c>
      <c r="M280" s="23">
        <v>366</v>
      </c>
      <c r="N280" s="23">
        <v>35</v>
      </c>
      <c r="O280" s="23">
        <v>28</v>
      </c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>
        <v>283</v>
      </c>
      <c r="AG280" s="23"/>
      <c r="AH280" s="23"/>
      <c r="AI280" s="23"/>
      <c r="AJ280" s="23"/>
      <c r="AK280" s="23">
        <v>6</v>
      </c>
      <c r="AL280" s="23">
        <v>65</v>
      </c>
      <c r="AM280" s="23">
        <v>75</v>
      </c>
      <c r="AN280" s="23"/>
      <c r="AO280" s="23">
        <v>181</v>
      </c>
      <c r="AP280" s="23"/>
      <c r="AQ280" s="23"/>
      <c r="AR280" s="23">
        <v>207</v>
      </c>
      <c r="AS280" s="23">
        <v>41</v>
      </c>
      <c r="AT280" s="23"/>
      <c r="AU280" s="14" t="str">
        <f>HYPERLINK("http://www.openstreetmap.org/?mlat=33.3851&amp;mlon=43.5207&amp;zoom=12#map=12/33.3851/43.5207","Maplink1")</f>
        <v>Maplink1</v>
      </c>
      <c r="AV280" s="14" t="str">
        <f>HYPERLINK("https://www.google.iq/maps/search/+33.3851,43.5207/@33.3851,43.5207,14z?hl=en","Maplink2")</f>
        <v>Maplink2</v>
      </c>
      <c r="AW280" s="14" t="str">
        <f>HYPERLINK("http://www.bing.com/maps/?lvl=14&amp;sty=h&amp;cp=33.3851~43.5207&amp;sp=point.33.3851_43.5207_Hay Al Mulmeen","Maplink3")</f>
        <v>Maplink3</v>
      </c>
    </row>
    <row r="281" spans="1:49" ht="15" customHeight="1" x14ac:dyDescent="0.25">
      <c r="A281" s="21">
        <v>23853</v>
      </c>
      <c r="B281" s="22" t="s">
        <v>9</v>
      </c>
      <c r="C281" s="22" t="s">
        <v>727</v>
      </c>
      <c r="D281" s="22" t="s">
        <v>773</v>
      </c>
      <c r="E281" s="22" t="s">
        <v>774</v>
      </c>
      <c r="F281" s="22">
        <v>33.377589</v>
      </c>
      <c r="G281" s="22">
        <v>43.570919000000004</v>
      </c>
      <c r="H281" s="21" t="s">
        <v>73</v>
      </c>
      <c r="I281" s="21" t="s">
        <v>729</v>
      </c>
      <c r="J281" s="21" t="s">
        <v>775</v>
      </c>
      <c r="K281" s="24">
        <v>138</v>
      </c>
      <c r="L281" s="24">
        <v>828</v>
      </c>
      <c r="M281" s="23">
        <v>138</v>
      </c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>
        <v>12</v>
      </c>
      <c r="AI281" s="23"/>
      <c r="AJ281" s="23"/>
      <c r="AK281" s="23">
        <v>20</v>
      </c>
      <c r="AL281" s="23">
        <v>76</v>
      </c>
      <c r="AM281" s="23">
        <v>30</v>
      </c>
      <c r="AN281" s="23"/>
      <c r="AO281" s="23">
        <v>96</v>
      </c>
      <c r="AP281" s="23"/>
      <c r="AQ281" s="23"/>
      <c r="AR281" s="23">
        <v>18</v>
      </c>
      <c r="AS281" s="23">
        <v>24</v>
      </c>
      <c r="AT281" s="23"/>
      <c r="AU281" s="14" t="str">
        <f>HYPERLINK("http://www.openstreetmap.org/?mlat=33.3776&amp;mlon=43.5709&amp;zoom=12#map=12/33.3776/43.5709","Maplink1")</f>
        <v>Maplink1</v>
      </c>
      <c r="AV281" s="14" t="str">
        <f>HYPERLINK("https://www.google.iq/maps/search/+33.3776,43.5709/@33.3776,43.5709,14z?hl=en","Maplink2")</f>
        <v>Maplink2</v>
      </c>
      <c r="AW281" s="14" t="str">
        <f>HYPERLINK("http://www.bing.com/maps/?lvl=14&amp;sty=h&amp;cp=33.3776~43.5709&amp;sp=point.33.3776_43.5709_Hay Al-Madani","Maplink3")</f>
        <v>Maplink3</v>
      </c>
    </row>
    <row r="282" spans="1:49" ht="15" customHeight="1" x14ac:dyDescent="0.25">
      <c r="A282" s="21">
        <v>21409</v>
      </c>
      <c r="B282" s="22" t="s">
        <v>9</v>
      </c>
      <c r="C282" s="22" t="s">
        <v>727</v>
      </c>
      <c r="D282" s="22" t="s">
        <v>149</v>
      </c>
      <c r="E282" s="22" t="s">
        <v>619</v>
      </c>
      <c r="F282" s="22">
        <v>33.374561999999997</v>
      </c>
      <c r="G282" s="22">
        <v>43.535583000000003</v>
      </c>
      <c r="H282" s="21" t="s">
        <v>73</v>
      </c>
      <c r="I282" s="21" t="s">
        <v>729</v>
      </c>
      <c r="J282" s="21" t="s">
        <v>776</v>
      </c>
      <c r="K282" s="24">
        <v>131</v>
      </c>
      <c r="L282" s="24">
        <v>786</v>
      </c>
      <c r="M282" s="23">
        <v>131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>
        <v>107</v>
      </c>
      <c r="AG282" s="23"/>
      <c r="AH282" s="23">
        <v>8</v>
      </c>
      <c r="AI282" s="23"/>
      <c r="AJ282" s="23"/>
      <c r="AK282" s="23">
        <v>6</v>
      </c>
      <c r="AL282" s="23"/>
      <c r="AM282" s="23">
        <v>10</v>
      </c>
      <c r="AN282" s="23"/>
      <c r="AO282" s="23"/>
      <c r="AP282" s="23"/>
      <c r="AQ282" s="23"/>
      <c r="AR282" s="23">
        <v>76</v>
      </c>
      <c r="AS282" s="23">
        <v>55</v>
      </c>
      <c r="AT282" s="23"/>
      <c r="AU282" s="14" t="str">
        <f>HYPERLINK("http://www.openstreetmap.org/?mlat=33.3746&amp;mlon=43.5356&amp;zoom=12#map=12/33.3746/43.5356","Maplink1")</f>
        <v>Maplink1</v>
      </c>
      <c r="AV282" s="14" t="str">
        <f>HYPERLINK("https://www.google.iq/maps/search/+33.3746,43.5356/@33.3746,43.5356,14z?hl=en","Maplink2")</f>
        <v>Maplink2</v>
      </c>
      <c r="AW282" s="14" t="str">
        <f>HYPERLINK("http://www.bing.com/maps/?lvl=14&amp;sty=h&amp;cp=33.3746~43.5356&amp;sp=point.33.3746_43.5356_Hay Al-Salam","Maplink3")</f>
        <v>Maplink3</v>
      </c>
    </row>
    <row r="283" spans="1:49" ht="15" customHeight="1" x14ac:dyDescent="0.25">
      <c r="A283" s="21">
        <v>23855</v>
      </c>
      <c r="B283" s="22" t="s">
        <v>9</v>
      </c>
      <c r="C283" s="22" t="s">
        <v>727</v>
      </c>
      <c r="D283" s="22" t="s">
        <v>777</v>
      </c>
      <c r="E283" s="22" t="s">
        <v>778</v>
      </c>
      <c r="F283" s="22">
        <v>33.391820000000003</v>
      </c>
      <c r="G283" s="22">
        <v>43.517091999999998</v>
      </c>
      <c r="H283" s="21" t="s">
        <v>73</v>
      </c>
      <c r="I283" s="21" t="s">
        <v>729</v>
      </c>
      <c r="J283" s="21" t="s">
        <v>779</v>
      </c>
      <c r="K283" s="24">
        <v>320</v>
      </c>
      <c r="L283" s="24">
        <v>1920</v>
      </c>
      <c r="M283" s="23">
        <v>320</v>
      </c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>
        <v>320</v>
      </c>
      <c r="AG283" s="23"/>
      <c r="AH283" s="23"/>
      <c r="AI283" s="23"/>
      <c r="AJ283" s="23"/>
      <c r="AK283" s="23"/>
      <c r="AL283" s="23"/>
      <c r="AM283" s="23"/>
      <c r="AN283" s="23"/>
      <c r="AO283" s="23">
        <v>67</v>
      </c>
      <c r="AP283" s="23"/>
      <c r="AQ283" s="23"/>
      <c r="AR283" s="23">
        <v>130</v>
      </c>
      <c r="AS283" s="23">
        <v>123</v>
      </c>
      <c r="AT283" s="23"/>
      <c r="AU283" s="14" t="str">
        <f>HYPERLINK("http://www.openstreetmap.org/?mlat=33.3918&amp;mlon=43.5171&amp;zoom=12#map=12/33.3918/43.5171","Maplink1")</f>
        <v>Maplink1</v>
      </c>
      <c r="AV283" s="14" t="str">
        <f>HYPERLINK("https://www.google.iq/maps/search/+33.3918,43.5171/@33.3918,43.5171,14z?hl=en","Maplink2")</f>
        <v>Maplink2</v>
      </c>
      <c r="AW283" s="14" t="str">
        <f>HYPERLINK("http://www.bing.com/maps/?lvl=14&amp;sty=h&amp;cp=33.3918~43.5171&amp;sp=point.33.3918_43.5171_Hay Al-Umal","Maplink3")</f>
        <v>Maplink3</v>
      </c>
    </row>
    <row r="284" spans="1:49" ht="15" customHeight="1" x14ac:dyDescent="0.25">
      <c r="A284" s="21">
        <v>113</v>
      </c>
      <c r="B284" s="22" t="s">
        <v>9</v>
      </c>
      <c r="C284" s="22" t="s">
        <v>727</v>
      </c>
      <c r="D284" s="22" t="s">
        <v>7304</v>
      </c>
      <c r="E284" s="22" t="s">
        <v>780</v>
      </c>
      <c r="F284" s="22">
        <v>33.409582</v>
      </c>
      <c r="G284" s="22">
        <v>43.445441000000002</v>
      </c>
      <c r="H284" s="21" t="s">
        <v>73</v>
      </c>
      <c r="I284" s="21" t="s">
        <v>729</v>
      </c>
      <c r="J284" s="21" t="s">
        <v>781</v>
      </c>
      <c r="K284" s="24">
        <v>499</v>
      </c>
      <c r="L284" s="24">
        <v>2994</v>
      </c>
      <c r="M284" s="23">
        <v>499</v>
      </c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>
        <v>499</v>
      </c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>
        <v>499</v>
      </c>
      <c r="AU284" s="14" t="str">
        <f>HYPERLINK("http://www.openstreetmap.org/?mlat=33.4096&amp;mlon=43.4454&amp;zoom=12#map=12/33.4096/43.4454","Maplink1")</f>
        <v>Maplink1</v>
      </c>
      <c r="AV284" s="14" t="str">
        <f>HYPERLINK("https://www.google.iq/maps/search/+33.4096,43.4454/@33.4096,43.4454,14z?hl=en","Maplink2")</f>
        <v>Maplink2</v>
      </c>
      <c r="AW284" s="14" t="str">
        <f>HYPERLINK("http://www.bing.com/maps/?lvl=14&amp;sty=h&amp;cp=33.4096~43.4454&amp;sp=point.33.4096_43.4454_Housiyba Al-sharqiyah","Maplink3")</f>
        <v>Maplink3</v>
      </c>
    </row>
    <row r="285" spans="1:49" ht="15" customHeight="1" x14ac:dyDescent="0.25">
      <c r="A285" s="21">
        <v>28472</v>
      </c>
      <c r="B285" s="22" t="s">
        <v>9</v>
      </c>
      <c r="C285" s="22" t="s">
        <v>727</v>
      </c>
      <c r="D285" s="22" t="s">
        <v>782</v>
      </c>
      <c r="E285" s="22" t="s">
        <v>783</v>
      </c>
      <c r="F285" s="22">
        <v>33.400599460000002</v>
      </c>
      <c r="G285" s="22">
        <v>43.134930539999999</v>
      </c>
      <c r="H285" s="21" t="s">
        <v>73</v>
      </c>
      <c r="I285" s="21" t="s">
        <v>729</v>
      </c>
      <c r="J285" s="21"/>
      <c r="K285" s="24">
        <v>1407</v>
      </c>
      <c r="L285" s="24">
        <v>8442</v>
      </c>
      <c r="M285" s="23">
        <v>1407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>
        <v>1407</v>
      </c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>
        <v>1407</v>
      </c>
      <c r="AU285" s="14" t="str">
        <f>HYPERLINK("http://www.openstreetmap.org/?mlat=33.3943&amp;mlon=43.1145&amp;zoom=12#map=12/33.3943/43.1145","Maplink1")</f>
        <v>Maplink1</v>
      </c>
      <c r="AV285" s="14" t="str">
        <f>HYPERLINK("https://www.google.iq/maps/search/+33.3943,43.1145/@33.3943,43.1145,14z?hl=en","Maplink2")</f>
        <v>Maplink2</v>
      </c>
      <c r="AW285" s="14" t="str">
        <f>HYPERLINK("http://www.bing.com/maps/?lvl=14&amp;sty=h&amp;cp=33.3943~43.1145&amp;sp=point.33.3943_43.1145_Al Angaa","Maplink3")</f>
        <v>Maplink3</v>
      </c>
    </row>
    <row r="286" spans="1:49" ht="15" customHeight="1" x14ac:dyDescent="0.25">
      <c r="A286" s="21">
        <v>308</v>
      </c>
      <c r="B286" s="22" t="s">
        <v>9</v>
      </c>
      <c r="C286" s="22" t="s">
        <v>727</v>
      </c>
      <c r="D286" s="22" t="s">
        <v>8321</v>
      </c>
      <c r="E286" s="22" t="s">
        <v>728</v>
      </c>
      <c r="F286" s="22">
        <v>33.419823999999998</v>
      </c>
      <c r="G286" s="22">
        <v>43.234814999999998</v>
      </c>
      <c r="H286" s="21" t="s">
        <v>73</v>
      </c>
      <c r="I286" s="21" t="s">
        <v>729</v>
      </c>
      <c r="J286" s="21" t="s">
        <v>730</v>
      </c>
      <c r="K286" s="24">
        <v>241</v>
      </c>
      <c r="L286" s="24">
        <v>1446</v>
      </c>
      <c r="M286" s="23">
        <v>241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>
        <v>142</v>
      </c>
      <c r="AG286" s="23"/>
      <c r="AH286" s="23">
        <v>52</v>
      </c>
      <c r="AI286" s="23"/>
      <c r="AJ286" s="23"/>
      <c r="AK286" s="23">
        <v>5</v>
      </c>
      <c r="AL286" s="23">
        <v>10</v>
      </c>
      <c r="AM286" s="23">
        <v>32</v>
      </c>
      <c r="AN286" s="23"/>
      <c r="AO286" s="23">
        <v>66</v>
      </c>
      <c r="AP286" s="23"/>
      <c r="AQ286" s="23"/>
      <c r="AR286" s="23">
        <v>175</v>
      </c>
      <c r="AS286" s="23"/>
      <c r="AT286" s="23"/>
      <c r="AU286" s="14" t="str">
        <f>HYPERLINK("http://www.openstreetmap.org/?mlat=33.4198&amp;mlon=43.2348&amp;zoom=12#map=12/33.4198/43.2348","Maplink1")</f>
        <v>Maplink1</v>
      </c>
      <c r="AV286" s="14" t="str">
        <f>HYPERLINK("https://www.google.iq/maps/search/+33.4198,43.2348/@33.4198,43.2348,14z?hl=en","Maplink2")</f>
        <v>Maplink2</v>
      </c>
      <c r="AW286" s="14" t="str">
        <f>HYPERLINK("http://www.bing.com/maps/?lvl=14&amp;sty=h&amp;cp=33.4198~43.2348&amp;sp=point.33.4198_43.2348_5 Kilo","Maplink3")</f>
        <v>Maplink3</v>
      </c>
    </row>
    <row r="287" spans="1:49" ht="15" customHeight="1" x14ac:dyDescent="0.25">
      <c r="A287" s="21">
        <v>29478</v>
      </c>
      <c r="B287" s="22" t="s">
        <v>9</v>
      </c>
      <c r="C287" s="22" t="s">
        <v>727</v>
      </c>
      <c r="D287" s="22" t="s">
        <v>784</v>
      </c>
      <c r="E287" s="22" t="s">
        <v>785</v>
      </c>
      <c r="F287" s="22">
        <v>33.340912000000003</v>
      </c>
      <c r="G287" s="22">
        <v>42.785190999999998</v>
      </c>
      <c r="H287" s="21" t="s">
        <v>73</v>
      </c>
      <c r="I287" s="21" t="s">
        <v>729</v>
      </c>
      <c r="J287" s="21"/>
      <c r="K287" s="24">
        <v>284</v>
      </c>
      <c r="L287" s="24">
        <v>1704</v>
      </c>
      <c r="M287" s="23">
        <v>284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>
        <v>284</v>
      </c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>
        <v>284</v>
      </c>
      <c r="AU287" s="14" t="str">
        <f>HYPERLINK("http://www.openstreetmap.org/?mlat=33.3087&amp;mlon=42.745&amp;zoom=12#map=12/33.3087/42.745","Maplink1")</f>
        <v>Maplink1</v>
      </c>
      <c r="AV287" s="14" t="str">
        <f>HYPERLINK("https://www.google.iq/maps/search/+33.3087,42.745/@33.3087,42.745,14z?hl=en","Maplink2")</f>
        <v>Maplink2</v>
      </c>
      <c r="AW287" s="14" t="str">
        <f>HYPERLINK("http://www.bing.com/maps/?lvl=14&amp;sty=h&amp;cp=33.3087~42.745&amp;sp=point.33.3087_42.745_Al Angaa","Maplink3")</f>
        <v>Maplink3</v>
      </c>
    </row>
    <row r="288" spans="1:49" ht="15" customHeight="1" x14ac:dyDescent="0.25">
      <c r="A288" s="21">
        <v>182</v>
      </c>
      <c r="B288" s="22" t="s">
        <v>9</v>
      </c>
      <c r="C288" s="22" t="s">
        <v>727</v>
      </c>
      <c r="D288" s="22" t="s">
        <v>8178</v>
      </c>
      <c r="E288" s="22" t="s">
        <v>786</v>
      </c>
      <c r="F288" s="22">
        <v>33.410055999999997</v>
      </c>
      <c r="G288" s="22">
        <v>43.284066000000003</v>
      </c>
      <c r="H288" s="21" t="s">
        <v>73</v>
      </c>
      <c r="I288" s="21" t="s">
        <v>729</v>
      </c>
      <c r="J288" s="21" t="s">
        <v>787</v>
      </c>
      <c r="K288" s="24">
        <v>28</v>
      </c>
      <c r="L288" s="24">
        <v>168</v>
      </c>
      <c r="M288" s="23">
        <v>28</v>
      </c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>
        <v>28</v>
      </c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>
        <v>28</v>
      </c>
      <c r="AS288" s="23"/>
      <c r="AT288" s="23"/>
      <c r="AU288" s="14" t="str">
        <f>HYPERLINK("http://www.openstreetmap.org/?mlat=33.4101&amp;mlon=43.2841&amp;zoom=12#map=12/33.4101/43.2841","Maplink1")</f>
        <v>Maplink1</v>
      </c>
      <c r="AV288" s="14" t="str">
        <f>HYPERLINK("https://www.google.iq/maps/search/+33.4101,43.2841/@33.4101,43.2841,14z?hl=en","Maplink2")</f>
        <v>Maplink2</v>
      </c>
      <c r="AW288" s="14" t="str">
        <f>HYPERLINK("http://www.bing.com/maps/?lvl=14&amp;sty=h&amp;cp=33.4101~43.2841&amp;sp=point.33.4101_43.2841_Qadisiya-1","Maplink3")</f>
        <v>Maplink3</v>
      </c>
    </row>
    <row r="289" spans="1:49" ht="15" customHeight="1" x14ac:dyDescent="0.25">
      <c r="A289" s="21">
        <v>20901</v>
      </c>
      <c r="B289" s="22" t="s">
        <v>9</v>
      </c>
      <c r="C289" s="22" t="s">
        <v>727</v>
      </c>
      <c r="D289" s="22" t="s">
        <v>790</v>
      </c>
      <c r="E289" s="22" t="s">
        <v>791</v>
      </c>
      <c r="F289" s="22">
        <v>33.399115999999999</v>
      </c>
      <c r="G289" s="22">
        <v>43.546906999999997</v>
      </c>
      <c r="H289" s="21" t="s">
        <v>73</v>
      </c>
      <c r="I289" s="21" t="s">
        <v>729</v>
      </c>
      <c r="J289" s="21" t="s">
        <v>792</v>
      </c>
      <c r="K289" s="24">
        <v>514</v>
      </c>
      <c r="L289" s="24">
        <v>3084</v>
      </c>
      <c r="M289" s="23">
        <v>514</v>
      </c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>
        <v>241</v>
      </c>
      <c r="AG289" s="23"/>
      <c r="AH289" s="23">
        <v>79</v>
      </c>
      <c r="AI289" s="23"/>
      <c r="AJ289" s="23"/>
      <c r="AK289" s="23">
        <v>22</v>
      </c>
      <c r="AL289" s="23"/>
      <c r="AM289" s="23">
        <v>172</v>
      </c>
      <c r="AN289" s="23"/>
      <c r="AO289" s="23">
        <v>186</v>
      </c>
      <c r="AP289" s="23"/>
      <c r="AQ289" s="23"/>
      <c r="AR289" s="23">
        <v>117</v>
      </c>
      <c r="AS289" s="23">
        <v>211</v>
      </c>
      <c r="AT289" s="23"/>
      <c r="AU289" s="14" t="str">
        <f>HYPERLINK("http://www.openstreetmap.org/?mlat=33.3991&amp;mlon=43.5469&amp;zoom=12#map=12/33.3991/43.5469","Maplink1")</f>
        <v>Maplink1</v>
      </c>
      <c r="AV289" s="14" t="str">
        <f>HYPERLINK("https://www.google.iq/maps/search/+33.3991,43.5469/@33.3991,43.5469,14z?hl=en","Maplink2")</f>
        <v>Maplink2</v>
      </c>
      <c r="AW289" s="14" t="str">
        <f>HYPERLINK("http://www.bing.com/maps/?lvl=14&amp;sty=h&amp;cp=33.3991~43.5469&amp;sp=point.33.3991_43.5469_Sin Al-Thubban","Maplink3")</f>
        <v>Maplink3</v>
      </c>
    </row>
    <row r="290" spans="1:49" ht="15" customHeight="1" x14ac:dyDescent="0.25">
      <c r="A290" s="21">
        <v>184</v>
      </c>
      <c r="B290" s="22" t="s">
        <v>9</v>
      </c>
      <c r="C290" s="22" t="s">
        <v>727</v>
      </c>
      <c r="D290" s="22" t="s">
        <v>793</v>
      </c>
      <c r="E290" s="22" t="s">
        <v>794</v>
      </c>
      <c r="F290" s="22">
        <v>33.429524999999998</v>
      </c>
      <c r="G290" s="22">
        <v>43.277873</v>
      </c>
      <c r="H290" s="21" t="s">
        <v>73</v>
      </c>
      <c r="I290" s="21" t="s">
        <v>729</v>
      </c>
      <c r="J290" s="21" t="s">
        <v>795</v>
      </c>
      <c r="K290" s="24">
        <v>228</v>
      </c>
      <c r="L290" s="24">
        <v>1368</v>
      </c>
      <c r="M290" s="23">
        <v>228</v>
      </c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>
        <v>125</v>
      </c>
      <c r="AG290" s="23"/>
      <c r="AH290" s="23">
        <v>23</v>
      </c>
      <c r="AI290" s="23"/>
      <c r="AJ290" s="23"/>
      <c r="AK290" s="23">
        <v>16</v>
      </c>
      <c r="AL290" s="23">
        <v>27</v>
      </c>
      <c r="AM290" s="23">
        <v>37</v>
      </c>
      <c r="AN290" s="23"/>
      <c r="AO290" s="23">
        <v>119</v>
      </c>
      <c r="AP290" s="23"/>
      <c r="AQ290" s="23"/>
      <c r="AR290" s="23">
        <v>39</v>
      </c>
      <c r="AS290" s="23">
        <v>70</v>
      </c>
      <c r="AT290" s="23"/>
      <c r="AU290" s="14" t="str">
        <f>HYPERLINK("http://www.openstreetmap.org/?mlat=33.4298&amp;mlon=43.2772&amp;zoom=12#map=12/33.4298/43.2772","Maplink1")</f>
        <v>Maplink1</v>
      </c>
      <c r="AV290" s="14" t="str">
        <f>HYPERLINK("https://www.google.iq/maps/search/+33.4298,43.2772/@33.4298,43.2772,14z?hl=en","Maplink2")</f>
        <v>Maplink2</v>
      </c>
      <c r="AW290" s="14" t="str">
        <f>HYPERLINK("http://www.bing.com/maps/?lvl=14&amp;sty=h&amp;cp=33.4298~43.2772&amp;sp=point.33.4298_43.2772_Warar","Maplink3")</f>
        <v>Maplink3</v>
      </c>
    </row>
    <row r="291" spans="1:49" ht="15" customHeight="1" x14ac:dyDescent="0.25">
      <c r="A291" s="21">
        <v>23856</v>
      </c>
      <c r="B291" s="22" t="s">
        <v>9</v>
      </c>
      <c r="C291" s="22" t="s">
        <v>727</v>
      </c>
      <c r="D291" s="22" t="s">
        <v>796</v>
      </c>
      <c r="E291" s="22" t="s">
        <v>797</v>
      </c>
      <c r="F291" s="22">
        <v>33.393008000000002</v>
      </c>
      <c r="G291" s="22">
        <v>43.560879</v>
      </c>
      <c r="H291" s="21" t="s">
        <v>73</v>
      </c>
      <c r="I291" s="21" t="s">
        <v>729</v>
      </c>
      <c r="J291" s="21" t="s">
        <v>798</v>
      </c>
      <c r="K291" s="24">
        <v>622</v>
      </c>
      <c r="L291" s="24">
        <v>3732</v>
      </c>
      <c r="M291" s="23">
        <v>520</v>
      </c>
      <c r="N291" s="23">
        <v>44</v>
      </c>
      <c r="O291" s="23">
        <v>58</v>
      </c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>
        <v>607</v>
      </c>
      <c r="AG291" s="23"/>
      <c r="AH291" s="23">
        <v>8</v>
      </c>
      <c r="AI291" s="23"/>
      <c r="AJ291" s="23"/>
      <c r="AK291" s="23">
        <v>7</v>
      </c>
      <c r="AL291" s="23"/>
      <c r="AM291" s="23"/>
      <c r="AN291" s="23"/>
      <c r="AO291" s="23">
        <v>86</v>
      </c>
      <c r="AP291" s="23"/>
      <c r="AQ291" s="23"/>
      <c r="AR291" s="23">
        <v>252</v>
      </c>
      <c r="AS291" s="23">
        <v>284</v>
      </c>
      <c r="AT291" s="23"/>
      <c r="AU291" s="14" t="str">
        <f>HYPERLINK("http://www.openstreetmap.org/?mlat=33.393&amp;mlon=43.5609&amp;zoom=12#map=12/33.393/43.5609","Maplink1")</f>
        <v>Maplink1</v>
      </c>
      <c r="AV291" s="14" t="str">
        <f>HYPERLINK("https://www.google.iq/maps/search/+33.393,43.5609/@33.393,43.5609,14z?hl=en","Maplink2")</f>
        <v>Maplink2</v>
      </c>
      <c r="AW291" s="14" t="str">
        <f>HYPERLINK("http://www.bing.com/maps/?lvl=14&amp;sty=h&amp;cp=33.393~43.5609&amp;sp=point.33.393_43.5609_Zoyaha Al-Thuban","Maplink3")</f>
        <v>Maplink3</v>
      </c>
    </row>
    <row r="292" spans="1:49" ht="15" customHeight="1" x14ac:dyDescent="0.25">
      <c r="A292" s="21">
        <v>24594</v>
      </c>
      <c r="B292" s="22" t="s">
        <v>10</v>
      </c>
      <c r="C292" s="22" t="s">
        <v>799</v>
      </c>
      <c r="D292" s="22" t="s">
        <v>800</v>
      </c>
      <c r="E292" s="22" t="s">
        <v>801</v>
      </c>
      <c r="F292" s="22">
        <v>32.552391</v>
      </c>
      <c r="G292" s="22">
        <v>44.572108</v>
      </c>
      <c r="H292" s="21" t="s">
        <v>802</v>
      </c>
      <c r="I292" s="21" t="s">
        <v>803</v>
      </c>
      <c r="J292" s="21"/>
      <c r="K292" s="24">
        <v>1</v>
      </c>
      <c r="L292" s="24">
        <v>6</v>
      </c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>
        <v>1</v>
      </c>
      <c r="AB292" s="23"/>
      <c r="AC292" s="23"/>
      <c r="AD292" s="23"/>
      <c r="AE292" s="23"/>
      <c r="AF292" s="23">
        <v>1</v>
      </c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>
        <v>1</v>
      </c>
      <c r="AR292" s="23"/>
      <c r="AS292" s="23"/>
      <c r="AT292" s="23"/>
      <c r="AU292" s="14" t="str">
        <f>HYPERLINK("http://www.openstreetmap.org/?mlat=32.5524&amp;mlon=44.5721&amp;zoom=12#map=12/32.5524/44.5721","Maplink1")</f>
        <v>Maplink1</v>
      </c>
      <c r="AV292" s="14" t="str">
        <f>HYPERLINK("https://www.google.iq/maps/search/+32.5524,44.5721/@32.5524,44.5721,14z?hl=en","Maplink2")</f>
        <v>Maplink2</v>
      </c>
      <c r="AW292" s="14" t="str">
        <f>HYPERLINK("http://www.bing.com/maps/?lvl=14&amp;sty=h&amp;cp=32.5524~44.5721&amp;sp=point.32.5524_44.5721_Abo Blaw","Maplink3")</f>
        <v>Maplink3</v>
      </c>
    </row>
    <row r="293" spans="1:49" ht="15" customHeight="1" x14ac:dyDescent="0.25">
      <c r="A293" s="21">
        <v>24541</v>
      </c>
      <c r="B293" s="22" t="s">
        <v>10</v>
      </c>
      <c r="C293" s="22" t="s">
        <v>799</v>
      </c>
      <c r="D293" s="22" t="s">
        <v>805</v>
      </c>
      <c r="E293" s="22" t="s">
        <v>806</v>
      </c>
      <c r="F293" s="22">
        <v>32.555554000000001</v>
      </c>
      <c r="G293" s="22">
        <v>44.577210000000001</v>
      </c>
      <c r="H293" s="21" t="s">
        <v>802</v>
      </c>
      <c r="I293" s="21" t="s">
        <v>803</v>
      </c>
      <c r="J293" s="21"/>
      <c r="K293" s="24">
        <v>13</v>
      </c>
      <c r="L293" s="24">
        <v>78</v>
      </c>
      <c r="M293" s="23">
        <v>7</v>
      </c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>
        <v>6</v>
      </c>
      <c r="Z293" s="23"/>
      <c r="AA293" s="23"/>
      <c r="AB293" s="23"/>
      <c r="AC293" s="23"/>
      <c r="AD293" s="23"/>
      <c r="AE293" s="23"/>
      <c r="AF293" s="23">
        <v>6</v>
      </c>
      <c r="AG293" s="23"/>
      <c r="AH293" s="23"/>
      <c r="AI293" s="23"/>
      <c r="AJ293" s="23"/>
      <c r="AK293" s="23">
        <v>7</v>
      </c>
      <c r="AL293" s="23"/>
      <c r="AM293" s="23"/>
      <c r="AN293" s="23"/>
      <c r="AO293" s="23"/>
      <c r="AP293" s="23">
        <v>2</v>
      </c>
      <c r="AQ293" s="23">
        <v>4</v>
      </c>
      <c r="AR293" s="23">
        <v>7</v>
      </c>
      <c r="AS293" s="23"/>
      <c r="AT293" s="23"/>
      <c r="AU293" s="14" t="str">
        <f>HYPERLINK("http://www.openstreetmap.org/?mlat=32.5556&amp;mlon=44.5772&amp;zoom=12#map=12/32.5556/44.5772","Maplink1")</f>
        <v>Maplink1</v>
      </c>
      <c r="AV293" s="14" t="str">
        <f>HYPERLINK("https://www.google.iq/maps/search/+32.5556,44.5772/@32.5556,44.5772,14z?hl=en","Maplink2")</f>
        <v>Maplink2</v>
      </c>
      <c r="AW293" s="14" t="str">
        <f>HYPERLINK("http://www.bing.com/maps/?lvl=14&amp;sty=h&amp;cp=32.5556~44.5772&amp;sp=point.32.5556_44.5772_Abu halael-Al Neel Area","Maplink3")</f>
        <v>Maplink3</v>
      </c>
    </row>
    <row r="294" spans="1:49" ht="15" customHeight="1" x14ac:dyDescent="0.25">
      <c r="A294" s="21">
        <v>21767</v>
      </c>
      <c r="B294" s="22" t="s">
        <v>10</v>
      </c>
      <c r="C294" s="22" t="s">
        <v>799</v>
      </c>
      <c r="D294" s="22" t="s">
        <v>807</v>
      </c>
      <c r="E294" s="22" t="s">
        <v>808</v>
      </c>
      <c r="F294" s="22">
        <v>32.65</v>
      </c>
      <c r="G294" s="22">
        <v>44.414000000000001</v>
      </c>
      <c r="H294" s="21" t="s">
        <v>802</v>
      </c>
      <c r="I294" s="21" t="s">
        <v>803</v>
      </c>
      <c r="J294" s="21" t="s">
        <v>809</v>
      </c>
      <c r="K294" s="24">
        <v>17</v>
      </c>
      <c r="L294" s="24">
        <v>102</v>
      </c>
      <c r="M294" s="23">
        <v>17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>
        <v>17</v>
      </c>
      <c r="AL294" s="23"/>
      <c r="AM294" s="23"/>
      <c r="AN294" s="23"/>
      <c r="AO294" s="23">
        <v>2</v>
      </c>
      <c r="AP294" s="23"/>
      <c r="AQ294" s="23"/>
      <c r="AR294" s="23">
        <v>4</v>
      </c>
      <c r="AS294" s="23">
        <v>11</v>
      </c>
      <c r="AT294" s="23"/>
      <c r="AU294" s="14" t="str">
        <f>HYPERLINK("http://www.openstreetmap.org/?mlat=32.65&amp;mlon=44.414&amp;zoom=12#map=12/32.65/44.414","Maplink1")</f>
        <v>Maplink1</v>
      </c>
      <c r="AV294" s="14" t="str">
        <f>HYPERLINK("https://www.google.iq/maps/search/+32.65,44.414/@32.65,44.414,14z?hl=en","Maplink2")</f>
        <v>Maplink2</v>
      </c>
      <c r="AW294" s="14" t="str">
        <f>HYPERLINK("http://www.bing.com/maps/?lvl=14&amp;sty=h&amp;cp=32.65~44.414&amp;sp=point.32.65_44.414_Abu Sudairah","Maplink3")</f>
        <v>Maplink3</v>
      </c>
    </row>
    <row r="295" spans="1:49" ht="15" customHeight="1" x14ac:dyDescent="0.25">
      <c r="A295" s="21">
        <v>24297</v>
      </c>
      <c r="B295" s="22" t="s">
        <v>10</v>
      </c>
      <c r="C295" s="22" t="s">
        <v>799</v>
      </c>
      <c r="D295" s="22" t="s">
        <v>810</v>
      </c>
      <c r="E295" s="22" t="s">
        <v>7549</v>
      </c>
      <c r="F295" s="22">
        <v>32.647792000000003</v>
      </c>
      <c r="G295" s="22">
        <v>44.729221000000003</v>
      </c>
      <c r="H295" s="21" t="s">
        <v>802</v>
      </c>
      <c r="I295" s="21" t="s">
        <v>803</v>
      </c>
      <c r="J295" s="21"/>
      <c r="K295" s="24">
        <v>7</v>
      </c>
      <c r="L295" s="24">
        <v>42</v>
      </c>
      <c r="M295" s="23">
        <v>7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>
        <v>7</v>
      </c>
      <c r="AL295" s="23"/>
      <c r="AM295" s="23"/>
      <c r="AN295" s="23"/>
      <c r="AO295" s="23"/>
      <c r="AP295" s="23"/>
      <c r="AQ295" s="23"/>
      <c r="AR295" s="23"/>
      <c r="AS295" s="23">
        <v>7</v>
      </c>
      <c r="AT295" s="23"/>
      <c r="AU295" s="14" t="str">
        <f>HYPERLINK("http://www.openstreetmap.org/?mlat=32.6478&amp;mlon=44.7292&amp;zoom=12#map=12/32.6478/44.7292","Maplink1")</f>
        <v>Maplink1</v>
      </c>
      <c r="AV295" s="14" t="str">
        <f>HYPERLINK("https://www.google.iq/maps/search/+32.6478,44.7292/@32.6478,44.7292,14z?hl=en","Maplink2")</f>
        <v>Maplink2</v>
      </c>
      <c r="AW295" s="14" t="str">
        <f>HYPERLINK("http://www.bing.com/maps/?lvl=14&amp;sty=h&amp;cp=32.6478~44.7292&amp;sp=point.32.6478_44.7292_Al Baqer Area-Jablah","Maplink3")</f>
        <v>Maplink3</v>
      </c>
    </row>
    <row r="296" spans="1:49" ht="15" customHeight="1" x14ac:dyDescent="0.25">
      <c r="A296" s="21">
        <v>24178</v>
      </c>
      <c r="B296" s="22" t="s">
        <v>10</v>
      </c>
      <c r="C296" s="22" t="s">
        <v>799</v>
      </c>
      <c r="D296" s="22" t="s">
        <v>811</v>
      </c>
      <c r="E296" s="22" t="s">
        <v>7550</v>
      </c>
      <c r="F296" s="22">
        <v>32.659999999999997</v>
      </c>
      <c r="G296" s="22">
        <v>44.51</v>
      </c>
      <c r="H296" s="21" t="s">
        <v>802</v>
      </c>
      <c r="I296" s="21" t="s">
        <v>803</v>
      </c>
      <c r="J296" s="21" t="s">
        <v>812</v>
      </c>
      <c r="K296" s="24">
        <v>5</v>
      </c>
      <c r="L296" s="24">
        <v>30</v>
      </c>
      <c r="M296" s="23">
        <v>5</v>
      </c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>
        <v>5</v>
      </c>
      <c r="AL296" s="23"/>
      <c r="AM296" s="23"/>
      <c r="AN296" s="23"/>
      <c r="AO296" s="23"/>
      <c r="AP296" s="23"/>
      <c r="AQ296" s="23"/>
      <c r="AR296" s="23"/>
      <c r="AS296" s="23">
        <v>5</v>
      </c>
      <c r="AT296" s="23"/>
      <c r="AU296" s="14" t="str">
        <f>HYPERLINK("http://www.openstreetmap.org/?mlat=32.66&amp;mlon=44.51&amp;zoom=12#map=12/32.66/44.51","Maplink1")</f>
        <v>Maplink1</v>
      </c>
      <c r="AV296" s="14" t="str">
        <f>HYPERLINK("https://www.google.iq/maps/search/+32.66,44.51/@32.66,44.51,14z?hl=en","Maplink2")</f>
        <v>Maplink2</v>
      </c>
      <c r="AW296" s="14" t="str">
        <f>HYPERLINK("http://www.bing.com/maps/?lvl=14&amp;sty=h&amp;cp=32.66~44.51&amp;sp=point.32.66_44.51_Al Imam Hay Al Amir","Maplink3")</f>
        <v>Maplink3</v>
      </c>
    </row>
    <row r="297" spans="1:49" ht="15" customHeight="1" x14ac:dyDescent="0.25">
      <c r="A297" s="21">
        <v>25709</v>
      </c>
      <c r="B297" s="22" t="s">
        <v>10</v>
      </c>
      <c r="C297" s="22" t="s">
        <v>799</v>
      </c>
      <c r="D297" s="22" t="s">
        <v>813</v>
      </c>
      <c r="E297" s="22" t="s">
        <v>7551</v>
      </c>
      <c r="F297" s="22">
        <v>32.661042000000002</v>
      </c>
      <c r="G297" s="22">
        <v>44.481343000000003</v>
      </c>
      <c r="H297" s="21" t="s">
        <v>802</v>
      </c>
      <c r="I297" s="21" t="s">
        <v>803</v>
      </c>
      <c r="J297" s="21"/>
      <c r="K297" s="24">
        <v>6</v>
      </c>
      <c r="L297" s="24">
        <v>36</v>
      </c>
      <c r="M297" s="23">
        <v>6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>
        <v>6</v>
      </c>
      <c r="AL297" s="23"/>
      <c r="AM297" s="23"/>
      <c r="AN297" s="23"/>
      <c r="AO297" s="23"/>
      <c r="AP297" s="23"/>
      <c r="AQ297" s="23"/>
      <c r="AR297" s="23"/>
      <c r="AS297" s="23">
        <v>6</v>
      </c>
      <c r="AT297" s="23"/>
      <c r="AU297" s="14" t="str">
        <f>HYPERLINK("http://www.openstreetmap.org/?mlat=32.661&amp;mlon=44.4813&amp;zoom=12#map=12/32.661/44.4813","Maplink1")</f>
        <v>Maplink1</v>
      </c>
      <c r="AV297" s="14" t="str">
        <f>HYPERLINK("https://www.google.iq/maps/search/+32.661,44.4813/@32.661,44.4813,14z?hl=en","Maplink2")</f>
        <v>Maplink2</v>
      </c>
      <c r="AW297" s="14" t="str">
        <f>HYPERLINK("http://www.bing.com/maps/?lvl=14&amp;sty=h&amp;cp=32.661~44.4813&amp;sp=point.32.661_44.4813_Al Imam Hay Al Hakeem","Maplink3")</f>
        <v>Maplink3</v>
      </c>
    </row>
    <row r="298" spans="1:49" ht="15" customHeight="1" x14ac:dyDescent="0.25">
      <c r="A298" s="21">
        <v>24566</v>
      </c>
      <c r="B298" s="22" t="s">
        <v>10</v>
      </c>
      <c r="C298" s="22" t="s">
        <v>799</v>
      </c>
      <c r="D298" s="22" t="s">
        <v>814</v>
      </c>
      <c r="E298" s="22" t="s">
        <v>7552</v>
      </c>
      <c r="F298" s="22">
        <v>32.667482</v>
      </c>
      <c r="G298" s="22">
        <v>44.503284000000001</v>
      </c>
      <c r="H298" s="21" t="s">
        <v>802</v>
      </c>
      <c r="I298" s="21" t="s">
        <v>803</v>
      </c>
      <c r="J298" s="21"/>
      <c r="K298" s="24">
        <v>1</v>
      </c>
      <c r="L298" s="24">
        <v>6</v>
      </c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>
        <v>1</v>
      </c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>
        <v>1</v>
      </c>
      <c r="AL298" s="23"/>
      <c r="AM298" s="23"/>
      <c r="AN298" s="23"/>
      <c r="AO298" s="23"/>
      <c r="AP298" s="23">
        <v>1</v>
      </c>
      <c r="AQ298" s="23"/>
      <c r="AR298" s="23"/>
      <c r="AS298" s="23"/>
      <c r="AT298" s="23"/>
      <c r="AU298" s="14" t="str">
        <f>HYPERLINK("http://www.openstreetmap.org/?mlat=32.6675&amp;mlon=44.5033&amp;zoom=12#map=12/32.6675/44.5033","Maplink1")</f>
        <v>Maplink1</v>
      </c>
      <c r="AV298" s="14" t="str">
        <f>HYPERLINK("https://www.google.iq/maps/search/+32.6675,44.5033/@32.6675,44.5033,14z?hl=en","Maplink2")</f>
        <v>Maplink2</v>
      </c>
      <c r="AW298" s="14" t="str">
        <f>HYPERLINK("http://www.bing.com/maps/?lvl=14&amp;sty=h&amp;cp=32.6675~44.5033&amp;sp=point.32.6675_44.5033_Al Imam-Hay Al Zahraa","Maplink3")</f>
        <v>Maplink3</v>
      </c>
    </row>
    <row r="299" spans="1:49" ht="15" customHeight="1" x14ac:dyDescent="0.25">
      <c r="A299" s="21">
        <v>24567</v>
      </c>
      <c r="B299" s="22" t="s">
        <v>10</v>
      </c>
      <c r="C299" s="22" t="s">
        <v>799</v>
      </c>
      <c r="D299" s="22" t="s">
        <v>815</v>
      </c>
      <c r="E299" s="22" t="s">
        <v>816</v>
      </c>
      <c r="F299" s="22">
        <v>32.666863999999997</v>
      </c>
      <c r="G299" s="22">
        <v>44.500691000000003</v>
      </c>
      <c r="H299" s="21" t="s">
        <v>802</v>
      </c>
      <c r="I299" s="21" t="s">
        <v>803</v>
      </c>
      <c r="J299" s="21"/>
      <c r="K299" s="24">
        <v>9</v>
      </c>
      <c r="L299" s="24">
        <v>54</v>
      </c>
      <c r="M299" s="23">
        <v>7</v>
      </c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>
        <v>2</v>
      </c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>
        <v>9</v>
      </c>
      <c r="AL299" s="23"/>
      <c r="AM299" s="23"/>
      <c r="AN299" s="23"/>
      <c r="AO299" s="23"/>
      <c r="AP299" s="23">
        <v>2</v>
      </c>
      <c r="AQ299" s="23"/>
      <c r="AR299" s="23"/>
      <c r="AS299" s="23">
        <v>7</v>
      </c>
      <c r="AT299" s="23"/>
      <c r="AU299" s="14" t="str">
        <f>HYPERLINK("http://www.openstreetmap.org/?mlat=32.6669&amp;mlon=44.5007&amp;zoom=12#map=12/32.6669/44.5007","Maplink1")</f>
        <v>Maplink1</v>
      </c>
      <c r="AV299" s="14" t="str">
        <f>HYPERLINK("https://www.google.iq/maps/search/+32.6669,44.5007/@32.6669,44.5007,14z?hl=en","Maplink2")</f>
        <v>Maplink2</v>
      </c>
      <c r="AW299" s="14" t="str">
        <f>HYPERLINK("http://www.bing.com/maps/?lvl=14&amp;sty=h&amp;cp=32.6669~44.5007&amp;sp=point.32.6669_44.5007_Al Imam-Hay Imam Ali","Maplink3")</f>
        <v>Maplink3</v>
      </c>
    </row>
    <row r="300" spans="1:49" ht="15" customHeight="1" x14ac:dyDescent="0.25">
      <c r="A300" s="21">
        <v>29578</v>
      </c>
      <c r="B300" s="22" t="s">
        <v>10</v>
      </c>
      <c r="C300" s="22" t="s">
        <v>799</v>
      </c>
      <c r="D300" s="22" t="s">
        <v>7505</v>
      </c>
      <c r="E300" s="22" t="s">
        <v>7506</v>
      </c>
      <c r="F300" s="22">
        <v>32.777720000000002</v>
      </c>
      <c r="G300" s="22">
        <v>44.486392000000002</v>
      </c>
      <c r="H300" s="21" t="s">
        <v>802</v>
      </c>
      <c r="I300" s="21" t="s">
        <v>803</v>
      </c>
      <c r="J300" s="21"/>
      <c r="K300" s="24">
        <v>21</v>
      </c>
      <c r="L300" s="24">
        <v>126</v>
      </c>
      <c r="M300" s="23">
        <v>7</v>
      </c>
      <c r="N300" s="23">
        <v>6</v>
      </c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>
        <v>8</v>
      </c>
      <c r="AB300" s="23"/>
      <c r="AC300" s="23"/>
      <c r="AD300" s="23"/>
      <c r="AE300" s="23"/>
      <c r="AF300" s="23">
        <v>14</v>
      </c>
      <c r="AG300" s="23"/>
      <c r="AH300" s="23">
        <v>7</v>
      </c>
      <c r="AI300" s="23"/>
      <c r="AJ300" s="23"/>
      <c r="AK300" s="23"/>
      <c r="AL300" s="23"/>
      <c r="AM300" s="23"/>
      <c r="AN300" s="23"/>
      <c r="AO300" s="23"/>
      <c r="AP300" s="23">
        <v>6</v>
      </c>
      <c r="AQ300" s="23">
        <v>8</v>
      </c>
      <c r="AR300" s="23"/>
      <c r="AS300" s="23">
        <v>7</v>
      </c>
      <c r="AT300" s="23"/>
      <c r="AU300" s="14" t="str">
        <f>HYPERLINK("http://www.openstreetmap.org/?mlat=32.7777&amp;mlon=44.4864&amp;zoom=12#map=12/32.7777/44.4864","Maplink1")</f>
        <v>Maplink1</v>
      </c>
      <c r="AV300" s="14" t="str">
        <f>HYPERLINK("https://www.google.iq/maps/search/+32.7777,44.4864/@32.7777,44.4864,14z?hl=en","Maplink2")</f>
        <v>Maplink2</v>
      </c>
      <c r="AW300" s="14" t="str">
        <f>HYPERLINK("http://www.bing.com/maps/?lvl=14&amp;sty=h&amp;cp=32.7777~44.4864&amp;sp=point.32.7777_44.4864","Maplink3")</f>
        <v>Maplink3</v>
      </c>
    </row>
    <row r="301" spans="1:49" ht="15" customHeight="1" x14ac:dyDescent="0.25">
      <c r="A301" s="21">
        <v>24466</v>
      </c>
      <c r="B301" s="22" t="s">
        <v>10</v>
      </c>
      <c r="C301" s="22" t="s">
        <v>799</v>
      </c>
      <c r="D301" s="22" t="s">
        <v>817</v>
      </c>
      <c r="E301" s="22" t="s">
        <v>818</v>
      </c>
      <c r="F301" s="22">
        <v>32.644947999999999</v>
      </c>
      <c r="G301" s="22">
        <v>44.392015999999998</v>
      </c>
      <c r="H301" s="21" t="s">
        <v>802</v>
      </c>
      <c r="I301" s="21" t="s">
        <v>803</v>
      </c>
      <c r="J301" s="21"/>
      <c r="K301" s="24">
        <v>1</v>
      </c>
      <c r="L301" s="24">
        <v>6</v>
      </c>
      <c r="M301" s="23">
        <v>1</v>
      </c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>
        <v>1</v>
      </c>
      <c r="AG301" s="23"/>
      <c r="AH301" s="23"/>
      <c r="AI301" s="23"/>
      <c r="AJ301" s="23"/>
      <c r="AK301" s="23"/>
      <c r="AL301" s="23"/>
      <c r="AM301" s="23"/>
      <c r="AN301" s="23"/>
      <c r="AO301" s="23">
        <v>1</v>
      </c>
      <c r="AP301" s="23"/>
      <c r="AQ301" s="23"/>
      <c r="AR301" s="23"/>
      <c r="AS301" s="23"/>
      <c r="AT301" s="23"/>
      <c r="AU301" s="14" t="str">
        <f>HYPERLINK("http://www.openstreetmap.org/?mlat=32.6449&amp;mlon=44.392&amp;zoom=12#map=12/32.6449/44.392","Maplink1")</f>
        <v>Maplink1</v>
      </c>
      <c r="AV301" s="14" t="str">
        <f>HYPERLINK("https://www.google.iq/maps/search/+32.6449,44.392/@32.6449,44.392,14z?hl=en","Maplink2")</f>
        <v>Maplink2</v>
      </c>
      <c r="AW301" s="14" t="str">
        <f>HYPERLINK("http://www.bing.com/maps/?lvl=14&amp;sty=h&amp;cp=32.6449~44.392&amp;sp=point.32.6449_44.392_Al Murtdha village","Maplink3")</f>
        <v>Maplink3</v>
      </c>
    </row>
    <row r="302" spans="1:49" ht="15" customHeight="1" x14ac:dyDescent="0.25">
      <c r="A302" s="21">
        <v>24299</v>
      </c>
      <c r="B302" s="22" t="s">
        <v>10</v>
      </c>
      <c r="C302" s="22" t="s">
        <v>799</v>
      </c>
      <c r="D302" s="22" t="s">
        <v>819</v>
      </c>
      <c r="E302" s="22" t="s">
        <v>7553</v>
      </c>
      <c r="F302" s="22">
        <v>32.670229999999997</v>
      </c>
      <c r="G302" s="22">
        <v>44.501925999999997</v>
      </c>
      <c r="H302" s="21" t="s">
        <v>802</v>
      </c>
      <c r="I302" s="21" t="s">
        <v>803</v>
      </c>
      <c r="J302" s="21"/>
      <c r="K302" s="24">
        <v>52</v>
      </c>
      <c r="L302" s="24">
        <v>312</v>
      </c>
      <c r="M302" s="23">
        <v>9</v>
      </c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>
        <v>43</v>
      </c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>
        <v>31</v>
      </c>
      <c r="AL302" s="23"/>
      <c r="AM302" s="23">
        <v>21</v>
      </c>
      <c r="AN302" s="23"/>
      <c r="AO302" s="23"/>
      <c r="AP302" s="23">
        <v>43</v>
      </c>
      <c r="AQ302" s="23"/>
      <c r="AR302" s="23"/>
      <c r="AS302" s="23">
        <v>9</v>
      </c>
      <c r="AT302" s="23"/>
      <c r="AU302" s="14" t="str">
        <f>HYPERLINK("http://www.openstreetmap.org/?mlat=32.6702&amp;mlon=44.5019&amp;zoom=12#map=12/32.6702/44.5019","Maplink1")</f>
        <v>Maplink1</v>
      </c>
      <c r="AV302" s="14" t="str">
        <f>HYPERLINK("https://www.google.iq/maps/search/+32.6702,44.5019/@32.6702,44.5019,14z?hl=en","Maplink2")</f>
        <v>Maplink2</v>
      </c>
      <c r="AW302" s="14" t="str">
        <f>HYPERLINK("http://www.bing.com/maps/?lvl=14&amp;sty=h&amp;cp=32.6702~44.5019&amp;sp=point.32.6702_44.5019_Al Qasabah Al Kadimah","Maplink3")</f>
        <v>Maplink3</v>
      </c>
    </row>
    <row r="303" spans="1:49" ht="15" customHeight="1" x14ac:dyDescent="0.25">
      <c r="A303" s="21">
        <v>22372</v>
      </c>
      <c r="B303" s="22" t="s">
        <v>10</v>
      </c>
      <c r="C303" s="22" t="s">
        <v>799</v>
      </c>
      <c r="D303" s="22" t="s">
        <v>820</v>
      </c>
      <c r="E303" s="22" t="s">
        <v>821</v>
      </c>
      <c r="F303" s="22">
        <v>32.716470000000001</v>
      </c>
      <c r="G303" s="22">
        <v>44.692869999999999</v>
      </c>
      <c r="H303" s="21" t="s">
        <v>802</v>
      </c>
      <c r="I303" s="21" t="s">
        <v>803</v>
      </c>
      <c r="J303" s="21" t="s">
        <v>822</v>
      </c>
      <c r="K303" s="24">
        <v>13</v>
      </c>
      <c r="L303" s="24">
        <v>78</v>
      </c>
      <c r="M303" s="23"/>
      <c r="N303" s="23">
        <v>3</v>
      </c>
      <c r="O303" s="23">
        <v>1</v>
      </c>
      <c r="P303" s="23"/>
      <c r="Q303" s="23"/>
      <c r="R303" s="23"/>
      <c r="S303" s="23"/>
      <c r="T303" s="23"/>
      <c r="U303" s="23"/>
      <c r="V303" s="23"/>
      <c r="W303" s="23"/>
      <c r="X303" s="23"/>
      <c r="Y303" s="23">
        <v>3</v>
      </c>
      <c r="Z303" s="23"/>
      <c r="AA303" s="23">
        <v>6</v>
      </c>
      <c r="AB303" s="23"/>
      <c r="AC303" s="23"/>
      <c r="AD303" s="23"/>
      <c r="AE303" s="23"/>
      <c r="AF303" s="23">
        <v>13</v>
      </c>
      <c r="AG303" s="23"/>
      <c r="AH303" s="23"/>
      <c r="AI303" s="23"/>
      <c r="AJ303" s="23"/>
      <c r="AK303" s="23"/>
      <c r="AL303" s="23"/>
      <c r="AM303" s="23"/>
      <c r="AN303" s="23"/>
      <c r="AO303" s="23"/>
      <c r="AP303" s="23">
        <v>6</v>
      </c>
      <c r="AQ303" s="23">
        <v>7</v>
      </c>
      <c r="AR303" s="23"/>
      <c r="AS303" s="23"/>
      <c r="AT303" s="23"/>
      <c r="AU303" s="14" t="str">
        <f>HYPERLINK("http://www.openstreetmap.org/?mlat=32.7165&amp;mlon=44.6929&amp;zoom=12#map=12/32.7165/44.6929","Maplink1")</f>
        <v>Maplink1</v>
      </c>
      <c r="AV303" s="14" t="str">
        <f>HYPERLINK("https://www.google.iq/maps/search/+32.7165,44.6929/@32.7165,44.6929,14z?hl=en","Maplink2")</f>
        <v>Maplink2</v>
      </c>
      <c r="AW303" s="14" t="str">
        <f>HYPERLINK("http://www.bing.com/maps/?lvl=14&amp;sty=h&amp;cp=32.7165~44.6929&amp;sp=point.32.7165_44.6929_Al Rashayed","Maplink3")</f>
        <v>Maplink3</v>
      </c>
    </row>
    <row r="304" spans="1:49" ht="15" customHeight="1" x14ac:dyDescent="0.25">
      <c r="A304" s="21">
        <v>23960</v>
      </c>
      <c r="B304" s="22" t="s">
        <v>10</v>
      </c>
      <c r="C304" s="22" t="s">
        <v>799</v>
      </c>
      <c r="D304" s="22" t="s">
        <v>823</v>
      </c>
      <c r="E304" s="22" t="s">
        <v>824</v>
      </c>
      <c r="F304" s="22">
        <v>32.556137</v>
      </c>
      <c r="G304" s="22">
        <v>44.452936999999999</v>
      </c>
      <c r="H304" s="21" t="s">
        <v>802</v>
      </c>
      <c r="I304" s="21" t="s">
        <v>803</v>
      </c>
      <c r="J304" s="21" t="s">
        <v>825</v>
      </c>
      <c r="K304" s="24">
        <v>9</v>
      </c>
      <c r="L304" s="24">
        <v>54</v>
      </c>
      <c r="M304" s="23">
        <v>9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>
        <v>9</v>
      </c>
      <c r="AL304" s="23"/>
      <c r="AM304" s="23"/>
      <c r="AN304" s="23"/>
      <c r="AO304" s="23"/>
      <c r="AP304" s="23"/>
      <c r="AQ304" s="23"/>
      <c r="AR304" s="23"/>
      <c r="AS304" s="23">
        <v>9</v>
      </c>
      <c r="AT304" s="23"/>
      <c r="AU304" s="14" t="str">
        <f>HYPERLINK("http://www.openstreetmap.org/?mlat=32.5561&amp;mlon=44.4529&amp;zoom=12#map=12/32.5561/44.4529","Maplink1")</f>
        <v>Maplink1</v>
      </c>
      <c r="AV304" s="14" t="str">
        <f>HYPERLINK("https://www.google.iq/maps/search/+32.5561,44.4529/@32.5561,44.4529,14z?hl=en","Maplink2")</f>
        <v>Maplink2</v>
      </c>
      <c r="AW304" s="14" t="str">
        <f>HYPERLINK("http://www.bing.com/maps/?lvl=14&amp;sty=h&amp;cp=32.5561~44.4529&amp;sp=point.32.5561_44.4529_Al Sayahiyah","Maplink3")</f>
        <v>Maplink3</v>
      </c>
    </row>
    <row r="305" spans="1:49" ht="15" customHeight="1" x14ac:dyDescent="0.25">
      <c r="A305" s="21">
        <v>23963</v>
      </c>
      <c r="B305" s="22" t="s">
        <v>10</v>
      </c>
      <c r="C305" s="22" t="s">
        <v>799</v>
      </c>
      <c r="D305" s="22" t="s">
        <v>826</v>
      </c>
      <c r="E305" s="22" t="s">
        <v>7554</v>
      </c>
      <c r="F305" s="22">
        <v>32.664503000000003</v>
      </c>
      <c r="G305" s="22">
        <v>44.506729</v>
      </c>
      <c r="H305" s="21" t="s">
        <v>802</v>
      </c>
      <c r="I305" s="21" t="s">
        <v>803</v>
      </c>
      <c r="J305" s="21" t="s">
        <v>827</v>
      </c>
      <c r="K305" s="24">
        <v>10</v>
      </c>
      <c r="L305" s="24">
        <v>60</v>
      </c>
      <c r="M305" s="23">
        <v>3</v>
      </c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>
        <v>7</v>
      </c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>
        <v>10</v>
      </c>
      <c r="AL305" s="23"/>
      <c r="AM305" s="23"/>
      <c r="AN305" s="23"/>
      <c r="AO305" s="23"/>
      <c r="AP305" s="23">
        <v>7</v>
      </c>
      <c r="AQ305" s="23"/>
      <c r="AR305" s="23">
        <v>3</v>
      </c>
      <c r="AS305" s="23"/>
      <c r="AT305" s="23"/>
      <c r="AU305" s="14" t="str">
        <f>HYPERLINK("http://www.openstreetmap.org/?mlat=32.6645&amp;mlon=44.5067&amp;zoom=12#map=12/32.6645/44.5067","Maplink1")</f>
        <v>Maplink1</v>
      </c>
      <c r="AV305" s="14" t="str">
        <f>HYPERLINK("https://www.google.iq/maps/search/+32.6645,44.5067/@32.6645,44.5067,14z?hl=en","Maplink2")</f>
        <v>Maplink2</v>
      </c>
      <c r="AW305" s="14" t="str">
        <f>HYPERLINK("http://www.bing.com/maps/?lvl=14&amp;sty=h&amp;cp=32.6645~44.5067&amp;sp=point.32.6645_44.5067_Al Shahed Al Sader","Maplink3")</f>
        <v>Maplink3</v>
      </c>
    </row>
    <row r="306" spans="1:49" ht="15" customHeight="1" x14ac:dyDescent="0.25">
      <c r="A306" s="21">
        <v>24431</v>
      </c>
      <c r="B306" s="22" t="s">
        <v>10</v>
      </c>
      <c r="C306" s="22" t="s">
        <v>799</v>
      </c>
      <c r="D306" s="22" t="s">
        <v>828</v>
      </c>
      <c r="E306" s="22" t="s">
        <v>7555</v>
      </c>
      <c r="F306" s="22">
        <v>32.543664</v>
      </c>
      <c r="G306" s="22">
        <v>44.528300000000002</v>
      </c>
      <c r="H306" s="21" t="s">
        <v>802</v>
      </c>
      <c r="I306" s="21" t="s">
        <v>803</v>
      </c>
      <c r="J306" s="21"/>
      <c r="K306" s="24">
        <v>14</v>
      </c>
      <c r="L306" s="24">
        <v>84</v>
      </c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>
        <v>14</v>
      </c>
      <c r="Z306" s="23"/>
      <c r="AA306" s="23"/>
      <c r="AB306" s="23"/>
      <c r="AC306" s="23"/>
      <c r="AD306" s="23"/>
      <c r="AE306" s="23"/>
      <c r="AF306" s="23">
        <v>11</v>
      </c>
      <c r="AG306" s="23"/>
      <c r="AH306" s="23"/>
      <c r="AI306" s="23"/>
      <c r="AJ306" s="23"/>
      <c r="AK306" s="23">
        <v>3</v>
      </c>
      <c r="AL306" s="23"/>
      <c r="AM306" s="23"/>
      <c r="AN306" s="23"/>
      <c r="AO306" s="23"/>
      <c r="AP306" s="23">
        <v>14</v>
      </c>
      <c r="AQ306" s="23"/>
      <c r="AR306" s="23"/>
      <c r="AS306" s="23"/>
      <c r="AT306" s="23"/>
      <c r="AU306" s="14" t="str">
        <f>HYPERLINK("http://www.openstreetmap.org/?mlat=32.5437&amp;mlon=44.5283&amp;zoom=12#map=12/32.5437/44.5283","Maplink1")</f>
        <v>Maplink1</v>
      </c>
      <c r="AV306" s="14" t="str">
        <f>HYPERLINK("https://www.google.iq/maps/search/+32.5437,44.5283/@32.5437,44.5283,14z?hl=en","Maplink2")</f>
        <v>Maplink2</v>
      </c>
      <c r="AW306" s="14" t="str">
        <f>HYPERLINK("http://www.bing.com/maps/?lvl=14&amp;sty=h&amp;cp=32.5437~44.5283&amp;sp=point.32.5437_44.5283_Al taba-Al Neel","Maplink3")</f>
        <v>Maplink3</v>
      </c>
    </row>
    <row r="307" spans="1:49" ht="15" customHeight="1" x14ac:dyDescent="0.25">
      <c r="A307" s="21">
        <v>24336</v>
      </c>
      <c r="B307" s="22" t="s">
        <v>10</v>
      </c>
      <c r="C307" s="22" t="s">
        <v>799</v>
      </c>
      <c r="D307" s="22" t="s">
        <v>829</v>
      </c>
      <c r="E307" s="22" t="s">
        <v>830</v>
      </c>
      <c r="F307" s="22">
        <v>32.748379999999997</v>
      </c>
      <c r="G307" s="22">
        <v>44.469177000000002</v>
      </c>
      <c r="H307" s="21" t="s">
        <v>802</v>
      </c>
      <c r="I307" s="21" t="s">
        <v>803</v>
      </c>
      <c r="J307" s="21"/>
      <c r="K307" s="24">
        <v>11</v>
      </c>
      <c r="L307" s="24">
        <v>66</v>
      </c>
      <c r="M307" s="23">
        <v>2</v>
      </c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>
        <v>9</v>
      </c>
      <c r="Z307" s="23"/>
      <c r="AA307" s="23"/>
      <c r="AB307" s="23"/>
      <c r="AC307" s="23"/>
      <c r="AD307" s="23"/>
      <c r="AE307" s="23"/>
      <c r="AF307" s="23">
        <v>3</v>
      </c>
      <c r="AG307" s="23"/>
      <c r="AH307" s="23"/>
      <c r="AI307" s="23"/>
      <c r="AJ307" s="23"/>
      <c r="AK307" s="23">
        <v>8</v>
      </c>
      <c r="AL307" s="23"/>
      <c r="AM307" s="23"/>
      <c r="AN307" s="23"/>
      <c r="AO307" s="23"/>
      <c r="AP307" s="23">
        <v>9</v>
      </c>
      <c r="AQ307" s="23"/>
      <c r="AR307" s="23"/>
      <c r="AS307" s="23">
        <v>2</v>
      </c>
      <c r="AT307" s="23"/>
      <c r="AU307" s="14" t="str">
        <f>HYPERLINK("http://www.openstreetmap.org/?mlat=32.7484&amp;mlon=44.4692&amp;zoom=12#map=12/32.7484/44.4692","Maplink1")</f>
        <v>Maplink1</v>
      </c>
      <c r="AV307" s="14" t="str">
        <f>HYPERLINK("https://www.google.iq/maps/search/+32.7484,44.4692/@32.7484,44.4692,14z?hl=en","Maplink2")</f>
        <v>Maplink2</v>
      </c>
      <c r="AW307" s="14" t="str">
        <f>HYPERLINK("http://www.bing.com/maps/?lvl=14&amp;sty=h&amp;cp=32.7484~44.4692&amp;sp=point.32.7484_44.4692_Al Tahriyah","Maplink3")</f>
        <v>Maplink3</v>
      </c>
    </row>
    <row r="308" spans="1:49" ht="15" customHeight="1" x14ac:dyDescent="0.25">
      <c r="A308" s="21">
        <v>24517</v>
      </c>
      <c r="B308" s="22" t="s">
        <v>10</v>
      </c>
      <c r="C308" s="22" t="s">
        <v>799</v>
      </c>
      <c r="D308" s="22" t="s">
        <v>831</v>
      </c>
      <c r="E308" s="22" t="s">
        <v>832</v>
      </c>
      <c r="F308" s="22">
        <v>32.523989999999998</v>
      </c>
      <c r="G308" s="22">
        <v>44.511983999999998</v>
      </c>
      <c r="H308" s="21" t="s">
        <v>802</v>
      </c>
      <c r="I308" s="21" t="s">
        <v>803</v>
      </c>
      <c r="J308" s="21"/>
      <c r="K308" s="24">
        <v>9</v>
      </c>
      <c r="L308" s="24">
        <v>54</v>
      </c>
      <c r="M308" s="23"/>
      <c r="N308" s="23"/>
      <c r="O308" s="23">
        <v>4</v>
      </c>
      <c r="P308" s="23"/>
      <c r="Q308" s="23"/>
      <c r="R308" s="23">
        <v>2</v>
      </c>
      <c r="S308" s="23"/>
      <c r="T308" s="23"/>
      <c r="U308" s="23"/>
      <c r="V308" s="23"/>
      <c r="W308" s="23"/>
      <c r="X308" s="23"/>
      <c r="Y308" s="23">
        <v>3</v>
      </c>
      <c r="Z308" s="23"/>
      <c r="AA308" s="23"/>
      <c r="AB308" s="23"/>
      <c r="AC308" s="23"/>
      <c r="AD308" s="23"/>
      <c r="AE308" s="23"/>
      <c r="AF308" s="23">
        <v>5</v>
      </c>
      <c r="AG308" s="23"/>
      <c r="AH308" s="23"/>
      <c r="AI308" s="23"/>
      <c r="AJ308" s="23">
        <v>4</v>
      </c>
      <c r="AK308" s="23"/>
      <c r="AL308" s="23"/>
      <c r="AM308" s="23"/>
      <c r="AN308" s="23"/>
      <c r="AO308" s="23"/>
      <c r="AP308" s="23">
        <v>3</v>
      </c>
      <c r="AQ308" s="23">
        <v>2</v>
      </c>
      <c r="AR308" s="23">
        <v>4</v>
      </c>
      <c r="AS308" s="23"/>
      <c r="AT308" s="23"/>
      <c r="AU308" s="14" t="str">
        <f>HYPERLINK("http://www.openstreetmap.org/?mlat=32.524&amp;mlon=44.512&amp;zoom=12#map=12/32.524/44.512","Maplink1")</f>
        <v>Maplink1</v>
      </c>
      <c r="AV308" s="14" t="str">
        <f>HYPERLINK("https://www.google.iq/maps/search/+32.524,44.512/@32.524,44.512,14z?hl=en","Maplink2")</f>
        <v>Maplink2</v>
      </c>
      <c r="AW308" s="14" t="str">
        <f>HYPERLINK("http://www.bing.com/maps/?lvl=14&amp;sty=h&amp;cp=32.524~44.512&amp;sp=point.32.524_44.512_Al- lubat","Maplink3")</f>
        <v>Maplink3</v>
      </c>
    </row>
    <row r="309" spans="1:49" ht="15" customHeight="1" x14ac:dyDescent="0.25">
      <c r="A309" s="21">
        <v>20923</v>
      </c>
      <c r="B309" s="22" t="s">
        <v>10</v>
      </c>
      <c r="C309" s="22" t="s">
        <v>799</v>
      </c>
      <c r="D309" s="22" t="s">
        <v>833</v>
      </c>
      <c r="E309" s="22" t="s">
        <v>834</v>
      </c>
      <c r="F309" s="22">
        <v>32.533000000000001</v>
      </c>
      <c r="G309" s="22">
        <v>44.545999999999999</v>
      </c>
      <c r="H309" s="21" t="s">
        <v>802</v>
      </c>
      <c r="I309" s="21" t="s">
        <v>803</v>
      </c>
      <c r="J309" s="21" t="s">
        <v>835</v>
      </c>
      <c r="K309" s="24">
        <v>15</v>
      </c>
      <c r="L309" s="24">
        <v>90</v>
      </c>
      <c r="M309" s="23">
        <v>6</v>
      </c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9</v>
      </c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>
        <v>15</v>
      </c>
      <c r="AL309" s="23"/>
      <c r="AM309" s="23"/>
      <c r="AN309" s="23"/>
      <c r="AO309" s="23"/>
      <c r="AP309" s="23">
        <v>9</v>
      </c>
      <c r="AQ309" s="23"/>
      <c r="AR309" s="23"/>
      <c r="AS309" s="23">
        <v>6</v>
      </c>
      <c r="AT309" s="23"/>
      <c r="AU309" s="14" t="str">
        <f>HYPERLINK("http://www.openstreetmap.org/?mlat=32.533&amp;mlon=44.546&amp;zoom=12#map=12/32.533/44.546","Maplink1")</f>
        <v>Maplink1</v>
      </c>
      <c r="AV309" s="14" t="str">
        <f>HYPERLINK("https://www.google.iq/maps/search/+32.533,44.546/@32.533,44.546,14z?hl=en","Maplink2")</f>
        <v>Maplink2</v>
      </c>
      <c r="AW309" s="14" t="str">
        <f>HYPERLINK("http://www.bing.com/maps/?lvl=14&amp;sty=h&amp;cp=32.533~44.546&amp;sp=point.32.533_44.546_Al-Akfia village","Maplink3")</f>
        <v>Maplink3</v>
      </c>
    </row>
    <row r="310" spans="1:49" ht="15" customHeight="1" x14ac:dyDescent="0.25">
      <c r="A310" s="21">
        <v>23941</v>
      </c>
      <c r="B310" s="22" t="s">
        <v>10</v>
      </c>
      <c r="C310" s="22" t="s">
        <v>799</v>
      </c>
      <c r="D310" s="22" t="s">
        <v>836</v>
      </c>
      <c r="E310" s="22" t="s">
        <v>837</v>
      </c>
      <c r="F310" s="22">
        <v>32.695999999999998</v>
      </c>
      <c r="G310" s="22">
        <v>44.677921679999997</v>
      </c>
      <c r="H310" s="21" t="s">
        <v>802</v>
      </c>
      <c r="I310" s="21" t="s">
        <v>803</v>
      </c>
      <c r="J310" s="21" t="s">
        <v>838</v>
      </c>
      <c r="K310" s="24">
        <v>42</v>
      </c>
      <c r="L310" s="24">
        <v>252</v>
      </c>
      <c r="M310" s="23">
        <v>42</v>
      </c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>
        <v>42</v>
      </c>
      <c r="AG310" s="23"/>
      <c r="AH310" s="23"/>
      <c r="AI310" s="23"/>
      <c r="AJ310" s="23"/>
      <c r="AK310" s="23"/>
      <c r="AL310" s="23"/>
      <c r="AM310" s="23"/>
      <c r="AN310" s="23"/>
      <c r="AO310" s="23">
        <v>5</v>
      </c>
      <c r="AP310" s="23">
        <v>20</v>
      </c>
      <c r="AQ310" s="23"/>
      <c r="AR310" s="23"/>
      <c r="AS310" s="23">
        <v>17</v>
      </c>
      <c r="AT310" s="23"/>
      <c r="AU310" s="14" t="str">
        <f>HYPERLINK("http://www.openstreetmap.org/?mlat=32.696&amp;mlon=44.6779&amp;zoom=12#map=12/32.696/44.6779","Maplink1")</f>
        <v>Maplink1</v>
      </c>
      <c r="AV310" s="14" t="str">
        <f>HYPERLINK("https://www.google.iq/maps/search/+32.696,44.6779/@32.696,44.6779,14z?hl=en","Maplink2")</f>
        <v>Maplink2</v>
      </c>
      <c r="AW310" s="14" t="str">
        <f>HYPERLINK("http://www.bing.com/maps/?lvl=14&amp;sty=h&amp;cp=32.696~44.6779&amp;sp=point.32.696_44.6779_Al-Jadrjy","Maplink3")</f>
        <v>Maplink3</v>
      </c>
    </row>
    <row r="311" spans="1:49" ht="15" customHeight="1" x14ac:dyDescent="0.25">
      <c r="A311" s="21">
        <v>25712</v>
      </c>
      <c r="B311" s="22" t="s">
        <v>10</v>
      </c>
      <c r="C311" s="22" t="s">
        <v>799</v>
      </c>
      <c r="D311" s="22" t="s">
        <v>839</v>
      </c>
      <c r="E311" s="22" t="s">
        <v>840</v>
      </c>
      <c r="F311" s="22">
        <v>32.664932999999998</v>
      </c>
      <c r="G311" s="22">
        <v>44.383127000000002</v>
      </c>
      <c r="H311" s="21" t="s">
        <v>802</v>
      </c>
      <c r="I311" s="21" t="s">
        <v>803</v>
      </c>
      <c r="J311" s="21"/>
      <c r="K311" s="24">
        <v>2</v>
      </c>
      <c r="L311" s="24">
        <v>12</v>
      </c>
      <c r="M311" s="23"/>
      <c r="N311" s="23">
        <v>2</v>
      </c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>
        <v>2</v>
      </c>
      <c r="AL311" s="23"/>
      <c r="AM311" s="23"/>
      <c r="AN311" s="23"/>
      <c r="AO311" s="23"/>
      <c r="AP311" s="23">
        <v>2</v>
      </c>
      <c r="AQ311" s="23"/>
      <c r="AR311" s="23"/>
      <c r="AS311" s="23"/>
      <c r="AT311" s="23"/>
      <c r="AU311" s="14" t="str">
        <f>HYPERLINK("http://www.openstreetmap.org/?mlat=32.6649&amp;mlon=44.3831&amp;zoom=12#map=12/32.6649/44.3831","Maplink1")</f>
        <v>Maplink1</v>
      </c>
      <c r="AV311" s="14" t="str">
        <f>HYPERLINK("https://www.google.iq/maps/search/+32.6649,44.3831/@32.6649,44.3831,14z?hl=en","Maplink2")</f>
        <v>Maplink2</v>
      </c>
      <c r="AW311" s="14" t="str">
        <f>HYPERLINK("http://www.bing.com/maps/?lvl=14&amp;sty=h&amp;cp=32.6649~44.3831&amp;sp=point.32.6649_44.3831_Al-Jazra","Maplink3")</f>
        <v>Maplink3</v>
      </c>
    </row>
    <row r="312" spans="1:49" ht="15" customHeight="1" x14ac:dyDescent="0.25">
      <c r="A312" s="21">
        <v>25617</v>
      </c>
      <c r="B312" s="22" t="s">
        <v>10</v>
      </c>
      <c r="C312" s="22" t="s">
        <v>799</v>
      </c>
      <c r="D312" s="22" t="s">
        <v>841</v>
      </c>
      <c r="E312" s="22" t="s">
        <v>842</v>
      </c>
      <c r="F312" s="22">
        <v>32.395887999999999</v>
      </c>
      <c r="G312" s="22">
        <v>44.234471999999997</v>
      </c>
      <c r="H312" s="21" t="s">
        <v>802</v>
      </c>
      <c r="I312" s="21" t="s">
        <v>803</v>
      </c>
      <c r="J312" s="21"/>
      <c r="K312" s="24">
        <v>14</v>
      </c>
      <c r="L312" s="24">
        <v>84</v>
      </c>
      <c r="M312" s="23">
        <v>14</v>
      </c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14</v>
      </c>
      <c r="AL312" s="23"/>
      <c r="AM312" s="23"/>
      <c r="AN312" s="23"/>
      <c r="AO312" s="23"/>
      <c r="AP312" s="23"/>
      <c r="AQ312" s="23"/>
      <c r="AR312" s="23">
        <v>10</v>
      </c>
      <c r="AS312" s="23">
        <v>4</v>
      </c>
      <c r="AT312" s="23"/>
      <c r="AU312" s="14" t="str">
        <f>HYPERLINK("http://www.openstreetmap.org/?mlat=32.3959&amp;mlon=44.2345&amp;zoom=12#map=12/32.3959/44.2345","Maplink1")</f>
        <v>Maplink1</v>
      </c>
      <c r="AV312" s="14" t="str">
        <f>HYPERLINK("https://www.google.iq/maps/search/+32.3959,44.2345/@32.3959,44.2345,14z?hl=en","Maplink2")</f>
        <v>Maplink2</v>
      </c>
      <c r="AW312" s="14" t="str">
        <f>HYPERLINK("http://www.bing.com/maps/?lvl=14&amp;sty=h&amp;cp=32.3959~44.2345&amp;sp=point.32.3959_44.2345_Al-Mahawil-Hay Al-Mashtal","Maplink3")</f>
        <v>Maplink3</v>
      </c>
    </row>
    <row r="313" spans="1:49" ht="15" customHeight="1" x14ac:dyDescent="0.25">
      <c r="A313" s="21">
        <v>7232</v>
      </c>
      <c r="B313" s="22" t="s">
        <v>10</v>
      </c>
      <c r="C313" s="22" t="s">
        <v>799</v>
      </c>
      <c r="D313" s="22" t="s">
        <v>843</v>
      </c>
      <c r="E313" s="22" t="s">
        <v>844</v>
      </c>
      <c r="F313" s="22">
        <v>32.645000000000003</v>
      </c>
      <c r="G313" s="22">
        <v>44.4</v>
      </c>
      <c r="H313" s="21" t="s">
        <v>802</v>
      </c>
      <c r="I313" s="21" t="s">
        <v>803</v>
      </c>
      <c r="J313" s="21" t="s">
        <v>845</v>
      </c>
      <c r="K313" s="24">
        <v>3</v>
      </c>
      <c r="L313" s="24">
        <v>18</v>
      </c>
      <c r="M313" s="23">
        <v>3</v>
      </c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3</v>
      </c>
      <c r="AL313" s="23"/>
      <c r="AM313" s="23"/>
      <c r="AN313" s="23"/>
      <c r="AO313" s="23"/>
      <c r="AP313" s="23"/>
      <c r="AQ313" s="23"/>
      <c r="AR313" s="23">
        <v>3</v>
      </c>
      <c r="AS313" s="23"/>
      <c r="AT313" s="23"/>
      <c r="AU313" s="14" t="str">
        <f>HYPERLINK("http://www.openstreetmap.org/?mlat=32.645&amp;mlon=44.4&amp;zoom=12#map=12/32.645/44.4","Maplink1")</f>
        <v>Maplink1</v>
      </c>
      <c r="AV313" s="14" t="str">
        <f>HYPERLINK("https://www.google.iq/maps/search/+32.645,44.4/@32.645,44.4,14z?hl=en","Maplink2")</f>
        <v>Maplink2</v>
      </c>
      <c r="AW313" s="14" t="str">
        <f>HYPERLINK("http://www.bing.com/maps/?lvl=14&amp;sty=h&amp;cp=32.645~44.4&amp;sp=point.32.645_44.4_Al-Shakiria","Maplink3")</f>
        <v>Maplink3</v>
      </c>
    </row>
    <row r="314" spans="1:49" ht="15" customHeight="1" x14ac:dyDescent="0.25">
      <c r="A314" s="21">
        <v>24438</v>
      </c>
      <c r="B314" s="22" t="s">
        <v>10</v>
      </c>
      <c r="C314" s="22" t="s">
        <v>799</v>
      </c>
      <c r="D314" s="22" t="s">
        <v>7556</v>
      </c>
      <c r="E314" s="22" t="s">
        <v>7557</v>
      </c>
      <c r="F314" s="22">
        <v>32.551113000000001</v>
      </c>
      <c r="G314" s="22">
        <v>44.519841999999997</v>
      </c>
      <c r="H314" s="21" t="s">
        <v>802</v>
      </c>
      <c r="I314" s="21" t="s">
        <v>803</v>
      </c>
      <c r="J314" s="21"/>
      <c r="K314" s="24">
        <v>8</v>
      </c>
      <c r="L314" s="24">
        <v>48</v>
      </c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>
        <v>8</v>
      </c>
      <c r="Z314" s="23"/>
      <c r="AA314" s="23"/>
      <c r="AB314" s="23"/>
      <c r="AC314" s="23"/>
      <c r="AD314" s="23"/>
      <c r="AE314" s="23"/>
      <c r="AF314" s="23">
        <v>8</v>
      </c>
      <c r="AG314" s="23"/>
      <c r="AH314" s="23"/>
      <c r="AI314" s="23"/>
      <c r="AJ314" s="23"/>
      <c r="AK314" s="23"/>
      <c r="AL314" s="23"/>
      <c r="AM314" s="23"/>
      <c r="AN314" s="23"/>
      <c r="AO314" s="23"/>
      <c r="AP314" s="23">
        <v>5</v>
      </c>
      <c r="AQ314" s="23">
        <v>3</v>
      </c>
      <c r="AR314" s="23"/>
      <c r="AS314" s="23"/>
      <c r="AT314" s="23"/>
      <c r="AU314" s="14" t="str">
        <f>HYPERLINK("http://www.openstreetmap.org/?mlat=32.5511&amp;mlon=44.5198&amp;zoom=12#map=12/32.5511/44.5198","Maplink1")</f>
        <v>Maplink1</v>
      </c>
      <c r="AV314" s="14" t="str">
        <f>HYPERLINK("https://www.google.iq/maps/search/+32.5511,44.5198/@32.5511,44.5198,14z?hl=en","Maplink2")</f>
        <v>Maplink2</v>
      </c>
      <c r="AW314" s="14" t="str">
        <f>HYPERLINK("http://www.bing.com/maps/?lvl=14&amp;sty=h&amp;cp=32.5511~44.5198&amp;sp=point.32.5511_44.5198_Alammar village-Al Neel","Maplink3")</f>
        <v>Maplink3</v>
      </c>
    </row>
    <row r="315" spans="1:49" ht="15" customHeight="1" x14ac:dyDescent="0.25">
      <c r="A315" s="21">
        <v>24468</v>
      </c>
      <c r="B315" s="22" t="s">
        <v>10</v>
      </c>
      <c r="C315" s="22" t="s">
        <v>799</v>
      </c>
      <c r="D315" s="22" t="s">
        <v>846</v>
      </c>
      <c r="E315" s="22" t="s">
        <v>847</v>
      </c>
      <c r="F315" s="22">
        <v>32.653851000000003</v>
      </c>
      <c r="G315" s="22">
        <v>44.410715000000003</v>
      </c>
      <c r="H315" s="21" t="s">
        <v>802</v>
      </c>
      <c r="I315" s="21" t="s">
        <v>803</v>
      </c>
      <c r="J315" s="21"/>
      <c r="K315" s="24">
        <v>6</v>
      </c>
      <c r="L315" s="24">
        <v>36</v>
      </c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>
        <v>6</v>
      </c>
      <c r="Z315" s="23"/>
      <c r="AA315" s="23"/>
      <c r="AB315" s="23"/>
      <c r="AC315" s="23"/>
      <c r="AD315" s="23"/>
      <c r="AE315" s="23"/>
      <c r="AF315" s="23">
        <v>1</v>
      </c>
      <c r="AG315" s="23"/>
      <c r="AH315" s="23"/>
      <c r="AI315" s="23"/>
      <c r="AJ315" s="23"/>
      <c r="AK315" s="23">
        <v>5</v>
      </c>
      <c r="AL315" s="23"/>
      <c r="AM315" s="23"/>
      <c r="AN315" s="23"/>
      <c r="AO315" s="23"/>
      <c r="AP315" s="23">
        <v>6</v>
      </c>
      <c r="AQ315" s="23"/>
      <c r="AR315" s="23"/>
      <c r="AS315" s="23"/>
      <c r="AT315" s="23"/>
      <c r="AU315" s="14" t="str">
        <f>HYPERLINK("http://www.openstreetmap.org/?mlat=32.6539&amp;mlon=44.4107&amp;zoom=12#map=12/32.6539/44.4107","Maplink1")</f>
        <v>Maplink1</v>
      </c>
      <c r="AV315" s="14" t="str">
        <f>HYPERLINK("https://www.google.iq/maps/search/+32.6539,44.4107/@32.6539,44.4107,14z?hl=en","Maplink2")</f>
        <v>Maplink2</v>
      </c>
      <c r="AW315" s="14" t="str">
        <f>HYPERLINK("http://www.bing.com/maps/?lvl=14&amp;sty=h&amp;cp=32.6539~44.4107&amp;sp=point.32.6539_44.4107_Alaweara","Maplink3")</f>
        <v>Maplink3</v>
      </c>
    </row>
    <row r="316" spans="1:49" ht="15" customHeight="1" x14ac:dyDescent="0.25">
      <c r="A316" s="21">
        <v>24467</v>
      </c>
      <c r="B316" s="22" t="s">
        <v>10</v>
      </c>
      <c r="C316" s="22" t="s">
        <v>799</v>
      </c>
      <c r="D316" s="22" t="s">
        <v>848</v>
      </c>
      <c r="E316" s="22" t="s">
        <v>849</v>
      </c>
      <c r="F316" s="22">
        <v>32.706395999999998</v>
      </c>
      <c r="G316" s="22">
        <v>44.417040999999998</v>
      </c>
      <c r="H316" s="21" t="s">
        <v>802</v>
      </c>
      <c r="I316" s="21" t="s">
        <v>803</v>
      </c>
      <c r="J316" s="21"/>
      <c r="K316" s="24">
        <v>6</v>
      </c>
      <c r="L316" s="24">
        <v>36</v>
      </c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6</v>
      </c>
      <c r="Z316" s="23"/>
      <c r="AA316" s="23"/>
      <c r="AB316" s="23"/>
      <c r="AC316" s="23"/>
      <c r="AD316" s="23"/>
      <c r="AE316" s="23"/>
      <c r="AF316" s="23">
        <v>6</v>
      </c>
      <c r="AG316" s="23"/>
      <c r="AH316" s="23"/>
      <c r="AI316" s="23"/>
      <c r="AJ316" s="23"/>
      <c r="AK316" s="23"/>
      <c r="AL316" s="23"/>
      <c r="AM316" s="23"/>
      <c r="AN316" s="23"/>
      <c r="AO316" s="23"/>
      <c r="AP316" s="23">
        <v>5</v>
      </c>
      <c r="AQ316" s="23">
        <v>1</v>
      </c>
      <c r="AR316" s="23"/>
      <c r="AS316" s="23"/>
      <c r="AT316" s="23"/>
      <c r="AU316" s="14" t="str">
        <f>HYPERLINK("http://www.openstreetmap.org/?mlat=32.7064&amp;mlon=44.417&amp;zoom=12#map=12/32.7064/44.417","Maplink1")</f>
        <v>Maplink1</v>
      </c>
      <c r="AV316" s="14" t="str">
        <f>HYPERLINK("https://www.google.iq/maps/search/+32.7064,44.417/@32.7064,44.417,14z?hl=en","Maplink2")</f>
        <v>Maplink2</v>
      </c>
      <c r="AW316" s="14" t="str">
        <f>HYPERLINK("http://www.bing.com/maps/?lvl=14&amp;sty=h&amp;cp=32.7064~44.417&amp;sp=point.32.7064_44.417_Alazawea","Maplink3")</f>
        <v>Maplink3</v>
      </c>
    </row>
    <row r="317" spans="1:49" ht="15" customHeight="1" x14ac:dyDescent="0.25">
      <c r="A317" s="21">
        <v>24465</v>
      </c>
      <c r="B317" s="22" t="s">
        <v>10</v>
      </c>
      <c r="C317" s="22" t="s">
        <v>799</v>
      </c>
      <c r="D317" s="22" t="s">
        <v>850</v>
      </c>
      <c r="E317" s="22" t="s">
        <v>7558</v>
      </c>
      <c r="F317" s="22">
        <v>32.692048</v>
      </c>
      <c r="G317" s="22">
        <v>44.411732000000001</v>
      </c>
      <c r="H317" s="21" t="s">
        <v>802</v>
      </c>
      <c r="I317" s="21" t="s">
        <v>803</v>
      </c>
      <c r="J317" s="21"/>
      <c r="K317" s="24">
        <v>14</v>
      </c>
      <c r="L317" s="24">
        <v>84</v>
      </c>
      <c r="M317" s="23"/>
      <c r="N317" s="23">
        <v>2</v>
      </c>
      <c r="O317" s="23">
        <v>8</v>
      </c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4</v>
      </c>
      <c r="Z317" s="23"/>
      <c r="AA317" s="23"/>
      <c r="AB317" s="23"/>
      <c r="AC317" s="23"/>
      <c r="AD317" s="23"/>
      <c r="AE317" s="23"/>
      <c r="AF317" s="23">
        <v>14</v>
      </c>
      <c r="AG317" s="23"/>
      <c r="AH317" s="23"/>
      <c r="AI317" s="23"/>
      <c r="AJ317" s="23"/>
      <c r="AK317" s="23"/>
      <c r="AL317" s="23"/>
      <c r="AM317" s="23"/>
      <c r="AN317" s="23"/>
      <c r="AO317" s="23"/>
      <c r="AP317" s="23">
        <v>10</v>
      </c>
      <c r="AQ317" s="23">
        <v>4</v>
      </c>
      <c r="AR317" s="23"/>
      <c r="AS317" s="23"/>
      <c r="AT317" s="23"/>
      <c r="AU317" s="14" t="str">
        <f>HYPERLINK("http://www.openstreetmap.org/?mlat=32.692&amp;mlon=44.4117&amp;zoom=12#map=12/32.692/44.4117","Maplink1")</f>
        <v>Maplink1</v>
      </c>
      <c r="AV317" s="14" t="str">
        <f>HYPERLINK("https://www.google.iq/maps/search/+32.692,44.4117/@32.692,44.4117,14z?hl=en","Maplink2")</f>
        <v>Maplink2</v>
      </c>
      <c r="AW317" s="14" t="str">
        <f>HYPERLINK("http://www.bing.com/maps/?lvl=14&amp;sty=h&amp;cp=32.692~44.4117&amp;sp=point.32.692_44.4117_Albada- hay Alaskari","Maplink3")</f>
        <v>Maplink3</v>
      </c>
    </row>
    <row r="318" spans="1:49" ht="15" customHeight="1" x14ac:dyDescent="0.25">
      <c r="A318" s="21">
        <v>7064</v>
      </c>
      <c r="B318" s="22" t="s">
        <v>10</v>
      </c>
      <c r="C318" s="22" t="s">
        <v>799</v>
      </c>
      <c r="D318" s="22" t="s">
        <v>8322</v>
      </c>
      <c r="E318" s="22" t="s">
        <v>8323</v>
      </c>
      <c r="F318" s="22">
        <v>32.506667</v>
      </c>
      <c r="G318" s="22">
        <v>44.524444000000003</v>
      </c>
      <c r="H318" s="21" t="s">
        <v>802</v>
      </c>
      <c r="I318" s="21" t="s">
        <v>803</v>
      </c>
      <c r="J318" s="21" t="s">
        <v>804</v>
      </c>
      <c r="K318" s="24">
        <v>15</v>
      </c>
      <c r="L318" s="24">
        <v>90</v>
      </c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>
        <v>15</v>
      </c>
      <c r="Z318" s="23"/>
      <c r="AA318" s="23"/>
      <c r="AB318" s="23"/>
      <c r="AC318" s="23"/>
      <c r="AD318" s="23"/>
      <c r="AE318" s="23"/>
      <c r="AF318" s="23">
        <v>15</v>
      </c>
      <c r="AG318" s="23"/>
      <c r="AH318" s="23"/>
      <c r="AI318" s="23"/>
      <c r="AJ318" s="23"/>
      <c r="AK318" s="23"/>
      <c r="AL318" s="23"/>
      <c r="AM318" s="23"/>
      <c r="AN318" s="23"/>
      <c r="AO318" s="23"/>
      <c r="AP318" s="23">
        <v>15</v>
      </c>
      <c r="AQ318" s="23"/>
      <c r="AR318" s="23"/>
      <c r="AS318" s="23"/>
      <c r="AT318" s="23"/>
      <c r="AU318" s="14" t="str">
        <f>HYPERLINK("http://www.openstreetmap.org/?mlat=32.5067&amp;mlon=44.5244&amp;zoom=12#map=12/32.5067/44.5244","Maplink1")</f>
        <v>Maplink1</v>
      </c>
      <c r="AV318" s="14" t="str">
        <f>HYPERLINK("https://www.google.iq/maps/search/+32.5067,44.5244/@32.5067,44.5244,14z?hl=en","Maplink2")</f>
        <v>Maplink2</v>
      </c>
      <c r="AW318" s="14" t="str">
        <f>HYPERLINK("http://www.bing.com/maps/?lvl=14&amp;sty=h&amp;cp=32.5067~44.5244&amp;sp=point.32.5067_44.5244_Abo nafaa","Maplink3")</f>
        <v>Maplink3</v>
      </c>
    </row>
    <row r="319" spans="1:49" ht="15" customHeight="1" x14ac:dyDescent="0.25">
      <c r="A319" s="21">
        <v>25713</v>
      </c>
      <c r="B319" s="22" t="s">
        <v>10</v>
      </c>
      <c r="C319" s="22" t="s">
        <v>799</v>
      </c>
      <c r="D319" s="22" t="s">
        <v>7516</v>
      </c>
      <c r="E319" s="22" t="s">
        <v>851</v>
      </c>
      <c r="F319" s="22">
        <v>32.660843</v>
      </c>
      <c r="G319" s="22">
        <v>44.328215</v>
      </c>
      <c r="H319" s="21" t="s">
        <v>802</v>
      </c>
      <c r="I319" s="21" t="s">
        <v>803</v>
      </c>
      <c r="J319" s="21"/>
      <c r="K319" s="24">
        <v>2</v>
      </c>
      <c r="L319" s="24">
        <v>12</v>
      </c>
      <c r="M319" s="23">
        <v>2</v>
      </c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>
        <v>2</v>
      </c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>
        <v>2</v>
      </c>
      <c r="AT319" s="23"/>
      <c r="AU319" s="14" t="str">
        <f>HYPERLINK("http://www.openstreetmap.org/?mlat=32.6608&amp;mlon=44.3282&amp;zoom=12#map=12/32.6608/44.3282","Maplink1")</f>
        <v>Maplink1</v>
      </c>
      <c r="AV319" s="14" t="str">
        <f>HYPERLINK("https://www.google.iq/maps/search/+32.6608,44.3282/@32.6608,44.3282,14z?hl=en","Maplink2")</f>
        <v>Maplink2</v>
      </c>
      <c r="AW319" s="14" t="str">
        <f>HYPERLINK("http://www.bing.com/maps/?lvl=14&amp;sty=h&amp;cp=32.6608~44.3282&amp;sp=point.32.6608_44.3282_Albo -Mustafa","Maplink3")</f>
        <v>Maplink3</v>
      </c>
    </row>
    <row r="320" spans="1:49" ht="15" customHeight="1" x14ac:dyDescent="0.25">
      <c r="A320" s="21">
        <v>24690</v>
      </c>
      <c r="B320" s="22" t="s">
        <v>10</v>
      </c>
      <c r="C320" s="22" t="s">
        <v>799</v>
      </c>
      <c r="D320" s="22" t="s">
        <v>852</v>
      </c>
      <c r="E320" s="22" t="s">
        <v>853</v>
      </c>
      <c r="F320" s="22">
        <v>32.672488999999999</v>
      </c>
      <c r="G320" s="22">
        <v>44.501421000000001</v>
      </c>
      <c r="H320" s="21" t="s">
        <v>802</v>
      </c>
      <c r="I320" s="21" t="s">
        <v>803</v>
      </c>
      <c r="J320" s="21"/>
      <c r="K320" s="24">
        <v>3</v>
      </c>
      <c r="L320" s="24">
        <v>18</v>
      </c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>
        <v>3</v>
      </c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>
        <v>3</v>
      </c>
      <c r="AL320" s="23"/>
      <c r="AM320" s="23"/>
      <c r="AN320" s="23"/>
      <c r="AO320" s="23"/>
      <c r="AP320" s="23"/>
      <c r="AQ320" s="23">
        <v>3</v>
      </c>
      <c r="AR320" s="23"/>
      <c r="AS320" s="23"/>
      <c r="AT320" s="23"/>
      <c r="AU320" s="14" t="str">
        <f>HYPERLINK("http://www.openstreetmap.org/?mlat=32.6725&amp;mlon=44.5014&amp;zoom=12#map=12/32.6725/44.5014","Maplink1")</f>
        <v>Maplink1</v>
      </c>
      <c r="AV320" s="14" t="str">
        <f>HYPERLINK("https://www.google.iq/maps/search/+32.6725,44.5014/@32.6725,44.5014,14z?hl=en","Maplink2")</f>
        <v>Maplink2</v>
      </c>
      <c r="AW320" s="14" t="str">
        <f>HYPERLINK("http://www.bing.com/maps/?lvl=14&amp;sty=h&amp;cp=32.6725~44.5014&amp;sp=point.32.6725_44.5014_Algwam village","Maplink3")</f>
        <v>Maplink3</v>
      </c>
    </row>
    <row r="321" spans="1:49" ht="15" customHeight="1" x14ac:dyDescent="0.25">
      <c r="A321" s="21">
        <v>24432</v>
      </c>
      <c r="B321" s="22" t="s">
        <v>10</v>
      </c>
      <c r="C321" s="22" t="s">
        <v>799</v>
      </c>
      <c r="D321" s="22" t="s">
        <v>7559</v>
      </c>
      <c r="E321" s="22" t="s">
        <v>7560</v>
      </c>
      <c r="F321" s="22">
        <v>32.545577999999999</v>
      </c>
      <c r="G321" s="22">
        <v>44.567323000000002</v>
      </c>
      <c r="H321" s="21" t="s">
        <v>802</v>
      </c>
      <c r="I321" s="21" t="s">
        <v>803</v>
      </c>
      <c r="J321" s="21"/>
      <c r="K321" s="24">
        <v>7</v>
      </c>
      <c r="L321" s="24">
        <v>42</v>
      </c>
      <c r="M321" s="23">
        <v>2</v>
      </c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>
        <v>5</v>
      </c>
      <c r="Z321" s="23"/>
      <c r="AA321" s="23"/>
      <c r="AB321" s="23"/>
      <c r="AC321" s="23"/>
      <c r="AD321" s="23"/>
      <c r="AE321" s="23"/>
      <c r="AF321" s="23">
        <v>7</v>
      </c>
      <c r="AG321" s="23"/>
      <c r="AH321" s="23"/>
      <c r="AI321" s="23"/>
      <c r="AJ321" s="23"/>
      <c r="AK321" s="23"/>
      <c r="AL321" s="23"/>
      <c r="AM321" s="23"/>
      <c r="AN321" s="23"/>
      <c r="AO321" s="23"/>
      <c r="AP321" s="23">
        <v>5</v>
      </c>
      <c r="AQ321" s="23"/>
      <c r="AR321" s="23"/>
      <c r="AS321" s="23">
        <v>2</v>
      </c>
      <c r="AT321" s="23"/>
      <c r="AU321" s="14" t="str">
        <f>HYPERLINK("http://www.openstreetmap.org/?mlat=32.5456&amp;mlon=44.5673&amp;zoom=12#map=12/32.5456/44.5673","Maplink1")</f>
        <v>Maplink1</v>
      </c>
      <c r="AV321" s="14" t="str">
        <f>HYPERLINK("https://www.google.iq/maps/search/+32.5456,44.5673/@32.5456,44.5673,14z?hl=en","Maplink2")</f>
        <v>Maplink2</v>
      </c>
      <c r="AW321" s="14" t="str">
        <f>HYPERLINK("http://www.bing.com/maps/?lvl=14&amp;sty=h&amp;cp=32.5456~44.5673&amp;sp=point.32.5456_44.5673_AlRashead village-Al Neel","Maplink3")</f>
        <v>Maplink3</v>
      </c>
    </row>
    <row r="322" spans="1:49" ht="15" customHeight="1" x14ac:dyDescent="0.25">
      <c r="A322" s="21">
        <v>24435</v>
      </c>
      <c r="B322" s="22" t="s">
        <v>10</v>
      </c>
      <c r="C322" s="22" t="s">
        <v>799</v>
      </c>
      <c r="D322" s="22" t="s">
        <v>7561</v>
      </c>
      <c r="E322" s="22" t="s">
        <v>7562</v>
      </c>
      <c r="F322" s="22">
        <v>32.548543000000002</v>
      </c>
      <c r="G322" s="22">
        <v>44.510136000000003</v>
      </c>
      <c r="H322" s="21" t="s">
        <v>802</v>
      </c>
      <c r="I322" s="21" t="s">
        <v>803</v>
      </c>
      <c r="J322" s="21"/>
      <c r="K322" s="24">
        <v>10</v>
      </c>
      <c r="L322" s="24">
        <v>60</v>
      </c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>
        <v>10</v>
      </c>
      <c r="Z322" s="23"/>
      <c r="AA322" s="23"/>
      <c r="AB322" s="23"/>
      <c r="AC322" s="23"/>
      <c r="AD322" s="23"/>
      <c r="AE322" s="23"/>
      <c r="AF322" s="23">
        <v>10</v>
      </c>
      <c r="AG322" s="23"/>
      <c r="AH322" s="23"/>
      <c r="AI322" s="23"/>
      <c r="AJ322" s="23"/>
      <c r="AK322" s="23"/>
      <c r="AL322" s="23"/>
      <c r="AM322" s="23"/>
      <c r="AN322" s="23"/>
      <c r="AO322" s="23"/>
      <c r="AP322" s="23">
        <v>10</v>
      </c>
      <c r="AQ322" s="23"/>
      <c r="AR322" s="23"/>
      <c r="AS322" s="23"/>
      <c r="AT322" s="23"/>
      <c r="AU322" s="14" t="str">
        <f>HYPERLINK("http://www.openstreetmap.org/?mlat=32.5485&amp;mlon=44.5101&amp;zoom=12#map=12/32.5485/44.5101","Maplink1")</f>
        <v>Maplink1</v>
      </c>
      <c r="AV322" s="14" t="str">
        <f>HYPERLINK("https://www.google.iq/maps/search/+32.5485,44.5101/@32.5485,44.5101,14z?hl=en","Maplink2")</f>
        <v>Maplink2</v>
      </c>
      <c r="AW322" s="14" t="str">
        <f>HYPERLINK("http://www.bing.com/maps/?lvl=14&amp;sty=h&amp;cp=32.5485~44.5101&amp;sp=point.32.5485_44.5101_Alshalab village-Al Neel","Maplink3")</f>
        <v>Maplink3</v>
      </c>
    </row>
    <row r="323" spans="1:49" ht="15" customHeight="1" x14ac:dyDescent="0.25">
      <c r="A323" s="21">
        <v>24469</v>
      </c>
      <c r="B323" s="22" t="s">
        <v>10</v>
      </c>
      <c r="C323" s="22" t="s">
        <v>799</v>
      </c>
      <c r="D323" s="22" t="s">
        <v>854</v>
      </c>
      <c r="E323" s="22" t="s">
        <v>855</v>
      </c>
      <c r="F323" s="22">
        <v>32.570841000000001</v>
      </c>
      <c r="G323" s="22">
        <v>44.412258000000001</v>
      </c>
      <c r="H323" s="21" t="s">
        <v>802</v>
      </c>
      <c r="I323" s="21" t="s">
        <v>803</v>
      </c>
      <c r="J323" s="21"/>
      <c r="K323" s="24">
        <v>15</v>
      </c>
      <c r="L323" s="24">
        <v>90</v>
      </c>
      <c r="M323" s="23">
        <v>4</v>
      </c>
      <c r="N323" s="23"/>
      <c r="O323" s="23">
        <v>1</v>
      </c>
      <c r="P323" s="23"/>
      <c r="Q323" s="23"/>
      <c r="R323" s="23"/>
      <c r="S323" s="23"/>
      <c r="T323" s="23"/>
      <c r="U323" s="23"/>
      <c r="V323" s="23"/>
      <c r="W323" s="23"/>
      <c r="X323" s="23"/>
      <c r="Y323" s="23">
        <v>7</v>
      </c>
      <c r="Z323" s="23"/>
      <c r="AA323" s="23">
        <v>3</v>
      </c>
      <c r="AB323" s="23"/>
      <c r="AC323" s="23"/>
      <c r="AD323" s="23"/>
      <c r="AE323" s="23"/>
      <c r="AF323" s="23"/>
      <c r="AG323" s="23"/>
      <c r="AH323" s="23"/>
      <c r="AI323" s="23"/>
      <c r="AJ323" s="23"/>
      <c r="AK323" s="23">
        <v>15</v>
      </c>
      <c r="AL323" s="23"/>
      <c r="AM323" s="23"/>
      <c r="AN323" s="23"/>
      <c r="AO323" s="23">
        <v>2</v>
      </c>
      <c r="AP323" s="23">
        <v>7</v>
      </c>
      <c r="AQ323" s="23">
        <v>4</v>
      </c>
      <c r="AR323" s="23">
        <v>2</v>
      </c>
      <c r="AS323" s="23"/>
      <c r="AT323" s="23"/>
      <c r="AU323" s="14" t="str">
        <f>HYPERLINK("http://www.openstreetmap.org/?mlat=32.5708&amp;mlon=44.4123&amp;zoom=12#map=12/32.5708/44.4123","Maplink1")</f>
        <v>Maplink1</v>
      </c>
      <c r="AV323" s="14" t="str">
        <f>HYPERLINK("https://www.google.iq/maps/search/+32.5708,44.4123/@32.5708,44.4123,14z?hl=en","Maplink2")</f>
        <v>Maplink2</v>
      </c>
      <c r="AW323" s="14" t="str">
        <f>HYPERLINK("http://www.bing.com/maps/?lvl=14&amp;sty=h&amp;cp=32.5708~44.4123&amp;sp=point.32.5708_44.4123_Barnon-Al Qasabah Al kadima","Maplink3")</f>
        <v>Maplink3</v>
      </c>
    </row>
    <row r="324" spans="1:49" ht="15" customHeight="1" x14ac:dyDescent="0.25">
      <c r="A324" s="21">
        <v>24519</v>
      </c>
      <c r="B324" s="22" t="s">
        <v>10</v>
      </c>
      <c r="C324" s="22" t="s">
        <v>799</v>
      </c>
      <c r="D324" s="22" t="s">
        <v>856</v>
      </c>
      <c r="E324" s="22" t="s">
        <v>857</v>
      </c>
      <c r="F324" s="22">
        <v>32.570920999999998</v>
      </c>
      <c r="G324" s="22">
        <v>44.412439999999997</v>
      </c>
      <c r="H324" s="21" t="s">
        <v>802</v>
      </c>
      <c r="I324" s="21" t="s">
        <v>803</v>
      </c>
      <c r="J324" s="21"/>
      <c r="K324" s="24">
        <v>6</v>
      </c>
      <c r="L324" s="24">
        <v>36</v>
      </c>
      <c r="M324" s="23">
        <v>6</v>
      </c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6</v>
      </c>
      <c r="AL324" s="23"/>
      <c r="AM324" s="23"/>
      <c r="AN324" s="23"/>
      <c r="AO324" s="23"/>
      <c r="AP324" s="23"/>
      <c r="AQ324" s="23"/>
      <c r="AR324" s="23">
        <v>6</v>
      </c>
      <c r="AS324" s="23"/>
      <c r="AT324" s="23"/>
      <c r="AU324" s="14" t="str">
        <f>HYPERLINK("http://www.openstreetmap.org/?mlat=32.5709&amp;mlon=44.4124&amp;zoom=12#map=12/32.5709/44.4124","Maplink1")</f>
        <v>Maplink1</v>
      </c>
      <c r="AV324" s="14" t="str">
        <f>HYPERLINK("https://www.google.iq/maps/search/+32.5709,44.4124/@32.5709,44.4124,14z?hl=en","Maplink2")</f>
        <v>Maplink2</v>
      </c>
      <c r="AW324" s="14" t="str">
        <f>HYPERLINK("http://www.bing.com/maps/?lvl=14&amp;sty=h&amp;cp=32.5709~44.4124&amp;sp=point.32.5709_44.4124_Barnon-hay Alaskry","Maplink3")</f>
        <v>Maplink3</v>
      </c>
    </row>
    <row r="325" spans="1:49" ht="15" customHeight="1" x14ac:dyDescent="0.25">
      <c r="A325" s="21">
        <v>23964</v>
      </c>
      <c r="B325" s="22" t="s">
        <v>10</v>
      </c>
      <c r="C325" s="22" t="s">
        <v>799</v>
      </c>
      <c r="D325" s="22" t="s">
        <v>858</v>
      </c>
      <c r="E325" s="22" t="s">
        <v>859</v>
      </c>
      <c r="F325" s="22">
        <v>32.630462999999999</v>
      </c>
      <c r="G325" s="22">
        <v>44.442011999999998</v>
      </c>
      <c r="H325" s="21" t="s">
        <v>802</v>
      </c>
      <c r="I325" s="21" t="s">
        <v>803</v>
      </c>
      <c r="J325" s="21" t="s">
        <v>860</v>
      </c>
      <c r="K325" s="24">
        <v>56</v>
      </c>
      <c r="L325" s="24">
        <v>336</v>
      </c>
      <c r="M325" s="23">
        <v>56</v>
      </c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>
        <v>24</v>
      </c>
      <c r="AG325" s="23"/>
      <c r="AH325" s="23"/>
      <c r="AI325" s="23"/>
      <c r="AJ325" s="23">
        <v>4</v>
      </c>
      <c r="AK325" s="23">
        <v>28</v>
      </c>
      <c r="AL325" s="23"/>
      <c r="AM325" s="23"/>
      <c r="AN325" s="23"/>
      <c r="AO325" s="23">
        <v>15</v>
      </c>
      <c r="AP325" s="23">
        <v>6</v>
      </c>
      <c r="AQ325" s="23"/>
      <c r="AR325" s="23">
        <v>29</v>
      </c>
      <c r="AS325" s="23">
        <v>6</v>
      </c>
      <c r="AT325" s="23"/>
      <c r="AU325" s="14" t="str">
        <f>HYPERLINK("http://www.openstreetmap.org/?mlat=32.6305&amp;mlon=44.442&amp;zoom=12#map=12/32.6305/44.442","Maplink1")</f>
        <v>Maplink1</v>
      </c>
      <c r="AV325" s="14" t="str">
        <f>HYPERLINK("https://www.google.iq/maps/search/+32.6305,44.442/@32.6305,44.442,14z?hl=en","Maplink2")</f>
        <v>Maplink2</v>
      </c>
      <c r="AW325" s="14" t="str">
        <f>HYPERLINK("http://www.bing.com/maps/?lvl=14&amp;sty=h&amp;cp=32.6305~44.442&amp;sp=point.32.6305_44.442_Btt Merry","Maplink3")</f>
        <v>Maplink3</v>
      </c>
    </row>
    <row r="326" spans="1:49" ht="15" customHeight="1" x14ac:dyDescent="0.25">
      <c r="A326" s="21">
        <v>23942</v>
      </c>
      <c r="B326" s="22" t="s">
        <v>10</v>
      </c>
      <c r="C326" s="22" t="s">
        <v>799</v>
      </c>
      <c r="D326" s="22" t="s">
        <v>861</v>
      </c>
      <c r="E326" s="22" t="s">
        <v>862</v>
      </c>
      <c r="F326" s="22">
        <v>32.697604980000001</v>
      </c>
      <c r="G326" s="22">
        <v>44.677599999999998</v>
      </c>
      <c r="H326" s="21" t="s">
        <v>802</v>
      </c>
      <c r="I326" s="21" t="s">
        <v>803</v>
      </c>
      <c r="J326" s="21" t="s">
        <v>863</v>
      </c>
      <c r="K326" s="24">
        <v>22</v>
      </c>
      <c r="L326" s="24">
        <v>132</v>
      </c>
      <c r="M326" s="23">
        <v>13</v>
      </c>
      <c r="N326" s="23"/>
      <c r="O326" s="23">
        <v>9</v>
      </c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>
        <v>22</v>
      </c>
      <c r="AG326" s="23"/>
      <c r="AH326" s="23"/>
      <c r="AI326" s="23"/>
      <c r="AJ326" s="23"/>
      <c r="AK326" s="23"/>
      <c r="AL326" s="23"/>
      <c r="AM326" s="23"/>
      <c r="AN326" s="23"/>
      <c r="AO326" s="23">
        <v>9</v>
      </c>
      <c r="AP326" s="23">
        <v>6</v>
      </c>
      <c r="AQ326" s="23"/>
      <c r="AR326" s="23"/>
      <c r="AS326" s="23">
        <v>7</v>
      </c>
      <c r="AT326" s="23"/>
      <c r="AU326" s="14" t="str">
        <f>HYPERLINK("http://www.openstreetmap.org/?mlat=32.6976&amp;mlon=44.6776&amp;zoom=12#map=12/32.6976/44.6776","Maplink1")</f>
        <v>Maplink1</v>
      </c>
      <c r="AV326" s="14" t="str">
        <f>HYPERLINK("https://www.google.iq/maps/search/+32.6976,44.6776/@32.6976,44.6776,14z?hl=en","Maplink2")</f>
        <v>Maplink2</v>
      </c>
      <c r="AW326" s="14" t="str">
        <f>HYPERLINK("http://www.bing.com/maps/?lvl=14&amp;sty=h&amp;cp=32.6976~44.6776&amp;sp=point.32.6976_44.6776_Btt Wahby","Maplink3")</f>
        <v>Maplink3</v>
      </c>
    </row>
    <row r="327" spans="1:49" ht="15" customHeight="1" x14ac:dyDescent="0.25">
      <c r="A327" s="21">
        <v>7231</v>
      </c>
      <c r="B327" s="22" t="s">
        <v>10</v>
      </c>
      <c r="C327" s="22" t="s">
        <v>799</v>
      </c>
      <c r="D327" s="22" t="s">
        <v>864</v>
      </c>
      <c r="E327" s="22" t="s">
        <v>865</v>
      </c>
      <c r="F327" s="22">
        <v>32.587000000000003</v>
      </c>
      <c r="G327" s="22">
        <v>44.427</v>
      </c>
      <c r="H327" s="21" t="s">
        <v>802</v>
      </c>
      <c r="I327" s="21" t="s">
        <v>803</v>
      </c>
      <c r="J327" s="21" t="s">
        <v>866</v>
      </c>
      <c r="K327" s="24">
        <v>6</v>
      </c>
      <c r="L327" s="24">
        <v>36</v>
      </c>
      <c r="M327" s="23">
        <v>1</v>
      </c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>
        <v>5</v>
      </c>
      <c r="Z327" s="23"/>
      <c r="AA327" s="23"/>
      <c r="AB327" s="23"/>
      <c r="AC327" s="23"/>
      <c r="AD327" s="23"/>
      <c r="AE327" s="23"/>
      <c r="AF327" s="23">
        <v>6</v>
      </c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>
        <v>5</v>
      </c>
      <c r="AR327" s="23">
        <v>1</v>
      </c>
      <c r="AS327" s="23"/>
      <c r="AT327" s="23"/>
      <c r="AU327" s="14" t="str">
        <f>HYPERLINK("http://www.openstreetmap.org/?mlat=32.587&amp;mlon=44.427&amp;zoom=12#map=12/32.587/44.427","Maplink1")</f>
        <v>Maplink1</v>
      </c>
      <c r="AV327" s="14" t="str">
        <f>HYPERLINK("https://www.google.iq/maps/search/+32.587,44.427/@32.587,44.427,14z?hl=en","Maplink2")</f>
        <v>Maplink2</v>
      </c>
      <c r="AW327" s="14" t="str">
        <f>HYPERLINK("http://www.bing.com/maps/?lvl=14&amp;sty=h&amp;cp=32.587~44.427&amp;sp=point.32.587_44.427_Findhiya","Maplink3")</f>
        <v>Maplink3</v>
      </c>
    </row>
    <row r="328" spans="1:49" ht="15" customHeight="1" x14ac:dyDescent="0.25">
      <c r="A328" s="21">
        <v>24960</v>
      </c>
      <c r="B328" s="22" t="s">
        <v>10</v>
      </c>
      <c r="C328" s="22" t="s">
        <v>799</v>
      </c>
      <c r="D328" s="22" t="s">
        <v>867</v>
      </c>
      <c r="E328" s="22" t="s">
        <v>141</v>
      </c>
      <c r="F328" s="22">
        <v>32.642127000000002</v>
      </c>
      <c r="G328" s="22">
        <v>44.420279999999998</v>
      </c>
      <c r="H328" s="21" t="s">
        <v>802</v>
      </c>
      <c r="I328" s="21" t="s">
        <v>803</v>
      </c>
      <c r="J328" s="21"/>
      <c r="K328" s="24">
        <v>22</v>
      </c>
      <c r="L328" s="24">
        <v>132</v>
      </c>
      <c r="M328" s="23">
        <v>22</v>
      </c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>
        <v>22</v>
      </c>
      <c r="AL328" s="23"/>
      <c r="AM328" s="23"/>
      <c r="AN328" s="23"/>
      <c r="AO328" s="23"/>
      <c r="AP328" s="23"/>
      <c r="AQ328" s="23"/>
      <c r="AR328" s="23">
        <v>16</v>
      </c>
      <c r="AS328" s="23">
        <v>6</v>
      </c>
      <c r="AT328" s="23"/>
      <c r="AU328" s="14" t="str">
        <f>HYPERLINK("http://www.openstreetmap.org/?mlat=32.6421&amp;mlon=44.4203&amp;zoom=12#map=12/32.6421/44.4203","Maplink1")</f>
        <v>Maplink1</v>
      </c>
      <c r="AV328" s="14" t="str">
        <f>HYPERLINK("https://www.google.iq/maps/search/+32.6421,44.4203/@32.6421,44.4203,14z?hl=en","Maplink2")</f>
        <v>Maplink2</v>
      </c>
      <c r="AW328" s="14" t="str">
        <f>HYPERLINK("http://www.bing.com/maps/?lvl=14&amp;sty=h&amp;cp=32.6421~44.4203&amp;sp=point.32.6421_44.4203_Hay Al Farook","Maplink3")</f>
        <v>Maplink3</v>
      </c>
    </row>
    <row r="329" spans="1:49" ht="15" customHeight="1" x14ac:dyDescent="0.25">
      <c r="A329" s="21">
        <v>28455</v>
      </c>
      <c r="B329" s="22" t="s">
        <v>10</v>
      </c>
      <c r="C329" s="22" t="s">
        <v>799</v>
      </c>
      <c r="D329" s="22" t="s">
        <v>868</v>
      </c>
      <c r="E329" s="22" t="s">
        <v>869</v>
      </c>
      <c r="F329" s="22">
        <v>32.650294000000002</v>
      </c>
      <c r="G329" s="22">
        <v>44.409799</v>
      </c>
      <c r="H329" s="21" t="s">
        <v>802</v>
      </c>
      <c r="I329" s="21" t="s">
        <v>803</v>
      </c>
      <c r="J329" s="21"/>
      <c r="K329" s="24">
        <v>11</v>
      </c>
      <c r="L329" s="24">
        <v>66</v>
      </c>
      <c r="M329" s="23">
        <v>10</v>
      </c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>
        <v>1</v>
      </c>
      <c r="AB329" s="23"/>
      <c r="AC329" s="23"/>
      <c r="AD329" s="23"/>
      <c r="AE329" s="23"/>
      <c r="AF329" s="23"/>
      <c r="AG329" s="23"/>
      <c r="AH329" s="23"/>
      <c r="AI329" s="23"/>
      <c r="AJ329" s="23"/>
      <c r="AK329" s="23">
        <v>11</v>
      </c>
      <c r="AL329" s="23"/>
      <c r="AM329" s="23"/>
      <c r="AN329" s="23"/>
      <c r="AO329" s="23"/>
      <c r="AP329" s="23"/>
      <c r="AQ329" s="23"/>
      <c r="AR329" s="23">
        <v>1</v>
      </c>
      <c r="AS329" s="23">
        <v>10</v>
      </c>
      <c r="AT329" s="23"/>
      <c r="AU329" s="14" t="str">
        <f>HYPERLINK("http://www.openstreetmap.org/?mlat=32.6503&amp;mlon=44.4098&amp;zoom=12#map=12/32.6503/44.4098","Maplink1")</f>
        <v>Maplink1</v>
      </c>
      <c r="AV329" s="14" t="str">
        <f>HYPERLINK("https://www.google.iq/maps/search/+32.6503,44.4098/@32.6503,44.4098,14z?hl=en","Maplink2")</f>
        <v>Maplink2</v>
      </c>
      <c r="AW329" s="14" t="str">
        <f>HYPERLINK("http://www.bing.com/maps/?lvl=14&amp;sty=h&amp;cp=32.6503~44.4098&amp;sp=point.32.6503_44.4098_Al Angaa","Maplink3")</f>
        <v>Maplink3</v>
      </c>
    </row>
    <row r="330" spans="1:49" ht="15" customHeight="1" x14ac:dyDescent="0.25">
      <c r="A330" s="21">
        <v>22869</v>
      </c>
      <c r="B330" s="22" t="s">
        <v>10</v>
      </c>
      <c r="C330" s="22" t="s">
        <v>799</v>
      </c>
      <c r="D330" s="22" t="s">
        <v>227</v>
      </c>
      <c r="E330" s="22" t="s">
        <v>150</v>
      </c>
      <c r="F330" s="22">
        <v>32.743375</v>
      </c>
      <c r="G330" s="22">
        <v>44.607979999999998</v>
      </c>
      <c r="H330" s="21" t="s">
        <v>802</v>
      </c>
      <c r="I330" s="21" t="s">
        <v>803</v>
      </c>
      <c r="J330" s="21" t="s">
        <v>870</v>
      </c>
      <c r="K330" s="24">
        <v>14</v>
      </c>
      <c r="L330" s="24">
        <v>84</v>
      </c>
      <c r="M330" s="23">
        <v>6</v>
      </c>
      <c r="N330" s="23">
        <v>4</v>
      </c>
      <c r="O330" s="23">
        <v>1</v>
      </c>
      <c r="P330" s="23"/>
      <c r="Q330" s="23"/>
      <c r="R330" s="23"/>
      <c r="S330" s="23"/>
      <c r="T330" s="23"/>
      <c r="U330" s="23"/>
      <c r="V330" s="23"/>
      <c r="W330" s="23"/>
      <c r="X330" s="23"/>
      <c r="Y330" s="23">
        <v>1</v>
      </c>
      <c r="Z330" s="23"/>
      <c r="AA330" s="23">
        <v>2</v>
      </c>
      <c r="AB330" s="23"/>
      <c r="AC330" s="23"/>
      <c r="AD330" s="23"/>
      <c r="AE330" s="23"/>
      <c r="AF330" s="23"/>
      <c r="AG330" s="23"/>
      <c r="AH330" s="23"/>
      <c r="AI330" s="23"/>
      <c r="AJ330" s="23"/>
      <c r="AK330" s="23">
        <v>14</v>
      </c>
      <c r="AL330" s="23"/>
      <c r="AM330" s="23"/>
      <c r="AN330" s="23"/>
      <c r="AO330" s="23"/>
      <c r="AP330" s="23">
        <v>10</v>
      </c>
      <c r="AQ330" s="23"/>
      <c r="AR330" s="23">
        <v>4</v>
      </c>
      <c r="AS330" s="23"/>
      <c r="AT330" s="23"/>
      <c r="AU330" s="14" t="str">
        <f>HYPERLINK("http://www.openstreetmap.org/?mlat=32.7434&amp;mlon=44.608&amp;zoom=12#map=12/32.7434/44.608","Maplink1")</f>
        <v>Maplink1</v>
      </c>
      <c r="AV330" s="14" t="str">
        <f>HYPERLINK("https://www.google.iq/maps/search/+32.7434,44.608/@32.7434,44.608,14z?hl=en","Maplink2")</f>
        <v>Maplink2</v>
      </c>
      <c r="AW330" s="14" t="str">
        <f>HYPERLINK("http://www.bing.com/maps/?lvl=14&amp;sty=h&amp;cp=32.7434~44.608&amp;sp=point.32.7434_44.608_Hay Al Salam","Maplink3")</f>
        <v>Maplink3</v>
      </c>
    </row>
    <row r="331" spans="1:49" ht="15" customHeight="1" x14ac:dyDescent="0.25">
      <c r="A331" s="21">
        <v>24298</v>
      </c>
      <c r="B331" s="22" t="s">
        <v>10</v>
      </c>
      <c r="C331" s="22" t="s">
        <v>799</v>
      </c>
      <c r="D331" s="22" t="s">
        <v>871</v>
      </c>
      <c r="E331" s="22" t="s">
        <v>7563</v>
      </c>
      <c r="F331" s="22">
        <v>32.751224999999998</v>
      </c>
      <c r="G331" s="22">
        <v>44.612797999999998</v>
      </c>
      <c r="H331" s="21" t="s">
        <v>802</v>
      </c>
      <c r="I331" s="21" t="s">
        <v>803</v>
      </c>
      <c r="J331" s="21"/>
      <c r="K331" s="24">
        <v>7</v>
      </c>
      <c r="L331" s="24">
        <v>42</v>
      </c>
      <c r="M331" s="23">
        <v>4</v>
      </c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>
        <v>3</v>
      </c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>
        <v>7</v>
      </c>
      <c r="AL331" s="23"/>
      <c r="AM331" s="23"/>
      <c r="AN331" s="23"/>
      <c r="AO331" s="23"/>
      <c r="AP331" s="23">
        <v>3</v>
      </c>
      <c r="AQ331" s="23"/>
      <c r="AR331" s="23"/>
      <c r="AS331" s="23">
        <v>4</v>
      </c>
      <c r="AT331" s="23"/>
      <c r="AU331" s="14" t="str">
        <f>HYPERLINK("http://www.openstreetmap.org/?mlat=32.7512&amp;mlon=44.6128&amp;zoom=12#map=12/32.7512/44.6128","Maplink1")</f>
        <v>Maplink1</v>
      </c>
      <c r="AV331" s="14" t="str">
        <f>HYPERLINK("https://www.google.iq/maps/search/+32.7512,44.6128/@32.7512,44.6128,14z?hl=en","Maplink2")</f>
        <v>Maplink2</v>
      </c>
      <c r="AW331" s="14" t="str">
        <f>HYPERLINK("http://www.bing.com/maps/?lvl=14&amp;sty=h&amp;cp=32.7512~44.6128&amp;sp=point.32.7512_44.6128_Hay Al wihda-Jablah","Maplink3")</f>
        <v>Maplink3</v>
      </c>
    </row>
    <row r="332" spans="1:49" ht="15" customHeight="1" x14ac:dyDescent="0.25">
      <c r="A332" s="21">
        <v>7169</v>
      </c>
      <c r="B332" s="22" t="s">
        <v>10</v>
      </c>
      <c r="C332" s="22" t="s">
        <v>799</v>
      </c>
      <c r="D332" s="22" t="s">
        <v>872</v>
      </c>
      <c r="E332" s="22" t="s">
        <v>8205</v>
      </c>
      <c r="F332" s="22">
        <v>32.650781000000002</v>
      </c>
      <c r="G332" s="22">
        <v>44.404789999999998</v>
      </c>
      <c r="H332" s="21" t="s">
        <v>802</v>
      </c>
      <c r="I332" s="21" t="s">
        <v>803</v>
      </c>
      <c r="J332" s="21" t="s">
        <v>873</v>
      </c>
      <c r="K332" s="24">
        <v>19</v>
      </c>
      <c r="L332" s="24">
        <v>114</v>
      </c>
      <c r="M332" s="23">
        <v>17</v>
      </c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>
        <v>2</v>
      </c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>
        <v>19</v>
      </c>
      <c r="AL332" s="23"/>
      <c r="AM332" s="23"/>
      <c r="AN332" s="23"/>
      <c r="AO332" s="23"/>
      <c r="AP332" s="23">
        <v>2</v>
      </c>
      <c r="AQ332" s="23"/>
      <c r="AR332" s="23">
        <v>10</v>
      </c>
      <c r="AS332" s="23">
        <v>7</v>
      </c>
      <c r="AT332" s="23"/>
      <c r="AU332" s="14" t="str">
        <f>HYPERLINK("http://www.openstreetmap.org/?mlat=32.6508&amp;mlon=44.4048&amp;zoom=12#map=12/32.6508/44.4048","Maplink1")</f>
        <v>Maplink1</v>
      </c>
      <c r="AV332" s="14" t="str">
        <f>HYPERLINK("https://www.google.iq/maps/search/+32.6508,44.4048/@32.6508,44.4048,14z?hl=en","Maplink2")</f>
        <v>Maplink2</v>
      </c>
      <c r="AW332" s="14" t="str">
        <f>HYPERLINK("http://www.bing.com/maps/?lvl=14&amp;sty=h&amp;cp=32.6508~44.4048&amp;sp=point.32.6508_44.4048_Hay Al Zahraa","Maplink3")</f>
        <v>Maplink3</v>
      </c>
    </row>
    <row r="333" spans="1:49" ht="15" customHeight="1" x14ac:dyDescent="0.25">
      <c r="A333" s="21">
        <v>29509</v>
      </c>
      <c r="B333" s="22" t="s">
        <v>10</v>
      </c>
      <c r="C333" s="22" t="s">
        <v>799</v>
      </c>
      <c r="D333" s="22" t="s">
        <v>7393</v>
      </c>
      <c r="E333" s="22" t="s">
        <v>7564</v>
      </c>
      <c r="F333" s="22">
        <v>32.540148000000002</v>
      </c>
      <c r="G333" s="22">
        <v>44.544297999999998</v>
      </c>
      <c r="H333" s="21" t="s">
        <v>802</v>
      </c>
      <c r="I333" s="21" t="s">
        <v>803</v>
      </c>
      <c r="J333" s="21"/>
      <c r="K333" s="24">
        <v>11</v>
      </c>
      <c r="L333" s="24">
        <v>66</v>
      </c>
      <c r="M333" s="23">
        <v>9</v>
      </c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>
        <v>2</v>
      </c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>
        <v>11</v>
      </c>
      <c r="AL333" s="23"/>
      <c r="AM333" s="23"/>
      <c r="AN333" s="23"/>
      <c r="AO333" s="23"/>
      <c r="AP333" s="23">
        <v>9</v>
      </c>
      <c r="AQ333" s="23"/>
      <c r="AR333" s="23"/>
      <c r="AS333" s="23">
        <v>2</v>
      </c>
      <c r="AT333" s="23"/>
      <c r="AU333" s="14" t="str">
        <f>HYPERLINK("http://www.openstreetmap.org/?mlat=32.5401&amp;mlon=44.5443&amp;zoom=12#map=12/32.5401/44.5443","Maplink1")</f>
        <v>Maplink1</v>
      </c>
      <c r="AV333" s="14" t="str">
        <f>HYPERLINK("https://www.google.iq/maps/search/+32.5401,44.5443/@32.5401,44.5443,14z?hl=en","Maplink2")</f>
        <v>Maplink2</v>
      </c>
      <c r="AW333" s="14" t="str">
        <f>HYPERLINK("http://www.bing.com/maps/?lvl=14&amp;sty=h&amp;cp=32.5401~44.5443&amp;sp=point.32.5401_44.5443","Maplink3")</f>
        <v>Maplink3</v>
      </c>
    </row>
    <row r="334" spans="1:49" ht="15" customHeight="1" x14ac:dyDescent="0.25">
      <c r="A334" s="21">
        <v>20927</v>
      </c>
      <c r="B334" s="22" t="s">
        <v>10</v>
      </c>
      <c r="C334" s="22" t="s">
        <v>799</v>
      </c>
      <c r="D334" s="22" t="s">
        <v>621</v>
      </c>
      <c r="E334" s="22" t="s">
        <v>874</v>
      </c>
      <c r="F334" s="22">
        <v>32.542999999999999</v>
      </c>
      <c r="G334" s="22">
        <v>44.545000000000002</v>
      </c>
      <c r="H334" s="21" t="s">
        <v>802</v>
      </c>
      <c r="I334" s="21" t="s">
        <v>803</v>
      </c>
      <c r="J334" s="21" t="s">
        <v>875</v>
      </c>
      <c r="K334" s="24">
        <v>10</v>
      </c>
      <c r="L334" s="24">
        <v>60</v>
      </c>
      <c r="M334" s="23">
        <v>10</v>
      </c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>
        <v>6</v>
      </c>
      <c r="AL334" s="23">
        <v>4</v>
      </c>
      <c r="AM334" s="23"/>
      <c r="AN334" s="23"/>
      <c r="AO334" s="23"/>
      <c r="AP334" s="23"/>
      <c r="AQ334" s="23"/>
      <c r="AR334" s="23"/>
      <c r="AS334" s="23">
        <v>10</v>
      </c>
      <c r="AT334" s="23"/>
      <c r="AU334" s="14" t="str">
        <f>HYPERLINK("http://www.openstreetmap.org/?mlat=32.543&amp;mlon=44.545&amp;zoom=12#map=12/32.543/44.545","Maplink1")</f>
        <v>Maplink1</v>
      </c>
      <c r="AV334" s="14" t="str">
        <f>HYPERLINK("https://www.google.iq/maps/search/+32.543,44.545/@32.543,44.545,14z?hl=en","Maplink2")</f>
        <v>Maplink2</v>
      </c>
      <c r="AW334" s="14" t="str">
        <f>HYPERLINK("http://www.bing.com/maps/?lvl=14&amp;sty=h&amp;cp=32.543~44.545&amp;sp=point.32.543_44.545_Hay Al-Askari","Maplink3")</f>
        <v>Maplink3</v>
      </c>
    </row>
    <row r="335" spans="1:49" ht="15" customHeight="1" x14ac:dyDescent="0.25">
      <c r="A335" s="21">
        <v>7202</v>
      </c>
      <c r="B335" s="22" t="s">
        <v>10</v>
      </c>
      <c r="C335" s="22" t="s">
        <v>799</v>
      </c>
      <c r="D335" s="22" t="s">
        <v>876</v>
      </c>
      <c r="E335" s="22" t="s">
        <v>180</v>
      </c>
      <c r="F335" s="22">
        <v>32.658000000000001</v>
      </c>
      <c r="G335" s="22">
        <v>44.408000000000001</v>
      </c>
      <c r="H335" s="21" t="s">
        <v>802</v>
      </c>
      <c r="I335" s="21" t="s">
        <v>803</v>
      </c>
      <c r="J335" s="21" t="s">
        <v>877</v>
      </c>
      <c r="K335" s="24">
        <v>15</v>
      </c>
      <c r="L335" s="24">
        <v>90</v>
      </c>
      <c r="M335" s="23">
        <v>11</v>
      </c>
      <c r="N335" s="23"/>
      <c r="O335" s="23">
        <v>3</v>
      </c>
      <c r="P335" s="23"/>
      <c r="Q335" s="23"/>
      <c r="R335" s="23"/>
      <c r="S335" s="23"/>
      <c r="T335" s="23"/>
      <c r="U335" s="23"/>
      <c r="V335" s="23"/>
      <c r="W335" s="23"/>
      <c r="X335" s="23"/>
      <c r="Y335" s="23">
        <v>1</v>
      </c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>
        <v>15</v>
      </c>
      <c r="AL335" s="23"/>
      <c r="AM335" s="23"/>
      <c r="AN335" s="23"/>
      <c r="AO335" s="23"/>
      <c r="AP335" s="23">
        <v>4</v>
      </c>
      <c r="AQ335" s="23"/>
      <c r="AR335" s="23">
        <v>11</v>
      </c>
      <c r="AS335" s="23"/>
      <c r="AT335" s="23"/>
      <c r="AU335" s="14" t="str">
        <f>HYPERLINK("http://www.openstreetmap.org/?mlat=32.658&amp;mlon=44.408&amp;zoom=12#map=12/32.658/44.408","Maplink1")</f>
        <v>Maplink1</v>
      </c>
      <c r="AV335" s="14" t="str">
        <f>HYPERLINK("https://www.google.iq/maps/search/+32.658,44.408/@32.658,44.408,14z?hl=en","Maplink2")</f>
        <v>Maplink2</v>
      </c>
      <c r="AW335" s="14" t="str">
        <f>HYPERLINK("http://www.bing.com/maps/?lvl=14&amp;sty=h&amp;cp=32.658~44.408&amp;sp=point.32.658_44.408_Hay Al-Intisar","Maplink3")</f>
        <v>Maplink3</v>
      </c>
    </row>
    <row r="336" spans="1:49" ht="15" customHeight="1" x14ac:dyDescent="0.25">
      <c r="A336" s="21">
        <v>26094</v>
      </c>
      <c r="B336" s="22" t="s">
        <v>10</v>
      </c>
      <c r="C336" s="22" t="s">
        <v>799</v>
      </c>
      <c r="D336" s="22" t="s">
        <v>878</v>
      </c>
      <c r="E336" s="22" t="s">
        <v>879</v>
      </c>
      <c r="F336" s="22">
        <v>32.661788999999999</v>
      </c>
      <c r="G336" s="22">
        <v>44.400312999999997</v>
      </c>
      <c r="H336" s="21" t="s">
        <v>802</v>
      </c>
      <c r="I336" s="21" t="s">
        <v>803</v>
      </c>
      <c r="J336" s="21"/>
      <c r="K336" s="24">
        <v>30</v>
      </c>
      <c r="L336" s="24">
        <v>180</v>
      </c>
      <c r="M336" s="23">
        <v>30</v>
      </c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>
        <v>30</v>
      </c>
      <c r="AL336" s="23"/>
      <c r="AM336" s="23"/>
      <c r="AN336" s="23"/>
      <c r="AO336" s="23"/>
      <c r="AP336" s="23">
        <v>9</v>
      </c>
      <c r="AQ336" s="23"/>
      <c r="AR336" s="23">
        <v>13</v>
      </c>
      <c r="AS336" s="23">
        <v>8</v>
      </c>
      <c r="AT336" s="23"/>
      <c r="AU336" s="14" t="str">
        <f>HYPERLINK("http://www.openstreetmap.org/?mlat=32.6618&amp;mlon=44.4003&amp;zoom=12#map=12/32.6618/44.4003","Maplink1")</f>
        <v>Maplink1</v>
      </c>
      <c r="AV336" s="14" t="str">
        <f>HYPERLINK("https://www.google.iq/maps/search/+32.6618,44.4003/@32.6618,44.4003,14z?hl=en","Maplink2")</f>
        <v>Maplink2</v>
      </c>
      <c r="AW336" s="14" t="str">
        <f>HYPERLINK("http://www.bing.com/maps/?lvl=14&amp;sty=h&amp;cp=32.6618~44.4003&amp;sp=point.32.6618_44.4003_Hay Al-Jamhoreiah","Maplink3")</f>
        <v>Maplink3</v>
      </c>
    </row>
    <row r="337" spans="1:49" ht="15" customHeight="1" x14ac:dyDescent="0.25">
      <c r="A337" s="21">
        <v>7205</v>
      </c>
      <c r="B337" s="22" t="s">
        <v>10</v>
      </c>
      <c r="C337" s="22" t="s">
        <v>799</v>
      </c>
      <c r="D337" s="22" t="s">
        <v>880</v>
      </c>
      <c r="E337" s="22" t="s">
        <v>881</v>
      </c>
      <c r="F337" s="22">
        <v>32.659463000000002</v>
      </c>
      <c r="G337" s="22">
        <v>44.406534000000001</v>
      </c>
      <c r="H337" s="21" t="s">
        <v>802</v>
      </c>
      <c r="I337" s="21" t="s">
        <v>803</v>
      </c>
      <c r="J337" s="21" t="s">
        <v>882</v>
      </c>
      <c r="K337" s="24">
        <v>5</v>
      </c>
      <c r="L337" s="24">
        <v>30</v>
      </c>
      <c r="M337" s="23">
        <v>5</v>
      </c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>
        <v>5</v>
      </c>
      <c r="AL337" s="23"/>
      <c r="AM337" s="23"/>
      <c r="AN337" s="23"/>
      <c r="AO337" s="23"/>
      <c r="AP337" s="23"/>
      <c r="AQ337" s="23"/>
      <c r="AR337" s="23">
        <v>5</v>
      </c>
      <c r="AS337" s="23"/>
      <c r="AT337" s="23"/>
      <c r="AU337" s="14" t="str">
        <f>HYPERLINK("http://www.openstreetmap.org/?mlat=32.6595&amp;mlon=44.4065&amp;zoom=12#map=12/32.6595/44.4065","Maplink1")</f>
        <v>Maplink1</v>
      </c>
      <c r="AV337" s="14" t="str">
        <f>HYPERLINK("https://www.google.iq/maps/search/+32.6595,44.4065/@32.6595,44.4065,14z?hl=en","Maplink2")</f>
        <v>Maplink2</v>
      </c>
      <c r="AW337" s="14" t="str">
        <f>HYPERLINK("http://www.bing.com/maps/?lvl=14&amp;sty=h&amp;cp=32.6595~44.4065&amp;sp=point.32.6595_44.4065_Hay Al-Jawadein","Maplink3")</f>
        <v>Maplink3</v>
      </c>
    </row>
    <row r="338" spans="1:49" ht="15" customHeight="1" x14ac:dyDescent="0.25">
      <c r="A338" s="21">
        <v>29511</v>
      </c>
      <c r="B338" s="22" t="s">
        <v>10</v>
      </c>
      <c r="C338" s="22" t="s">
        <v>799</v>
      </c>
      <c r="D338" s="22" t="s">
        <v>883</v>
      </c>
      <c r="E338" s="22" t="s">
        <v>884</v>
      </c>
      <c r="F338" s="22">
        <v>32.542192999999997</v>
      </c>
      <c r="G338" s="22">
        <v>44.549193000000002</v>
      </c>
      <c r="H338" s="21" t="s">
        <v>802</v>
      </c>
      <c r="I338" s="21" t="s">
        <v>803</v>
      </c>
      <c r="J338" s="21"/>
      <c r="K338" s="24">
        <v>22</v>
      </c>
      <c r="L338" s="24">
        <v>132</v>
      </c>
      <c r="M338" s="23">
        <v>7</v>
      </c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>
        <v>15</v>
      </c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>
        <v>22</v>
      </c>
      <c r="AL338" s="23"/>
      <c r="AM338" s="23"/>
      <c r="AN338" s="23"/>
      <c r="AO338" s="23"/>
      <c r="AP338" s="23">
        <v>15</v>
      </c>
      <c r="AQ338" s="23"/>
      <c r="AR338" s="23">
        <v>7</v>
      </c>
      <c r="AS338" s="23"/>
      <c r="AT338" s="23"/>
      <c r="AU338" s="14" t="str">
        <f>HYPERLINK("http://www.openstreetmap.org/?mlat=32.5422&amp;mlon=44.5492&amp;zoom=12#map=12/32.5422/44.5492","Maplink1")</f>
        <v>Maplink1</v>
      </c>
      <c r="AV338" s="14" t="str">
        <f>HYPERLINK("https://www.google.iq/maps/search/+32.5422,44.5492/@32.5422,44.5492,14z?hl=en","Maplink2")</f>
        <v>Maplink2</v>
      </c>
      <c r="AW338" s="14" t="str">
        <f>HYPERLINK("http://www.bing.com/maps/?lvl=14&amp;sty=h&amp;cp=32.5422~44.5492&amp;sp=point.32.5422_44.5492","Maplink3")</f>
        <v>Maplink3</v>
      </c>
    </row>
    <row r="339" spans="1:49" ht="15" customHeight="1" x14ac:dyDescent="0.25">
      <c r="A339" s="21">
        <v>26095</v>
      </c>
      <c r="B339" s="22" t="s">
        <v>10</v>
      </c>
      <c r="C339" s="22" t="s">
        <v>799</v>
      </c>
      <c r="D339" s="22" t="s">
        <v>885</v>
      </c>
      <c r="E339" s="22" t="s">
        <v>464</v>
      </c>
      <c r="F339" s="22">
        <v>32.651668000000001</v>
      </c>
      <c r="G339" s="22">
        <v>44.404459000000003</v>
      </c>
      <c r="H339" s="21" t="s">
        <v>802</v>
      </c>
      <c r="I339" s="21" t="s">
        <v>803</v>
      </c>
      <c r="J339" s="21"/>
      <c r="K339" s="24">
        <v>6</v>
      </c>
      <c r="L339" s="24">
        <v>36</v>
      </c>
      <c r="M339" s="23">
        <v>6</v>
      </c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>
        <v>6</v>
      </c>
      <c r="AL339" s="23"/>
      <c r="AM339" s="23"/>
      <c r="AN339" s="23"/>
      <c r="AO339" s="23"/>
      <c r="AP339" s="23"/>
      <c r="AQ339" s="23"/>
      <c r="AR339" s="23"/>
      <c r="AS339" s="23">
        <v>6</v>
      </c>
      <c r="AT339" s="23"/>
      <c r="AU339" s="14" t="str">
        <f>HYPERLINK("http://www.openstreetmap.org/?mlat=32.6517&amp;mlon=44.4045&amp;zoom=12#map=12/32.6517/44.4045","Maplink1")</f>
        <v>Maplink1</v>
      </c>
      <c r="AV339" s="14" t="str">
        <f>HYPERLINK("https://www.google.iq/maps/search/+32.6517,44.4045/@32.6517,44.4045,14z?hl=en","Maplink2")</f>
        <v>Maplink2</v>
      </c>
      <c r="AW339" s="14" t="str">
        <f>HYPERLINK("http://www.bing.com/maps/?lvl=14&amp;sty=h&amp;cp=32.6517~44.4045&amp;sp=point.32.6517_44.4045_Hay Al-Mualmeen","Maplink3")</f>
        <v>Maplink3</v>
      </c>
    </row>
    <row r="340" spans="1:49" ht="15" customHeight="1" x14ac:dyDescent="0.25">
      <c r="A340" s="21">
        <v>29510</v>
      </c>
      <c r="B340" s="22" t="s">
        <v>10</v>
      </c>
      <c r="C340" s="22" t="s">
        <v>799</v>
      </c>
      <c r="D340" s="22" t="s">
        <v>886</v>
      </c>
      <c r="E340" s="22" t="s">
        <v>887</v>
      </c>
      <c r="F340" s="22">
        <v>32.541013</v>
      </c>
      <c r="G340" s="22">
        <v>44.546672000000001</v>
      </c>
      <c r="H340" s="21" t="s">
        <v>802</v>
      </c>
      <c r="I340" s="21" t="s">
        <v>803</v>
      </c>
      <c r="J340" s="21"/>
      <c r="K340" s="24">
        <v>5</v>
      </c>
      <c r="L340" s="24">
        <v>30</v>
      </c>
      <c r="M340" s="23">
        <v>3</v>
      </c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>
        <v>2</v>
      </c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>
        <v>5</v>
      </c>
      <c r="AL340" s="23"/>
      <c r="AM340" s="23"/>
      <c r="AN340" s="23"/>
      <c r="AO340" s="23"/>
      <c r="AP340" s="23">
        <v>2</v>
      </c>
      <c r="AQ340" s="23"/>
      <c r="AR340" s="23">
        <v>3</v>
      </c>
      <c r="AS340" s="23"/>
      <c r="AT340" s="23"/>
      <c r="AU340" s="14" t="str">
        <f>HYPERLINK("http://www.openstreetmap.org/?mlat=32.541&amp;mlon=44.5467&amp;zoom=12#map=12/32.541/44.5467","Maplink1")</f>
        <v>Maplink1</v>
      </c>
      <c r="AV340" s="14" t="str">
        <f>HYPERLINK("https://www.google.iq/maps/search/+32.541,44.5467/@32.541,44.5467,14z?hl=en","Maplink2")</f>
        <v>Maplink2</v>
      </c>
      <c r="AW340" s="14" t="str">
        <f>HYPERLINK("http://www.bing.com/maps/?lvl=14&amp;sty=h&amp;cp=32.541~44.5467&amp;sp=point.32.541_44.5467","Maplink3")</f>
        <v>Maplink3</v>
      </c>
    </row>
    <row r="341" spans="1:49" ht="15" customHeight="1" x14ac:dyDescent="0.25">
      <c r="A341" s="21">
        <v>29512</v>
      </c>
      <c r="B341" s="22" t="s">
        <v>10</v>
      </c>
      <c r="C341" s="22" t="s">
        <v>799</v>
      </c>
      <c r="D341" s="22" t="s">
        <v>888</v>
      </c>
      <c r="E341" s="22" t="s">
        <v>889</v>
      </c>
      <c r="F341" s="22">
        <v>32.542645999999998</v>
      </c>
      <c r="G341" s="22">
        <v>44.545645999999998</v>
      </c>
      <c r="H341" s="21" t="s">
        <v>802</v>
      </c>
      <c r="I341" s="21" t="s">
        <v>803</v>
      </c>
      <c r="J341" s="21"/>
      <c r="K341" s="24">
        <v>9</v>
      </c>
      <c r="L341" s="24">
        <v>54</v>
      </c>
      <c r="M341" s="23">
        <v>8</v>
      </c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1</v>
      </c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>
        <v>9</v>
      </c>
      <c r="AL341" s="23"/>
      <c r="AM341" s="23"/>
      <c r="AN341" s="23"/>
      <c r="AO341" s="23"/>
      <c r="AP341" s="23">
        <v>1</v>
      </c>
      <c r="AQ341" s="23"/>
      <c r="AR341" s="23">
        <v>8</v>
      </c>
      <c r="AS341" s="23"/>
      <c r="AT341" s="23"/>
      <c r="AU341" s="14" t="str">
        <f>HYPERLINK("http://www.openstreetmap.org/?mlat=32.5426&amp;mlon=44.5456&amp;zoom=12#map=12/32.5426/44.5456","Maplink1")</f>
        <v>Maplink1</v>
      </c>
      <c r="AV341" s="14" t="str">
        <f>HYPERLINK("https://www.google.iq/maps/search/+32.5426,44.5456/@32.5426,44.5456,14z?hl=en","Maplink2")</f>
        <v>Maplink2</v>
      </c>
      <c r="AW341" s="14" t="str">
        <f>HYPERLINK("http://www.bing.com/maps/?lvl=14&amp;sty=h&amp;cp=32.5426~44.5456&amp;sp=point.32.5426_44.5456","Maplink3")</f>
        <v>Maplink3</v>
      </c>
    </row>
    <row r="342" spans="1:49" ht="15" customHeight="1" x14ac:dyDescent="0.25">
      <c r="A342" s="21">
        <v>29518</v>
      </c>
      <c r="B342" s="22" t="s">
        <v>10</v>
      </c>
      <c r="C342" s="22" t="s">
        <v>799</v>
      </c>
      <c r="D342" s="22" t="s">
        <v>890</v>
      </c>
      <c r="E342" s="22" t="s">
        <v>891</v>
      </c>
      <c r="F342" s="22">
        <v>32.544086</v>
      </c>
      <c r="G342" s="22">
        <v>44.542600999999998</v>
      </c>
      <c r="H342" s="21" t="s">
        <v>802</v>
      </c>
      <c r="I342" s="21" t="s">
        <v>803</v>
      </c>
      <c r="J342" s="21"/>
      <c r="K342" s="24">
        <v>11</v>
      </c>
      <c r="L342" s="24">
        <v>66</v>
      </c>
      <c r="M342" s="23">
        <v>2</v>
      </c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>
        <v>9</v>
      </c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>
        <v>11</v>
      </c>
      <c r="AL342" s="23"/>
      <c r="AM342" s="23"/>
      <c r="AN342" s="23"/>
      <c r="AO342" s="23"/>
      <c r="AP342" s="23">
        <v>9</v>
      </c>
      <c r="AQ342" s="23"/>
      <c r="AR342" s="23">
        <v>2</v>
      </c>
      <c r="AS342" s="23"/>
      <c r="AT342" s="23"/>
      <c r="AU342" s="14" t="str">
        <f>HYPERLINK("http://www.openstreetmap.org/?mlat=32.5441&amp;mlon=44.5426&amp;zoom=12#map=12/32.5441/44.5426","Maplink1")</f>
        <v>Maplink1</v>
      </c>
      <c r="AV342" s="14" t="str">
        <f>HYPERLINK("https://www.google.iq/maps/search/+32.5441,44.5426/@32.5441,44.5426,14z?hl=en","Maplink2")</f>
        <v>Maplink2</v>
      </c>
      <c r="AW342" s="14" t="str">
        <f>HYPERLINK("http://www.bing.com/maps/?lvl=14&amp;sty=h&amp;cp=32.5441~44.5426&amp;sp=point.32.5441_44.5426","Maplink3")</f>
        <v>Maplink3</v>
      </c>
    </row>
    <row r="343" spans="1:49" ht="15" customHeight="1" x14ac:dyDescent="0.25">
      <c r="A343" s="21">
        <v>26096</v>
      </c>
      <c r="B343" s="22" t="s">
        <v>10</v>
      </c>
      <c r="C343" s="22" t="s">
        <v>799</v>
      </c>
      <c r="D343" s="22" t="s">
        <v>892</v>
      </c>
      <c r="E343" s="22" t="s">
        <v>893</v>
      </c>
      <c r="F343" s="22">
        <v>32.647421999999999</v>
      </c>
      <c r="G343" s="22">
        <v>44.409815000000002</v>
      </c>
      <c r="H343" s="21" t="s">
        <v>802</v>
      </c>
      <c r="I343" s="21" t="s">
        <v>803</v>
      </c>
      <c r="J343" s="21"/>
      <c r="K343" s="24">
        <v>10</v>
      </c>
      <c r="L343" s="24">
        <v>60</v>
      </c>
      <c r="M343" s="23">
        <v>10</v>
      </c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10</v>
      </c>
      <c r="AL343" s="23"/>
      <c r="AM343" s="23"/>
      <c r="AN343" s="23"/>
      <c r="AO343" s="23"/>
      <c r="AP343" s="23"/>
      <c r="AQ343" s="23"/>
      <c r="AR343" s="23"/>
      <c r="AS343" s="23">
        <v>10</v>
      </c>
      <c r="AT343" s="23"/>
      <c r="AU343" s="14" t="str">
        <f>HYPERLINK("http://www.openstreetmap.org/?mlat=32.6474&amp;mlon=44.4098&amp;zoom=12#map=12/32.6474/44.4098","Maplink1")</f>
        <v>Maplink1</v>
      </c>
      <c r="AV343" s="14" t="str">
        <f>HYPERLINK("https://www.google.iq/maps/search/+32.6474,44.4098/@32.6474,44.4098,14z?hl=en","Maplink2")</f>
        <v>Maplink2</v>
      </c>
      <c r="AW343" s="14" t="str">
        <f>HYPERLINK("http://www.bing.com/maps/?lvl=14&amp;sty=h&amp;cp=32.6474~44.4098&amp;sp=point.32.6474_44.4098_Hay Al-Noor","Maplink3")</f>
        <v>Maplink3</v>
      </c>
    </row>
    <row r="344" spans="1:49" ht="15" customHeight="1" x14ac:dyDescent="0.25">
      <c r="A344" s="21">
        <v>7147</v>
      </c>
      <c r="B344" s="22" t="s">
        <v>10</v>
      </c>
      <c r="C344" s="22" t="s">
        <v>799</v>
      </c>
      <c r="D344" s="22" t="s">
        <v>894</v>
      </c>
      <c r="E344" s="22" t="s">
        <v>895</v>
      </c>
      <c r="F344" s="22">
        <v>32.527500000000003</v>
      </c>
      <c r="G344" s="22">
        <v>44.643055560000001</v>
      </c>
      <c r="H344" s="21" t="s">
        <v>802</v>
      </c>
      <c r="I344" s="21" t="s">
        <v>803</v>
      </c>
      <c r="J344" s="21" t="s">
        <v>896</v>
      </c>
      <c r="K344" s="24">
        <v>6</v>
      </c>
      <c r="L344" s="24">
        <v>36</v>
      </c>
      <c r="M344" s="23">
        <v>6</v>
      </c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6</v>
      </c>
      <c r="AL344" s="23"/>
      <c r="AM344" s="23"/>
      <c r="AN344" s="23"/>
      <c r="AO344" s="23"/>
      <c r="AP344" s="23"/>
      <c r="AQ344" s="23"/>
      <c r="AR344" s="23"/>
      <c r="AS344" s="23">
        <v>6</v>
      </c>
      <c r="AT344" s="23"/>
      <c r="AU344" s="14" t="str">
        <f>HYPERLINK("http://www.openstreetmap.org/?mlat=32.5275&amp;mlon=44.6431&amp;zoom=12#map=12/32.5275/44.6431","Maplink1")</f>
        <v>Maplink1</v>
      </c>
      <c r="AV344" s="14" t="str">
        <f>HYPERLINK("https://www.google.iq/maps/search/+32.5275,44.6431/@32.5275,44.6431,14z?hl=en","Maplink2")</f>
        <v>Maplink2</v>
      </c>
      <c r="AW344" s="14" t="str">
        <f>HYPERLINK("http://www.bing.com/maps/?lvl=14&amp;sty=h&amp;cp=32.5275~44.6431&amp;sp=point.32.5275_44.6431_Hay Al-Risala 1","Maplink3")</f>
        <v>Maplink3</v>
      </c>
    </row>
    <row r="345" spans="1:49" ht="15" customHeight="1" x14ac:dyDescent="0.25">
      <c r="A345" s="21">
        <v>24464</v>
      </c>
      <c r="B345" s="22" t="s">
        <v>10</v>
      </c>
      <c r="C345" s="22" t="s">
        <v>799</v>
      </c>
      <c r="D345" s="22" t="s">
        <v>897</v>
      </c>
      <c r="E345" s="22" t="s">
        <v>898</v>
      </c>
      <c r="F345" s="22">
        <v>32.669688000000001</v>
      </c>
      <c r="G345" s="22">
        <v>44.403314999999999</v>
      </c>
      <c r="H345" s="21" t="s">
        <v>802</v>
      </c>
      <c r="I345" s="21" t="s">
        <v>803</v>
      </c>
      <c r="J345" s="21"/>
      <c r="K345" s="24">
        <v>4</v>
      </c>
      <c r="L345" s="24">
        <v>24</v>
      </c>
      <c r="M345" s="23"/>
      <c r="N345" s="23">
        <v>1</v>
      </c>
      <c r="O345" s="23">
        <v>3</v>
      </c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>
        <v>4</v>
      </c>
      <c r="AL345" s="23"/>
      <c r="AM345" s="23"/>
      <c r="AN345" s="23"/>
      <c r="AO345" s="23"/>
      <c r="AP345" s="23">
        <v>4</v>
      </c>
      <c r="AQ345" s="23"/>
      <c r="AR345" s="23"/>
      <c r="AS345" s="23"/>
      <c r="AT345" s="23"/>
      <c r="AU345" s="14" t="str">
        <f>HYPERLINK("http://www.openstreetmap.org/?mlat=32.6697&amp;mlon=44.4033&amp;zoom=12#map=12/32.6697/44.4033","Maplink1")</f>
        <v>Maplink1</v>
      </c>
      <c r="AV345" s="14" t="str">
        <f>HYPERLINK("https://www.google.iq/maps/search/+32.6697,44.4033/@32.6697,44.4033,14z?hl=en","Maplink2")</f>
        <v>Maplink2</v>
      </c>
      <c r="AW345" s="14" t="str">
        <f>HYPERLINK("http://www.bing.com/maps/?lvl=14&amp;sty=h&amp;cp=32.6697~44.4033&amp;sp=point.32.6697_44.4033_Hay Zain Alabadeen","Maplink3")</f>
        <v>Maplink3</v>
      </c>
    </row>
    <row r="346" spans="1:49" ht="15" customHeight="1" x14ac:dyDescent="0.25">
      <c r="A346" s="21">
        <v>6365</v>
      </c>
      <c r="B346" s="22" t="s">
        <v>10</v>
      </c>
      <c r="C346" s="22" t="s">
        <v>799</v>
      </c>
      <c r="D346" s="22" t="s">
        <v>899</v>
      </c>
      <c r="E346" s="22" t="s">
        <v>7565</v>
      </c>
      <c r="F346" s="22">
        <v>32.659999999999997</v>
      </c>
      <c r="G346" s="22">
        <v>44.5</v>
      </c>
      <c r="H346" s="21" t="s">
        <v>802</v>
      </c>
      <c r="I346" s="21" t="s">
        <v>803</v>
      </c>
      <c r="J346" s="21" t="s">
        <v>900</v>
      </c>
      <c r="K346" s="24">
        <v>28</v>
      </c>
      <c r="L346" s="24">
        <v>168</v>
      </c>
      <c r="M346" s="23"/>
      <c r="N346" s="23">
        <v>14</v>
      </c>
      <c r="O346" s="23">
        <v>14</v>
      </c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>
        <v>28</v>
      </c>
      <c r="AL346" s="23"/>
      <c r="AM346" s="23"/>
      <c r="AN346" s="23"/>
      <c r="AO346" s="23"/>
      <c r="AP346" s="23">
        <v>14</v>
      </c>
      <c r="AQ346" s="23">
        <v>14</v>
      </c>
      <c r="AR346" s="23"/>
      <c r="AS346" s="23"/>
      <c r="AT346" s="23"/>
      <c r="AU346" s="14" t="str">
        <f>HYPERLINK("http://www.openstreetmap.org/?mlat=32.66&amp;mlon=44.5&amp;zoom=12#map=12/32.66/44.5","Maplink1")</f>
        <v>Maplink1</v>
      </c>
      <c r="AV346" s="14" t="str">
        <f>HYPERLINK("https://www.google.iq/maps/search/+32.66,44.5/@32.66,44.5,14z?hl=en","Maplink2")</f>
        <v>Maplink2</v>
      </c>
      <c r="AW346" s="14" t="str">
        <f>HYPERLINK("http://www.bing.com/maps/?lvl=14&amp;sty=h&amp;cp=32.66~44.5&amp;sp=point.32.66_44.5_Jabla Al Imam Village","Maplink3")</f>
        <v>Maplink3</v>
      </c>
    </row>
    <row r="347" spans="1:49" ht="15" customHeight="1" x14ac:dyDescent="0.25">
      <c r="A347" s="21">
        <v>24267</v>
      </c>
      <c r="B347" s="22" t="s">
        <v>10</v>
      </c>
      <c r="C347" s="22" t="s">
        <v>799</v>
      </c>
      <c r="D347" s="22" t="s">
        <v>901</v>
      </c>
      <c r="E347" s="22" t="s">
        <v>7566</v>
      </c>
      <c r="F347" s="22">
        <v>32.777462</v>
      </c>
      <c r="G347" s="22">
        <v>44.518765000000002</v>
      </c>
      <c r="H347" s="21" t="s">
        <v>802</v>
      </c>
      <c r="I347" s="21" t="s">
        <v>803</v>
      </c>
      <c r="J347" s="21"/>
      <c r="K347" s="24">
        <v>1</v>
      </c>
      <c r="L347" s="24">
        <v>6</v>
      </c>
      <c r="M347" s="23"/>
      <c r="N347" s="23"/>
      <c r="O347" s="23">
        <v>1</v>
      </c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>
        <v>1</v>
      </c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>
        <v>1</v>
      </c>
      <c r="AR347" s="23"/>
      <c r="AS347" s="23"/>
      <c r="AT347" s="23"/>
      <c r="AU347" s="14" t="str">
        <f>HYPERLINK("http://www.openstreetmap.org/?mlat=32.7775&amp;mlon=44.5188&amp;zoom=12#map=12/32.7775/44.5188","Maplink1")</f>
        <v>Maplink1</v>
      </c>
      <c r="AV347" s="14" t="str">
        <f>HYPERLINK("https://www.google.iq/maps/search/+32.7775,44.5188/@32.7775,44.5188,14z?hl=en","Maplink2")</f>
        <v>Maplink2</v>
      </c>
      <c r="AW347" s="14" t="str">
        <f>HYPERLINK("http://www.bing.com/maps/?lvl=14&amp;sty=h&amp;cp=32.7775~44.5188&amp;sp=point.32.7775_44.5188_Jabla-Al Hamiry","Maplink3")</f>
        <v>Maplink3</v>
      </c>
    </row>
    <row r="348" spans="1:49" ht="15" customHeight="1" x14ac:dyDescent="0.25">
      <c r="A348" s="21">
        <v>24568</v>
      </c>
      <c r="B348" s="22" t="s">
        <v>10</v>
      </c>
      <c r="C348" s="22" t="s">
        <v>799</v>
      </c>
      <c r="D348" s="22" t="s">
        <v>902</v>
      </c>
      <c r="E348" s="22" t="s">
        <v>7567</v>
      </c>
      <c r="F348" s="22">
        <v>32.752536999999997</v>
      </c>
      <c r="G348" s="22">
        <v>44.568807</v>
      </c>
      <c r="H348" s="21" t="s">
        <v>802</v>
      </c>
      <c r="I348" s="21" t="s">
        <v>803</v>
      </c>
      <c r="J348" s="21"/>
      <c r="K348" s="24">
        <v>10</v>
      </c>
      <c r="L348" s="24">
        <v>60</v>
      </c>
      <c r="M348" s="23">
        <v>5</v>
      </c>
      <c r="N348" s="23"/>
      <c r="O348" s="23"/>
      <c r="P348" s="23"/>
      <c r="Q348" s="23"/>
      <c r="R348" s="23">
        <v>5</v>
      </c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10</v>
      </c>
      <c r="AL348" s="23"/>
      <c r="AM348" s="23"/>
      <c r="AN348" s="23"/>
      <c r="AO348" s="23"/>
      <c r="AP348" s="23">
        <v>5</v>
      </c>
      <c r="AQ348" s="23"/>
      <c r="AR348" s="23"/>
      <c r="AS348" s="23">
        <v>5</v>
      </c>
      <c r="AT348" s="23"/>
      <c r="AU348" s="14" t="str">
        <f>HYPERLINK("http://www.openstreetmap.org/?mlat=32.7525&amp;mlon=44.5688&amp;zoom=12#map=12/32.7525/44.5688","Maplink1")</f>
        <v>Maplink1</v>
      </c>
      <c r="AV348" s="14" t="str">
        <f>HYPERLINK("https://www.google.iq/maps/search/+32.7525,44.5688/@32.7525,44.5688,14z?hl=en","Maplink2")</f>
        <v>Maplink2</v>
      </c>
      <c r="AW348" s="14" t="str">
        <f>HYPERLINK("http://www.bing.com/maps/?lvl=14&amp;sty=h&amp;cp=32.7525~44.5688&amp;sp=point.32.7525_44.5688_Jabla-Hay Al Hurriya","Maplink3")</f>
        <v>Maplink3</v>
      </c>
    </row>
    <row r="349" spans="1:49" ht="15" customHeight="1" x14ac:dyDescent="0.25">
      <c r="A349" s="21">
        <v>24521</v>
      </c>
      <c r="B349" s="22" t="s">
        <v>10</v>
      </c>
      <c r="C349" s="22" t="s">
        <v>799</v>
      </c>
      <c r="D349" s="22" t="s">
        <v>903</v>
      </c>
      <c r="E349" s="22" t="s">
        <v>7568</v>
      </c>
      <c r="F349" s="22">
        <v>32.750967000000003</v>
      </c>
      <c r="G349" s="22">
        <v>44.597793000000003</v>
      </c>
      <c r="H349" s="21" t="s">
        <v>802</v>
      </c>
      <c r="I349" s="21" t="s">
        <v>803</v>
      </c>
      <c r="J349" s="21"/>
      <c r="K349" s="24">
        <v>15</v>
      </c>
      <c r="L349" s="24">
        <v>90</v>
      </c>
      <c r="M349" s="23">
        <v>5</v>
      </c>
      <c r="N349" s="23"/>
      <c r="O349" s="23"/>
      <c r="P349" s="23"/>
      <c r="Q349" s="23"/>
      <c r="R349" s="23"/>
      <c r="S349" s="23"/>
      <c r="T349" s="23"/>
      <c r="U349" s="23">
        <v>1</v>
      </c>
      <c r="V349" s="23"/>
      <c r="W349" s="23"/>
      <c r="X349" s="23"/>
      <c r="Y349" s="23">
        <v>9</v>
      </c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15</v>
      </c>
      <c r="AL349" s="23"/>
      <c r="AM349" s="23"/>
      <c r="AN349" s="23"/>
      <c r="AO349" s="23"/>
      <c r="AP349" s="23">
        <v>10</v>
      </c>
      <c r="AQ349" s="23"/>
      <c r="AR349" s="23">
        <v>5</v>
      </c>
      <c r="AS349" s="23"/>
      <c r="AT349" s="23"/>
      <c r="AU349" s="14" t="str">
        <f>HYPERLINK("http://www.openstreetmap.org/?mlat=32.751&amp;mlon=44.5978&amp;zoom=12#map=12/32.751/44.5978","Maplink1")</f>
        <v>Maplink1</v>
      </c>
      <c r="AV349" s="14" t="str">
        <f>HYPERLINK("https://www.google.iq/maps/search/+32.751,44.5978/@32.751,44.5978,14z?hl=en","Maplink2")</f>
        <v>Maplink2</v>
      </c>
      <c r="AW349" s="14" t="str">
        <f>HYPERLINK("http://www.bing.com/maps/?lvl=14&amp;sty=h&amp;cp=32.751~44.5978&amp;sp=point.32.751_44.5978_jabla-Hay Rhaema","Maplink3")</f>
        <v>Maplink3</v>
      </c>
    </row>
    <row r="350" spans="1:49" ht="15" customHeight="1" x14ac:dyDescent="0.25">
      <c r="A350" s="21">
        <v>24542</v>
      </c>
      <c r="B350" s="22" t="s">
        <v>10</v>
      </c>
      <c r="C350" s="22" t="s">
        <v>799</v>
      </c>
      <c r="D350" s="22" t="s">
        <v>904</v>
      </c>
      <c r="E350" s="22" t="s">
        <v>905</v>
      </c>
      <c r="F350" s="22">
        <v>32.66263</v>
      </c>
      <c r="G350" s="22">
        <v>44.454399000000002</v>
      </c>
      <c r="H350" s="21" t="s">
        <v>802</v>
      </c>
      <c r="I350" s="21" t="s">
        <v>803</v>
      </c>
      <c r="J350" s="21"/>
      <c r="K350" s="24">
        <v>1</v>
      </c>
      <c r="L350" s="24">
        <v>6</v>
      </c>
      <c r="M350" s="23">
        <v>1</v>
      </c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>
        <v>1</v>
      </c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>
        <v>1</v>
      </c>
      <c r="AS350" s="23"/>
      <c r="AT350" s="23"/>
      <c r="AU350" s="14" t="str">
        <f>HYPERLINK("http://www.openstreetmap.org/?mlat=32.6626&amp;mlon=44.4544&amp;zoom=12#map=12/32.6626/44.4544","Maplink1")</f>
        <v>Maplink1</v>
      </c>
      <c r="AV350" s="14" t="str">
        <f>HYPERLINK("https://www.google.iq/maps/search/+32.6626,44.4544/@32.6626,44.4544,14z?hl=en","Maplink2")</f>
        <v>Maplink2</v>
      </c>
      <c r="AW350" s="14" t="str">
        <f>HYPERLINK("http://www.bing.com/maps/?lvl=14&amp;sty=h&amp;cp=32.6626~44.4544&amp;sp=point.32.6626_44.4544_khafaja village","Maplink3")</f>
        <v>Maplink3</v>
      </c>
    </row>
    <row r="351" spans="1:49" ht="15" customHeight="1" x14ac:dyDescent="0.25">
      <c r="A351" s="21">
        <v>24434</v>
      </c>
      <c r="B351" s="22" t="s">
        <v>10</v>
      </c>
      <c r="C351" s="22" t="s">
        <v>799</v>
      </c>
      <c r="D351" s="22" t="s">
        <v>7569</v>
      </c>
      <c r="E351" s="22" t="s">
        <v>7570</v>
      </c>
      <c r="F351" s="22">
        <v>32.544811000000003</v>
      </c>
      <c r="G351" s="22">
        <v>44.500360999999998</v>
      </c>
      <c r="H351" s="21" t="s">
        <v>802</v>
      </c>
      <c r="I351" s="21" t="s">
        <v>803</v>
      </c>
      <c r="J351" s="21"/>
      <c r="K351" s="24">
        <v>7</v>
      </c>
      <c r="L351" s="24">
        <v>42</v>
      </c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>
        <v>7</v>
      </c>
      <c r="Z351" s="23"/>
      <c r="AA351" s="23"/>
      <c r="AB351" s="23"/>
      <c r="AC351" s="23"/>
      <c r="AD351" s="23"/>
      <c r="AE351" s="23"/>
      <c r="AF351" s="23">
        <v>7</v>
      </c>
      <c r="AG351" s="23"/>
      <c r="AH351" s="23"/>
      <c r="AI351" s="23"/>
      <c r="AJ351" s="23"/>
      <c r="AK351" s="23"/>
      <c r="AL351" s="23"/>
      <c r="AM351" s="23"/>
      <c r="AN351" s="23"/>
      <c r="AO351" s="23"/>
      <c r="AP351" s="23">
        <v>7</v>
      </c>
      <c r="AQ351" s="23"/>
      <c r="AR351" s="23"/>
      <c r="AS351" s="23"/>
      <c r="AT351" s="23"/>
      <c r="AU351" s="14" t="str">
        <f>HYPERLINK("http://www.openstreetmap.org/?mlat=32.5448&amp;mlon=44.5004&amp;zoom=12#map=12/32.5448/44.5004","Maplink1")</f>
        <v>Maplink1</v>
      </c>
      <c r="AV351" s="14" t="str">
        <f>HYPERLINK("https://www.google.iq/maps/search/+32.5448,44.5004/@32.5448,44.5004,14z?hl=en","Maplink2")</f>
        <v>Maplink2</v>
      </c>
      <c r="AW351" s="14" t="str">
        <f>HYPERLINK("http://www.bing.com/maps/?lvl=14&amp;sty=h&amp;cp=32.5448~44.5004&amp;sp=point.32.5448_44.5004_khalf alsharkhy village-Al Neel","Maplink3")</f>
        <v>Maplink3</v>
      </c>
    </row>
    <row r="352" spans="1:49" ht="15" customHeight="1" x14ac:dyDescent="0.25">
      <c r="A352" s="21">
        <v>21770</v>
      </c>
      <c r="B352" s="22" t="s">
        <v>10</v>
      </c>
      <c r="C352" s="22" t="s">
        <v>799</v>
      </c>
      <c r="D352" s="22" t="s">
        <v>906</v>
      </c>
      <c r="E352" s="22" t="s">
        <v>907</v>
      </c>
      <c r="F352" s="22">
        <v>32.647621999999998</v>
      </c>
      <c r="G352" s="22">
        <v>44.396824000000002</v>
      </c>
      <c r="H352" s="21" t="s">
        <v>802</v>
      </c>
      <c r="I352" s="21" t="s">
        <v>803</v>
      </c>
      <c r="J352" s="21" t="s">
        <v>908</v>
      </c>
      <c r="K352" s="24">
        <v>2</v>
      </c>
      <c r="L352" s="24">
        <v>12</v>
      </c>
      <c r="M352" s="23">
        <v>2</v>
      </c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2</v>
      </c>
      <c r="AL352" s="23"/>
      <c r="AM352" s="23"/>
      <c r="AN352" s="23"/>
      <c r="AO352" s="23"/>
      <c r="AP352" s="23"/>
      <c r="AQ352" s="23"/>
      <c r="AR352" s="23">
        <v>2</v>
      </c>
      <c r="AS352" s="23"/>
      <c r="AT352" s="23"/>
      <c r="AU352" s="14" t="str">
        <f>HYPERLINK("http://www.openstreetmap.org/?mlat=32.6476&amp;mlon=44.3968&amp;zoom=12#map=12/32.6476/44.3968","Maplink1")</f>
        <v>Maplink1</v>
      </c>
      <c r="AV352" s="14" t="str">
        <f>HYPERLINK("https://www.google.iq/maps/search/+32.6476,44.3968/@32.6476,44.3968,14z?hl=en","Maplink2")</f>
        <v>Maplink2</v>
      </c>
      <c r="AW352" s="14" t="str">
        <f>HYPERLINK("http://www.bing.com/maps/?lvl=14&amp;sty=h&amp;cp=32.6476~44.3968&amp;sp=point.32.6476_44.3968_Khinfara","Maplink3")</f>
        <v>Maplink3</v>
      </c>
    </row>
    <row r="353" spans="1:49" ht="15" customHeight="1" x14ac:dyDescent="0.25">
      <c r="A353" s="21">
        <v>24543</v>
      </c>
      <c r="B353" s="22" t="s">
        <v>10</v>
      </c>
      <c r="C353" s="22" t="s">
        <v>799</v>
      </c>
      <c r="D353" s="22" t="s">
        <v>909</v>
      </c>
      <c r="E353" s="22" t="s">
        <v>910</v>
      </c>
      <c r="F353" s="22">
        <v>32.555514000000002</v>
      </c>
      <c r="G353" s="22">
        <v>44.561712</v>
      </c>
      <c r="H353" s="21" t="s">
        <v>802</v>
      </c>
      <c r="I353" s="21" t="s">
        <v>803</v>
      </c>
      <c r="J353" s="21"/>
      <c r="K353" s="24">
        <v>9</v>
      </c>
      <c r="L353" s="24">
        <v>54</v>
      </c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>
        <v>9</v>
      </c>
      <c r="Z353" s="23"/>
      <c r="AA353" s="23"/>
      <c r="AB353" s="23"/>
      <c r="AC353" s="23"/>
      <c r="AD353" s="23"/>
      <c r="AE353" s="23"/>
      <c r="AF353" s="23">
        <v>9</v>
      </c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>
        <v>9</v>
      </c>
      <c r="AR353" s="23"/>
      <c r="AS353" s="23"/>
      <c r="AT353" s="23"/>
      <c r="AU353" s="14" t="str">
        <f>HYPERLINK("http://www.openstreetmap.org/?mlat=32.5555&amp;mlon=44.5617&amp;zoom=12#map=12/32.5555/44.5617","Maplink1")</f>
        <v>Maplink1</v>
      </c>
      <c r="AV353" s="14" t="str">
        <f>HYPERLINK("https://www.google.iq/maps/search/+32.5555,44.5617/@32.5555,44.5617,14z?hl=en","Maplink2")</f>
        <v>Maplink2</v>
      </c>
      <c r="AW353" s="14" t="str">
        <f>HYPERLINK("http://www.bing.com/maps/?lvl=14&amp;sty=h&amp;cp=32.5555~44.5617&amp;sp=point.32.5555_44.5617_Maghear Village-Al Neel","Maplink3")</f>
        <v>Maplink3</v>
      </c>
    </row>
    <row r="354" spans="1:49" ht="15" customHeight="1" x14ac:dyDescent="0.25">
      <c r="A354" s="21">
        <v>23939</v>
      </c>
      <c r="B354" s="22" t="s">
        <v>10</v>
      </c>
      <c r="C354" s="22" t="s">
        <v>799</v>
      </c>
      <c r="D354" s="22" t="s">
        <v>911</v>
      </c>
      <c r="E354" s="22" t="s">
        <v>912</v>
      </c>
      <c r="F354" s="22">
        <v>32.698</v>
      </c>
      <c r="G354" s="22">
        <v>44.677999999999997</v>
      </c>
      <c r="H354" s="21" t="s">
        <v>802</v>
      </c>
      <c r="I354" s="21" t="s">
        <v>803</v>
      </c>
      <c r="J354" s="21" t="s">
        <v>913</v>
      </c>
      <c r="K354" s="24">
        <v>5</v>
      </c>
      <c r="L354" s="24">
        <v>30</v>
      </c>
      <c r="M354" s="23">
        <v>5</v>
      </c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5</v>
      </c>
      <c r="AL354" s="23"/>
      <c r="AM354" s="23"/>
      <c r="AN354" s="23"/>
      <c r="AO354" s="23">
        <v>3</v>
      </c>
      <c r="AP354" s="23"/>
      <c r="AQ354" s="23"/>
      <c r="AR354" s="23"/>
      <c r="AS354" s="23">
        <v>2</v>
      </c>
      <c r="AT354" s="23"/>
      <c r="AU354" s="14" t="str">
        <f>HYPERLINK("http://www.openstreetmap.org/?mlat=32.698&amp;mlon=44.678&amp;zoom=12#map=12/32.698/44.678","Maplink1")</f>
        <v>Maplink1</v>
      </c>
      <c r="AV354" s="14" t="str">
        <f>HYPERLINK("https://www.google.iq/maps/search/+32.698,44.678/@32.698,44.678,14z?hl=en","Maplink2")</f>
        <v>Maplink2</v>
      </c>
      <c r="AW354" s="14" t="str">
        <f>HYPERLINK("http://www.bing.com/maps/?lvl=14&amp;sty=h&amp;cp=32.698~44.678&amp;sp=point.32.698_44.678_Qalat Al Naeb","Maplink3")</f>
        <v>Maplink3</v>
      </c>
    </row>
    <row r="355" spans="1:49" ht="15" customHeight="1" x14ac:dyDescent="0.25">
      <c r="A355" s="21">
        <v>22527</v>
      </c>
      <c r="B355" s="22" t="s">
        <v>10</v>
      </c>
      <c r="C355" s="22" t="s">
        <v>799</v>
      </c>
      <c r="D355" s="22" t="s">
        <v>914</v>
      </c>
      <c r="E355" s="22" t="s">
        <v>915</v>
      </c>
      <c r="F355" s="22">
        <v>32.762070000000001</v>
      </c>
      <c r="G355" s="22">
        <v>44.54063</v>
      </c>
      <c r="H355" s="21" t="s">
        <v>802</v>
      </c>
      <c r="I355" s="21" t="s">
        <v>803</v>
      </c>
      <c r="J355" s="21" t="s">
        <v>916</v>
      </c>
      <c r="K355" s="24">
        <v>2</v>
      </c>
      <c r="L355" s="24">
        <v>12</v>
      </c>
      <c r="M355" s="23"/>
      <c r="N355" s="23"/>
      <c r="O355" s="23">
        <v>2</v>
      </c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2</v>
      </c>
      <c r="AL355" s="23"/>
      <c r="AM355" s="23"/>
      <c r="AN355" s="23"/>
      <c r="AO355" s="23"/>
      <c r="AP355" s="23"/>
      <c r="AQ355" s="23"/>
      <c r="AR355" s="23">
        <v>2</v>
      </c>
      <c r="AS355" s="23"/>
      <c r="AT355" s="23"/>
      <c r="AU355" s="14" t="str">
        <f>HYPERLINK("http://www.openstreetmap.org/?mlat=32.7621&amp;mlon=44.5406&amp;zoom=12#map=12/32.7621/44.5406","Maplink1")</f>
        <v>Maplink1</v>
      </c>
      <c r="AV355" s="14" t="str">
        <f>HYPERLINK("https://www.google.iq/maps/search/+32.7621,44.5406/@32.7621,44.5406,14z?hl=en","Maplink2")</f>
        <v>Maplink2</v>
      </c>
      <c r="AW355" s="14" t="str">
        <f>HYPERLINK("http://www.bing.com/maps/?lvl=14&amp;sty=h&amp;cp=32.7621~44.5406&amp;sp=point.32.7621_44.5406_Qaryat Al Haidery","Maplink3")</f>
        <v>Maplink3</v>
      </c>
    </row>
    <row r="356" spans="1:49" ht="15" customHeight="1" x14ac:dyDescent="0.25">
      <c r="A356" s="21">
        <v>6459</v>
      </c>
      <c r="B356" s="22" t="s">
        <v>10</v>
      </c>
      <c r="C356" s="22" t="s">
        <v>799</v>
      </c>
      <c r="D356" s="22" t="s">
        <v>917</v>
      </c>
      <c r="E356" s="22" t="s">
        <v>7571</v>
      </c>
      <c r="F356" s="22">
        <v>32.65</v>
      </c>
      <c r="G356" s="22">
        <v>44.47</v>
      </c>
      <c r="H356" s="21" t="s">
        <v>802</v>
      </c>
      <c r="I356" s="21" t="s">
        <v>803</v>
      </c>
      <c r="J356" s="21" t="s">
        <v>918</v>
      </c>
      <c r="K356" s="24">
        <v>5</v>
      </c>
      <c r="L356" s="24">
        <v>30</v>
      </c>
      <c r="M356" s="23">
        <v>5</v>
      </c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5</v>
      </c>
      <c r="AL356" s="23"/>
      <c r="AM356" s="23"/>
      <c r="AN356" s="23"/>
      <c r="AO356" s="23"/>
      <c r="AP356" s="23"/>
      <c r="AQ356" s="23"/>
      <c r="AR356" s="23"/>
      <c r="AS356" s="23">
        <v>5</v>
      </c>
      <c r="AT356" s="23"/>
      <c r="AU356" s="14" t="str">
        <f>HYPERLINK("http://www.openstreetmap.org/?mlat=32.65&amp;mlon=44.47&amp;zoom=12#map=12/32.65/44.47","Maplink1")</f>
        <v>Maplink1</v>
      </c>
      <c r="AV356" s="14" t="str">
        <f>HYPERLINK("https://www.google.iq/maps/search/+32.65,44.47/@32.65,44.47,14z?hl=en","Maplink2")</f>
        <v>Maplink2</v>
      </c>
      <c r="AW356" s="14" t="str">
        <f>HYPERLINK("http://www.bing.com/maps/?lvl=14&amp;sty=h&amp;cp=32.65~44.47&amp;sp=point.32.65_44.47_Sabbaghiyah","Maplink3")</f>
        <v>Maplink3</v>
      </c>
    </row>
    <row r="357" spans="1:49" ht="15" customHeight="1" x14ac:dyDescent="0.25">
      <c r="A357" s="21">
        <v>24518</v>
      </c>
      <c r="B357" s="22" t="s">
        <v>10</v>
      </c>
      <c r="C357" s="22" t="s">
        <v>799</v>
      </c>
      <c r="D357" s="22" t="s">
        <v>919</v>
      </c>
      <c r="E357" s="22" t="s">
        <v>920</v>
      </c>
      <c r="F357" s="22">
        <v>32.546790000000001</v>
      </c>
      <c r="G357" s="22">
        <v>44.771313999999997</v>
      </c>
      <c r="H357" s="21" t="s">
        <v>802</v>
      </c>
      <c r="I357" s="21" t="s">
        <v>803</v>
      </c>
      <c r="J357" s="21"/>
      <c r="K357" s="24">
        <v>10</v>
      </c>
      <c r="L357" s="24">
        <v>60</v>
      </c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>
        <v>10</v>
      </c>
      <c r="Z357" s="23"/>
      <c r="AA357" s="23"/>
      <c r="AB357" s="23"/>
      <c r="AC357" s="23"/>
      <c r="AD357" s="23"/>
      <c r="AE357" s="23"/>
      <c r="AF357" s="23">
        <v>6</v>
      </c>
      <c r="AG357" s="23"/>
      <c r="AH357" s="23"/>
      <c r="AI357" s="23"/>
      <c r="AJ357" s="23"/>
      <c r="AK357" s="23"/>
      <c r="AL357" s="23">
        <v>4</v>
      </c>
      <c r="AM357" s="23"/>
      <c r="AN357" s="23"/>
      <c r="AO357" s="23"/>
      <c r="AP357" s="23">
        <v>10</v>
      </c>
      <c r="AQ357" s="23"/>
      <c r="AR357" s="23"/>
      <c r="AS357" s="23"/>
      <c r="AT357" s="23"/>
      <c r="AU357" s="14" t="str">
        <f>HYPERLINK("http://www.openstreetmap.org/?mlat=32.5468&amp;mlon=44.7713&amp;zoom=12#map=12/32.5468/44.7713","Maplink1")</f>
        <v>Maplink1</v>
      </c>
      <c r="AV357" s="14" t="str">
        <f>HYPERLINK("https://www.google.iq/maps/search/+32.5468,44.7713/@32.5468,44.7713,14z?hl=en","Maplink2")</f>
        <v>Maplink2</v>
      </c>
      <c r="AW357" s="14" t="str">
        <f>HYPERLINK("http://www.bing.com/maps/?lvl=14&amp;sty=h&amp;cp=32.5468~44.7713&amp;sp=point.32.5468_44.7713_Sreadib","Maplink3")</f>
        <v>Maplink3</v>
      </c>
    </row>
    <row r="358" spans="1:49" ht="15" customHeight="1" x14ac:dyDescent="0.25">
      <c r="A358" s="21">
        <v>7128</v>
      </c>
      <c r="B358" s="22" t="s">
        <v>10</v>
      </c>
      <c r="C358" s="22" t="s">
        <v>921</v>
      </c>
      <c r="D358" s="22" t="s">
        <v>922</v>
      </c>
      <c r="E358" s="22" t="s">
        <v>923</v>
      </c>
      <c r="F358" s="22">
        <v>32.891981000000001</v>
      </c>
      <c r="G358" s="22">
        <v>44.333626000000002</v>
      </c>
      <c r="H358" s="21" t="s">
        <v>802</v>
      </c>
      <c r="I358" s="21" t="s">
        <v>924</v>
      </c>
      <c r="J358" s="21" t="s">
        <v>925</v>
      </c>
      <c r="K358" s="24">
        <v>168</v>
      </c>
      <c r="L358" s="24">
        <v>1008</v>
      </c>
      <c r="M358" s="23">
        <v>3</v>
      </c>
      <c r="N358" s="23">
        <v>150</v>
      </c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>
        <v>15</v>
      </c>
      <c r="Z358" s="23"/>
      <c r="AA358" s="23"/>
      <c r="AB358" s="23"/>
      <c r="AC358" s="23"/>
      <c r="AD358" s="23"/>
      <c r="AE358" s="23"/>
      <c r="AF358" s="23">
        <v>50</v>
      </c>
      <c r="AG358" s="23"/>
      <c r="AH358" s="23"/>
      <c r="AI358" s="23"/>
      <c r="AJ358" s="23"/>
      <c r="AK358" s="23">
        <v>118</v>
      </c>
      <c r="AL358" s="23"/>
      <c r="AM358" s="23"/>
      <c r="AN358" s="23"/>
      <c r="AO358" s="23"/>
      <c r="AP358" s="23">
        <v>85</v>
      </c>
      <c r="AQ358" s="23"/>
      <c r="AR358" s="23">
        <v>83</v>
      </c>
      <c r="AS358" s="23"/>
      <c r="AT358" s="23"/>
      <c r="AU358" s="14" t="str">
        <f>HYPERLINK("http://www.openstreetmap.org/?mlat=32.892&amp;mlon=44.3336&amp;zoom=12#map=12/32.892/44.3336","Maplink1")</f>
        <v>Maplink1</v>
      </c>
      <c r="AV358" s="14" t="str">
        <f>HYPERLINK("https://www.google.iq/maps/search/+32.892,44.3336/@32.892,44.3336,14z?hl=en","Maplink2")</f>
        <v>Maplink2</v>
      </c>
      <c r="AW358" s="14" t="str">
        <f>HYPERLINK("http://www.bing.com/maps/?lvl=14&amp;sty=h&amp;cp=32.892~44.3336&amp;sp=point.32.892_44.3336_Abo Luka","Maplink3")</f>
        <v>Maplink3</v>
      </c>
    </row>
    <row r="359" spans="1:49" ht="15" customHeight="1" x14ac:dyDescent="0.25">
      <c r="A359" s="21">
        <v>24957</v>
      </c>
      <c r="B359" s="22" t="s">
        <v>10</v>
      </c>
      <c r="C359" s="22" t="s">
        <v>921</v>
      </c>
      <c r="D359" s="22" t="s">
        <v>926</v>
      </c>
      <c r="E359" s="22" t="s">
        <v>927</v>
      </c>
      <c r="F359" s="22">
        <v>32.819397000000002</v>
      </c>
      <c r="G359" s="22">
        <v>44.230249000000001</v>
      </c>
      <c r="H359" s="21" t="s">
        <v>802</v>
      </c>
      <c r="I359" s="21" t="s">
        <v>924</v>
      </c>
      <c r="J359" s="21"/>
      <c r="K359" s="24">
        <v>51</v>
      </c>
      <c r="L359" s="24">
        <v>306</v>
      </c>
      <c r="M359" s="23"/>
      <c r="N359" s="23">
        <v>51</v>
      </c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51</v>
      </c>
      <c r="AL359" s="23"/>
      <c r="AM359" s="23"/>
      <c r="AN359" s="23"/>
      <c r="AO359" s="23"/>
      <c r="AP359" s="23">
        <v>39</v>
      </c>
      <c r="AQ359" s="23">
        <v>12</v>
      </c>
      <c r="AR359" s="23"/>
      <c r="AS359" s="23"/>
      <c r="AT359" s="23"/>
      <c r="AU359" s="14" t="str">
        <f>HYPERLINK("http://www.openstreetmap.org/?mlat=32.8194&amp;mlon=44.2302&amp;zoom=12#map=12/32.8194/44.2302","Maplink1")</f>
        <v>Maplink1</v>
      </c>
      <c r="AV359" s="14" t="str">
        <f>HYPERLINK("https://www.google.iq/maps/search/+32.8194,44.2302/@32.8194,44.2302,14z?hl=en","Maplink2")</f>
        <v>Maplink2</v>
      </c>
      <c r="AW359" s="14" t="str">
        <f>HYPERLINK("http://www.bing.com/maps/?lvl=14&amp;sty=h&amp;cp=32.8194~44.2302&amp;sp=point.32.8194_44.2302_Al Abtan","Maplink3")</f>
        <v>Maplink3</v>
      </c>
    </row>
    <row r="360" spans="1:49" ht="15" customHeight="1" x14ac:dyDescent="0.25">
      <c r="A360" s="21">
        <v>24958</v>
      </c>
      <c r="B360" s="22" t="s">
        <v>10</v>
      </c>
      <c r="C360" s="22" t="s">
        <v>921</v>
      </c>
      <c r="D360" s="22" t="s">
        <v>928</v>
      </c>
      <c r="E360" s="22" t="s">
        <v>929</v>
      </c>
      <c r="F360" s="22">
        <v>32.761276000000002</v>
      </c>
      <c r="G360" s="22">
        <v>44.282691999999997</v>
      </c>
      <c r="H360" s="21" t="s">
        <v>802</v>
      </c>
      <c r="I360" s="21" t="s">
        <v>924</v>
      </c>
      <c r="J360" s="21"/>
      <c r="K360" s="24">
        <v>1</v>
      </c>
      <c r="L360" s="24">
        <v>6</v>
      </c>
      <c r="M360" s="23"/>
      <c r="N360" s="23">
        <v>1</v>
      </c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1</v>
      </c>
      <c r="AL360" s="23"/>
      <c r="AM360" s="23"/>
      <c r="AN360" s="23"/>
      <c r="AO360" s="23"/>
      <c r="AP360" s="23">
        <v>1</v>
      </c>
      <c r="AQ360" s="23"/>
      <c r="AR360" s="23"/>
      <c r="AS360" s="23"/>
      <c r="AT360" s="23"/>
      <c r="AU360" s="14" t="str">
        <f>HYPERLINK("http://www.openstreetmap.org/?mlat=32.7613&amp;mlon=44.2827&amp;zoom=12#map=12/32.7613/44.2827","Maplink1")</f>
        <v>Maplink1</v>
      </c>
      <c r="AV360" s="14" t="str">
        <f>HYPERLINK("https://www.google.iq/maps/search/+32.7613,44.2827/@32.7613,44.2827,14z?hl=en","Maplink2")</f>
        <v>Maplink2</v>
      </c>
      <c r="AW360" s="14" t="str">
        <f>HYPERLINK("http://www.bing.com/maps/?lvl=14&amp;sty=h&amp;cp=32.7613~44.2827&amp;sp=point.32.7613_44.2827_Al Doob","Maplink3")</f>
        <v>Maplink3</v>
      </c>
    </row>
    <row r="361" spans="1:49" ht="15" customHeight="1" x14ac:dyDescent="0.25">
      <c r="A361" s="21">
        <v>28454</v>
      </c>
      <c r="B361" s="22" t="s">
        <v>10</v>
      </c>
      <c r="C361" s="22" t="s">
        <v>921</v>
      </c>
      <c r="D361" s="22" t="s">
        <v>930</v>
      </c>
      <c r="E361" s="22" t="s">
        <v>931</v>
      </c>
      <c r="F361" s="22">
        <v>32.793928999999999</v>
      </c>
      <c r="G361" s="22">
        <v>44.298088999999997</v>
      </c>
      <c r="H361" s="21" t="s">
        <v>802</v>
      </c>
      <c r="I361" s="21" t="s">
        <v>924</v>
      </c>
      <c r="J361" s="21"/>
      <c r="K361" s="24">
        <v>20</v>
      </c>
      <c r="L361" s="24">
        <v>120</v>
      </c>
      <c r="M361" s="23"/>
      <c r="N361" s="23">
        <v>11</v>
      </c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>
        <v>9</v>
      </c>
      <c r="Z361" s="23"/>
      <c r="AA361" s="23"/>
      <c r="AB361" s="23"/>
      <c r="AC361" s="23"/>
      <c r="AD361" s="23"/>
      <c r="AE361" s="23"/>
      <c r="AF361" s="23">
        <v>20</v>
      </c>
      <c r="AG361" s="23"/>
      <c r="AH361" s="23"/>
      <c r="AI361" s="23"/>
      <c r="AJ361" s="23"/>
      <c r="AK361" s="23"/>
      <c r="AL361" s="23"/>
      <c r="AM361" s="23"/>
      <c r="AN361" s="23"/>
      <c r="AO361" s="23"/>
      <c r="AP361" s="23">
        <v>9</v>
      </c>
      <c r="AQ361" s="23">
        <v>11</v>
      </c>
      <c r="AR361" s="23"/>
      <c r="AS361" s="23"/>
      <c r="AT361" s="23"/>
      <c r="AU361" s="14" t="str">
        <f>HYPERLINK("http://www.openstreetmap.org/?mlat=32.7939&amp;mlon=44.2981&amp;zoom=12#map=12/32.7939/44.2981","Maplink1")</f>
        <v>Maplink1</v>
      </c>
      <c r="AV361" s="14" t="str">
        <f>HYPERLINK("https://www.google.iq/maps/search/+32.7939,44.2981/@32.7939,44.2981,14z?hl=en","Maplink2")</f>
        <v>Maplink2</v>
      </c>
      <c r="AW361" s="14" t="str">
        <f>HYPERLINK("http://www.bing.com/maps/?lvl=14&amp;sty=h&amp;cp=32.7939~44.2981&amp;sp=point.32.7939_44.2981_Al Angaa","Maplink3")</f>
        <v>Maplink3</v>
      </c>
    </row>
    <row r="362" spans="1:49" ht="15" customHeight="1" x14ac:dyDescent="0.25">
      <c r="A362" s="21">
        <v>24168</v>
      </c>
      <c r="B362" s="22" t="s">
        <v>10</v>
      </c>
      <c r="C362" s="22" t="s">
        <v>921</v>
      </c>
      <c r="D362" s="22" t="s">
        <v>932</v>
      </c>
      <c r="E362" s="22" t="s">
        <v>933</v>
      </c>
      <c r="F362" s="22">
        <v>32.786144999999998</v>
      </c>
      <c r="G362" s="22">
        <v>44.265855000000002</v>
      </c>
      <c r="H362" s="21" t="s">
        <v>802</v>
      </c>
      <c r="I362" s="21" t="s">
        <v>924</v>
      </c>
      <c r="J362" s="21" t="s">
        <v>934</v>
      </c>
      <c r="K362" s="24">
        <v>78</v>
      </c>
      <c r="L362" s="24">
        <v>468</v>
      </c>
      <c r="M362" s="23"/>
      <c r="N362" s="23">
        <v>78</v>
      </c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78</v>
      </c>
      <c r="AL362" s="23"/>
      <c r="AM362" s="23"/>
      <c r="AN362" s="23"/>
      <c r="AO362" s="23"/>
      <c r="AP362" s="23">
        <v>78</v>
      </c>
      <c r="AQ362" s="23"/>
      <c r="AR362" s="23"/>
      <c r="AS362" s="23"/>
      <c r="AT362" s="23"/>
      <c r="AU362" s="14" t="str">
        <f>HYPERLINK("http://www.openstreetmap.org/?mlat=32.7861&amp;mlon=44.2659&amp;zoom=12#map=12/32.7861/44.2659","Maplink1")</f>
        <v>Maplink1</v>
      </c>
      <c r="AV362" s="14" t="str">
        <f>HYPERLINK("https://www.google.iq/maps/search/+32.7861,44.2659/@32.7861,44.2659,14z?hl=en","Maplink2")</f>
        <v>Maplink2</v>
      </c>
      <c r="AW362" s="14" t="str">
        <f>HYPERLINK("http://www.bing.com/maps/?lvl=14&amp;sty=h&amp;cp=32.7861~44.2659&amp;sp=point.32.7861_44.2659_Al Ghadeer 2","Maplink3")</f>
        <v>Maplink3</v>
      </c>
    </row>
    <row r="363" spans="1:49" ht="15" customHeight="1" x14ac:dyDescent="0.25">
      <c r="A363" s="21">
        <v>24164</v>
      </c>
      <c r="B363" s="22" t="s">
        <v>10</v>
      </c>
      <c r="C363" s="22" t="s">
        <v>921</v>
      </c>
      <c r="D363" s="22" t="s">
        <v>935</v>
      </c>
      <c r="E363" s="22" t="s">
        <v>7572</v>
      </c>
      <c r="F363" s="22">
        <v>32.819913</v>
      </c>
      <c r="G363" s="22">
        <v>44.220022</v>
      </c>
      <c r="H363" s="21" t="s">
        <v>802</v>
      </c>
      <c r="I363" s="21" t="s">
        <v>924</v>
      </c>
      <c r="J363" s="21" t="s">
        <v>936</v>
      </c>
      <c r="K363" s="24">
        <v>75</v>
      </c>
      <c r="L363" s="24">
        <v>450</v>
      </c>
      <c r="M363" s="23"/>
      <c r="N363" s="23">
        <v>75</v>
      </c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75</v>
      </c>
      <c r="AL363" s="23"/>
      <c r="AM363" s="23"/>
      <c r="AN363" s="23"/>
      <c r="AO363" s="23"/>
      <c r="AP363" s="23">
        <v>75</v>
      </c>
      <c r="AQ363" s="23"/>
      <c r="AR363" s="23"/>
      <c r="AS363" s="23"/>
      <c r="AT363" s="23"/>
      <c r="AU363" s="14" t="str">
        <f>HYPERLINK("http://www.openstreetmap.org/?mlat=32.8199&amp;mlon=44.22&amp;zoom=12#map=12/32.8199/44.22","Maplink1")</f>
        <v>Maplink1</v>
      </c>
      <c r="AV363" s="14" t="str">
        <f>HYPERLINK("https://www.google.iq/maps/search/+32.8199,44.22/@32.8199,44.22,14z?hl=en","Maplink2")</f>
        <v>Maplink2</v>
      </c>
      <c r="AW363" s="14" t="str">
        <f>HYPERLINK("http://www.bing.com/maps/?lvl=14&amp;sty=h&amp;cp=32.8199~44.22&amp;sp=point.32.8199_44.22_Al Hamiyah Al Amer Village","Maplink3")</f>
        <v>Maplink3</v>
      </c>
    </row>
    <row r="364" spans="1:49" ht="15" customHeight="1" x14ac:dyDescent="0.25">
      <c r="A364" s="21">
        <v>26117</v>
      </c>
      <c r="B364" s="22" t="s">
        <v>10</v>
      </c>
      <c r="C364" s="22" t="s">
        <v>921</v>
      </c>
      <c r="D364" s="22" t="s">
        <v>7394</v>
      </c>
      <c r="E364" s="22" t="s">
        <v>7573</v>
      </c>
      <c r="F364" s="22">
        <v>32.800843999999998</v>
      </c>
      <c r="G364" s="22">
        <v>44.269770999999999</v>
      </c>
      <c r="H364" s="21" t="s">
        <v>802</v>
      </c>
      <c r="I364" s="21" t="s">
        <v>924</v>
      </c>
      <c r="J364" s="21"/>
      <c r="K364" s="24">
        <v>59</v>
      </c>
      <c r="L364" s="24">
        <v>354</v>
      </c>
      <c r="M364" s="23"/>
      <c r="N364" s="23">
        <v>59</v>
      </c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59</v>
      </c>
      <c r="AL364" s="23"/>
      <c r="AM364" s="23"/>
      <c r="AN364" s="23"/>
      <c r="AO364" s="23"/>
      <c r="AP364" s="23">
        <v>59</v>
      </c>
      <c r="AQ364" s="23"/>
      <c r="AR364" s="23"/>
      <c r="AS364" s="23"/>
      <c r="AT364" s="23"/>
      <c r="AU364" s="14" t="str">
        <f>HYPERLINK("http://www.openstreetmap.org/?mlat=32.8008&amp;mlon=44.2698&amp;zoom=12#map=12/32.8008/44.2698","Maplink1")</f>
        <v>Maplink1</v>
      </c>
      <c r="AV364" s="14" t="str">
        <f>HYPERLINK("https://www.google.iq/maps/search/+32.8008,44.2698/@32.8008,44.2698,14z?hl=en","Maplink2")</f>
        <v>Maplink2</v>
      </c>
      <c r="AW364" s="14" t="str">
        <f>HYPERLINK("http://www.bing.com/maps/?lvl=14&amp;sty=h&amp;cp=32.8008~44.2698&amp;sp=point.32.8008_44.2698_Al Hamiyah Al Sheab  Village","Maplink3")</f>
        <v>Maplink3</v>
      </c>
    </row>
    <row r="365" spans="1:49" ht="15" customHeight="1" x14ac:dyDescent="0.25">
      <c r="A365" s="21">
        <v>7126</v>
      </c>
      <c r="B365" s="22" t="s">
        <v>10</v>
      </c>
      <c r="C365" s="22" t="s">
        <v>921</v>
      </c>
      <c r="D365" s="22" t="s">
        <v>8324</v>
      </c>
      <c r="E365" s="22" t="s">
        <v>8325</v>
      </c>
      <c r="F365" s="22">
        <v>32.757742999999998</v>
      </c>
      <c r="G365" s="22">
        <v>44.290740999999997</v>
      </c>
      <c r="H365" s="21" t="s">
        <v>802</v>
      </c>
      <c r="I365" s="21" t="s">
        <v>924</v>
      </c>
      <c r="J365" s="21" t="s">
        <v>1030</v>
      </c>
      <c r="K365" s="24">
        <v>84</v>
      </c>
      <c r="L365" s="24">
        <v>504</v>
      </c>
      <c r="M365" s="23"/>
      <c r="N365" s="23">
        <v>84</v>
      </c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>
        <v>84</v>
      </c>
      <c r="AL365" s="23"/>
      <c r="AM365" s="23"/>
      <c r="AN365" s="23"/>
      <c r="AO365" s="23"/>
      <c r="AP365" s="23">
        <v>84</v>
      </c>
      <c r="AQ365" s="23"/>
      <c r="AR365" s="23"/>
      <c r="AS365" s="23"/>
      <c r="AT365" s="23"/>
      <c r="AU365" s="14" t="str">
        <f>HYPERLINK("http://www.openstreetmap.org/?mlat=32.7577&amp;mlon=44.2907&amp;zoom=12#map=12/32.7577/44.2907","Maplink1")</f>
        <v>Maplink1</v>
      </c>
      <c r="AV365" s="14" t="str">
        <f>HYPERLINK("https://www.google.iq/maps/search/+32.7577,44.2907/@32.7577,44.2907,14z?hl=en","Maplink2")</f>
        <v>Maplink2</v>
      </c>
      <c r="AW365" s="14" t="str">
        <f>HYPERLINK("http://www.bing.com/maps/?lvl=14&amp;sty=h&amp;cp=32.7577~44.2907&amp;sp=point.32.7577_44.2907_Mutaqaedeen neighborhood","Maplink3")</f>
        <v>Maplink3</v>
      </c>
    </row>
    <row r="366" spans="1:49" ht="15" customHeight="1" x14ac:dyDescent="0.25">
      <c r="A366" s="21">
        <v>24163</v>
      </c>
      <c r="B366" s="22" t="s">
        <v>10</v>
      </c>
      <c r="C366" s="22" t="s">
        <v>921</v>
      </c>
      <c r="D366" s="22" t="s">
        <v>937</v>
      </c>
      <c r="E366" s="22" t="s">
        <v>7574</v>
      </c>
      <c r="F366" s="22">
        <v>32.815494000000001</v>
      </c>
      <c r="G366" s="22">
        <v>44.231575999999997</v>
      </c>
      <c r="H366" s="21" t="s">
        <v>802</v>
      </c>
      <c r="I366" s="21" t="s">
        <v>924</v>
      </c>
      <c r="J366" s="21" t="s">
        <v>938</v>
      </c>
      <c r="K366" s="24">
        <v>49</v>
      </c>
      <c r="L366" s="24">
        <v>294</v>
      </c>
      <c r="M366" s="23"/>
      <c r="N366" s="23">
        <v>49</v>
      </c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>
        <v>49</v>
      </c>
      <c r="AL366" s="23"/>
      <c r="AM366" s="23"/>
      <c r="AN366" s="23"/>
      <c r="AO366" s="23"/>
      <c r="AP366" s="23">
        <v>49</v>
      </c>
      <c r="AQ366" s="23"/>
      <c r="AR366" s="23"/>
      <c r="AS366" s="23"/>
      <c r="AT366" s="23"/>
      <c r="AU366" s="14" t="str">
        <f>HYPERLINK("http://www.openstreetmap.org/?mlat=32.8155&amp;mlon=44.2316&amp;zoom=12#map=12/32.8155/44.2316","Maplink1")</f>
        <v>Maplink1</v>
      </c>
      <c r="AV366" s="14" t="str">
        <f>HYPERLINK("https://www.google.iq/maps/search/+32.8155,44.2316/@32.8155,44.2316,14z?hl=en","Maplink2")</f>
        <v>Maplink2</v>
      </c>
      <c r="AW366" s="14" t="str">
        <f>HYPERLINK("http://www.bing.com/maps/?lvl=14&amp;sty=h&amp;cp=32.8155~44.2316&amp;sp=point.32.8155_44.2316_Al Hamiyah-Al Mutaqedin 2","Maplink3")</f>
        <v>Maplink3</v>
      </c>
    </row>
    <row r="367" spans="1:49" ht="15" customHeight="1" x14ac:dyDescent="0.25">
      <c r="A367" s="21">
        <v>24165</v>
      </c>
      <c r="B367" s="22" t="s">
        <v>10</v>
      </c>
      <c r="C367" s="22" t="s">
        <v>921</v>
      </c>
      <c r="D367" s="22" t="s">
        <v>939</v>
      </c>
      <c r="E367" s="22" t="s">
        <v>7575</v>
      </c>
      <c r="F367" s="22">
        <v>32.818869999999997</v>
      </c>
      <c r="G367" s="22">
        <v>44.224477999999998</v>
      </c>
      <c r="H367" s="21" t="s">
        <v>802</v>
      </c>
      <c r="I367" s="21" t="s">
        <v>924</v>
      </c>
      <c r="J367" s="21" t="s">
        <v>940</v>
      </c>
      <c r="K367" s="24">
        <v>97</v>
      </c>
      <c r="L367" s="24">
        <v>582</v>
      </c>
      <c r="M367" s="23"/>
      <c r="N367" s="23">
        <v>97</v>
      </c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>
        <v>67</v>
      </c>
      <c r="AG367" s="23"/>
      <c r="AH367" s="23"/>
      <c r="AI367" s="23"/>
      <c r="AJ367" s="23"/>
      <c r="AK367" s="23">
        <v>30</v>
      </c>
      <c r="AL367" s="23"/>
      <c r="AM367" s="23"/>
      <c r="AN367" s="23"/>
      <c r="AO367" s="23">
        <v>33</v>
      </c>
      <c r="AP367" s="23">
        <v>64</v>
      </c>
      <c r="AQ367" s="23"/>
      <c r="AR367" s="23"/>
      <c r="AS367" s="23"/>
      <c r="AT367" s="23"/>
      <c r="AU367" s="14" t="str">
        <f>HYPERLINK("http://www.openstreetmap.org/?mlat=32.8189&amp;mlon=44.2245&amp;zoom=12#map=12/32.8189/44.2245","Maplink1")</f>
        <v>Maplink1</v>
      </c>
      <c r="AV367" s="14" t="str">
        <f>HYPERLINK("https://www.google.iq/maps/search/+32.8189,44.2245/@32.8189,44.2245,14z?hl=en","Maplink2")</f>
        <v>Maplink2</v>
      </c>
      <c r="AW367" s="14" t="str">
        <f>HYPERLINK("http://www.bing.com/maps/?lvl=14&amp;sty=h&amp;cp=32.8189~44.2245&amp;sp=point.32.8189_44.2245_Al Hamiyah-Oayef village","Maplink3")</f>
        <v>Maplink3</v>
      </c>
    </row>
    <row r="368" spans="1:49" ht="15" customHeight="1" x14ac:dyDescent="0.25">
      <c r="A368" s="21">
        <v>24296</v>
      </c>
      <c r="B368" s="22" t="s">
        <v>10</v>
      </c>
      <c r="C368" s="22" t="s">
        <v>921</v>
      </c>
      <c r="D368" s="22" t="s">
        <v>941</v>
      </c>
      <c r="E368" s="22" t="s">
        <v>7576</v>
      </c>
      <c r="F368" s="22">
        <v>32.951804000000003</v>
      </c>
      <c r="G368" s="22">
        <v>44.405473000000001</v>
      </c>
      <c r="H368" s="21" t="s">
        <v>802</v>
      </c>
      <c r="I368" s="21" t="s">
        <v>924</v>
      </c>
      <c r="J368" s="21"/>
      <c r="K368" s="24">
        <v>34</v>
      </c>
      <c r="L368" s="24">
        <v>204</v>
      </c>
      <c r="M368" s="23"/>
      <c r="N368" s="23">
        <v>34</v>
      </c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>
        <v>34</v>
      </c>
      <c r="AG368" s="23"/>
      <c r="AH368" s="23"/>
      <c r="AI368" s="23"/>
      <c r="AJ368" s="23"/>
      <c r="AK368" s="23"/>
      <c r="AL368" s="23"/>
      <c r="AM368" s="23"/>
      <c r="AN368" s="23"/>
      <c r="AO368" s="23"/>
      <c r="AP368" s="23">
        <v>34</v>
      </c>
      <c r="AQ368" s="23"/>
      <c r="AR368" s="23"/>
      <c r="AS368" s="23"/>
      <c r="AT368" s="23"/>
      <c r="AU368" s="14" t="str">
        <f>HYPERLINK("http://www.openstreetmap.org/?mlat=32.9518&amp;mlon=44.4055&amp;zoom=12#map=12/32.9518/44.4055","Maplink1")</f>
        <v>Maplink1</v>
      </c>
      <c r="AV368" s="14" t="str">
        <f>HYPERLINK("https://www.google.iq/maps/search/+32.9518,44.4055/@32.9518,44.4055,14z?hl=en","Maplink2")</f>
        <v>Maplink2</v>
      </c>
      <c r="AW368" s="14" t="str">
        <f>HYPERLINK("http://www.bing.com/maps/?lvl=14&amp;sty=h&amp;cp=32.9518~44.4055&amp;sp=point.32.9518_44.4055_Al Iskandariyah Area-Mowelha","Maplink3")</f>
        <v>Maplink3</v>
      </c>
    </row>
    <row r="369" spans="1:49" ht="15" customHeight="1" x14ac:dyDescent="0.25">
      <c r="A369" s="21">
        <v>26118</v>
      </c>
      <c r="B369" s="22" t="s">
        <v>10</v>
      </c>
      <c r="C369" s="22" t="s">
        <v>921</v>
      </c>
      <c r="D369" s="22" t="s">
        <v>819</v>
      </c>
      <c r="E369" s="22" t="s">
        <v>942</v>
      </c>
      <c r="F369" s="22">
        <v>32.714790999999998</v>
      </c>
      <c r="G369" s="22">
        <v>44.277732999999998</v>
      </c>
      <c r="H369" s="21" t="s">
        <v>802</v>
      </c>
      <c r="I369" s="21" t="s">
        <v>924</v>
      </c>
      <c r="J369" s="21"/>
      <c r="K369" s="24">
        <v>15</v>
      </c>
      <c r="L369" s="24">
        <v>90</v>
      </c>
      <c r="M369" s="23">
        <v>9</v>
      </c>
      <c r="N369" s="23">
        <v>3</v>
      </c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>
        <v>3</v>
      </c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>
        <v>15</v>
      </c>
      <c r="AL369" s="23"/>
      <c r="AM369" s="23"/>
      <c r="AN369" s="23"/>
      <c r="AO369" s="23"/>
      <c r="AP369" s="23">
        <v>3</v>
      </c>
      <c r="AQ369" s="23">
        <v>3</v>
      </c>
      <c r="AR369" s="23">
        <v>9</v>
      </c>
      <c r="AS369" s="23"/>
      <c r="AT369" s="23"/>
      <c r="AU369" s="14" t="str">
        <f>HYPERLINK("http://www.openstreetmap.org/?mlat=32.7148&amp;mlon=44.2777&amp;zoom=12#map=12/32.7148/44.2777","Maplink1")</f>
        <v>Maplink1</v>
      </c>
      <c r="AV369" s="14" t="str">
        <f>HYPERLINK("https://www.google.iq/maps/search/+32.7148,44.2777/@32.7148,44.2777,14z?hl=en","Maplink2")</f>
        <v>Maplink2</v>
      </c>
      <c r="AW369" s="14" t="str">
        <f>HYPERLINK("http://www.bing.com/maps/?lvl=14&amp;sty=h&amp;cp=32.7148~44.2777&amp;sp=point.32.7148_44.2777_Al Qasabah Al Kadimah","Maplink3")</f>
        <v>Maplink3</v>
      </c>
    </row>
    <row r="370" spans="1:49" ht="15" customHeight="1" x14ac:dyDescent="0.25">
      <c r="A370" s="21">
        <v>26098</v>
      </c>
      <c r="B370" s="22" t="s">
        <v>10</v>
      </c>
      <c r="C370" s="22" t="s">
        <v>921</v>
      </c>
      <c r="D370" s="22" t="s">
        <v>8179</v>
      </c>
      <c r="E370" s="22" t="s">
        <v>8206</v>
      </c>
      <c r="F370" s="22">
        <v>32.882851000000002</v>
      </c>
      <c r="G370" s="22">
        <v>44.348695999999997</v>
      </c>
      <c r="H370" s="21" t="s">
        <v>802</v>
      </c>
      <c r="I370" s="21" t="s">
        <v>924</v>
      </c>
      <c r="J370" s="21"/>
      <c r="K370" s="24">
        <v>29</v>
      </c>
      <c r="L370" s="24">
        <v>174</v>
      </c>
      <c r="M370" s="23"/>
      <c r="N370" s="23">
        <v>29</v>
      </c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>
        <v>29</v>
      </c>
      <c r="AL370" s="23"/>
      <c r="AM370" s="23"/>
      <c r="AN370" s="23"/>
      <c r="AO370" s="23"/>
      <c r="AP370" s="23">
        <v>29</v>
      </c>
      <c r="AQ370" s="23"/>
      <c r="AR370" s="23"/>
      <c r="AS370" s="23"/>
      <c r="AT370" s="23"/>
      <c r="AU370" s="14" t="str">
        <f>HYPERLINK("http://www.openstreetmap.org/?mlat=32.8829&amp;mlon=44.3487&amp;zoom=12#map=12/32.8829/44.3487","Maplink1")</f>
        <v>Maplink1</v>
      </c>
      <c r="AV370" s="14" t="str">
        <f>HYPERLINK("https://www.google.iq/maps/search/+32.8829,44.3487/@32.8829,44.3487,14z?hl=en","Maplink2")</f>
        <v>Maplink2</v>
      </c>
      <c r="AW370" s="14" t="str">
        <f>HYPERLINK("http://www.bing.com/maps/?lvl=14&amp;sty=h&amp;cp=32.8829~44.3487&amp;sp=point.32.8829_44.3487_Al Qasabah Al Kadimah Al-Iskandaria","Maplink3")</f>
        <v>Maplink3</v>
      </c>
    </row>
    <row r="371" spans="1:49" ht="15" customHeight="1" x14ac:dyDescent="0.25">
      <c r="A371" s="21">
        <v>23944</v>
      </c>
      <c r="B371" s="22" t="s">
        <v>10</v>
      </c>
      <c r="C371" s="22" t="s">
        <v>921</v>
      </c>
      <c r="D371" s="22" t="s">
        <v>943</v>
      </c>
      <c r="E371" s="22" t="s">
        <v>7577</v>
      </c>
      <c r="F371" s="22">
        <v>32.687461999999996</v>
      </c>
      <c r="G371" s="22">
        <v>44.396048999999998</v>
      </c>
      <c r="H371" s="21" t="s">
        <v>802</v>
      </c>
      <c r="I371" s="21" t="s">
        <v>924</v>
      </c>
      <c r="J371" s="21" t="s">
        <v>944</v>
      </c>
      <c r="K371" s="24">
        <v>13</v>
      </c>
      <c r="L371" s="24">
        <v>78</v>
      </c>
      <c r="M371" s="23">
        <v>13</v>
      </c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>
        <v>6</v>
      </c>
      <c r="AG371" s="23"/>
      <c r="AH371" s="23"/>
      <c r="AI371" s="23"/>
      <c r="AJ371" s="23"/>
      <c r="AK371" s="23">
        <v>7</v>
      </c>
      <c r="AL371" s="23"/>
      <c r="AM371" s="23"/>
      <c r="AN371" s="23"/>
      <c r="AO371" s="23"/>
      <c r="AP371" s="23"/>
      <c r="AQ371" s="23">
        <v>6</v>
      </c>
      <c r="AR371" s="23"/>
      <c r="AS371" s="23">
        <v>7</v>
      </c>
      <c r="AT371" s="23"/>
      <c r="AU371" s="14" t="str">
        <f>HYPERLINK("http://www.openstreetmap.org/?mlat=32.6875&amp;mlon=44.396&amp;zoom=12#map=12/32.6875/44.396","Maplink1")</f>
        <v>Maplink1</v>
      </c>
      <c r="AV371" s="14" t="str">
        <f>HYPERLINK("https://www.google.iq/maps/search/+32.6875,44.396/@32.6875,44.396,14z?hl=en","Maplink2")</f>
        <v>Maplink2</v>
      </c>
      <c r="AW371" s="14" t="str">
        <f>HYPERLINK("http://www.bing.com/maps/?lvl=14&amp;sty=h&amp;cp=32.6875~44.396&amp;sp=point.32.6875_44.396_Al Reef Al Zaher","Maplink3")</f>
        <v>Maplink3</v>
      </c>
    </row>
    <row r="372" spans="1:49" ht="15" customHeight="1" x14ac:dyDescent="0.25">
      <c r="A372" s="21">
        <v>24570</v>
      </c>
      <c r="B372" s="22" t="s">
        <v>10</v>
      </c>
      <c r="C372" s="22" t="s">
        <v>921</v>
      </c>
      <c r="D372" s="22" t="s">
        <v>945</v>
      </c>
      <c r="E372" s="22" t="s">
        <v>7578</v>
      </c>
      <c r="F372" s="22">
        <v>32.638618000000001</v>
      </c>
      <c r="G372" s="22">
        <v>44.339357999999997</v>
      </c>
      <c r="H372" s="21" t="s">
        <v>802</v>
      </c>
      <c r="I372" s="21" t="s">
        <v>924</v>
      </c>
      <c r="J372" s="21"/>
      <c r="K372" s="24">
        <v>11</v>
      </c>
      <c r="L372" s="24">
        <v>66</v>
      </c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>
        <v>11</v>
      </c>
      <c r="Z372" s="23"/>
      <c r="AA372" s="23"/>
      <c r="AB372" s="23"/>
      <c r="AC372" s="23"/>
      <c r="AD372" s="23"/>
      <c r="AE372" s="23"/>
      <c r="AF372" s="23">
        <v>5</v>
      </c>
      <c r="AG372" s="23"/>
      <c r="AH372" s="23"/>
      <c r="AI372" s="23"/>
      <c r="AJ372" s="23"/>
      <c r="AK372" s="23">
        <v>6</v>
      </c>
      <c r="AL372" s="23"/>
      <c r="AM372" s="23"/>
      <c r="AN372" s="23"/>
      <c r="AO372" s="23"/>
      <c r="AP372" s="23">
        <v>11</v>
      </c>
      <c r="AQ372" s="23"/>
      <c r="AR372" s="23"/>
      <c r="AS372" s="23"/>
      <c r="AT372" s="23"/>
      <c r="AU372" s="14" t="str">
        <f>HYPERLINK("http://www.openstreetmap.org/?mlat=32.6386&amp;mlon=44.3394&amp;zoom=12#map=12/32.6386/44.3394","Maplink1")</f>
        <v>Maplink1</v>
      </c>
      <c r="AV372" s="14" t="str">
        <f>HYPERLINK("https://www.google.iq/maps/search/+32.6386,44.3394/@32.6386,44.3394,14z?hl=en","Maplink2")</f>
        <v>Maplink2</v>
      </c>
      <c r="AW372" s="14" t="str">
        <f>HYPERLINK("http://www.bing.com/maps/?lvl=14&amp;sty=h&amp;cp=32.6386~44.3394&amp;sp=point.32.6386_44.3394_Al Sadda-Um Al Hamam","Maplink3")</f>
        <v>Maplink3</v>
      </c>
    </row>
    <row r="373" spans="1:49" ht="15" customHeight="1" x14ac:dyDescent="0.25">
      <c r="A373" s="21">
        <v>7127</v>
      </c>
      <c r="B373" s="22" t="s">
        <v>10</v>
      </c>
      <c r="C373" s="22" t="s">
        <v>921</v>
      </c>
      <c r="D373" s="22" t="s">
        <v>946</v>
      </c>
      <c r="E373" s="22" t="s">
        <v>7579</v>
      </c>
      <c r="F373" s="22">
        <v>32.869490999999996</v>
      </c>
      <c r="G373" s="22">
        <v>44.392037999999999</v>
      </c>
      <c r="H373" s="21" t="s">
        <v>802</v>
      </c>
      <c r="I373" s="21" t="s">
        <v>924</v>
      </c>
      <c r="J373" s="21"/>
      <c r="K373" s="24">
        <v>9</v>
      </c>
      <c r="L373" s="24">
        <v>54</v>
      </c>
      <c r="M373" s="23">
        <v>5</v>
      </c>
      <c r="N373" s="23">
        <v>4</v>
      </c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>
        <v>9</v>
      </c>
      <c r="AL373" s="23"/>
      <c r="AM373" s="23"/>
      <c r="AN373" s="23"/>
      <c r="AO373" s="23"/>
      <c r="AP373" s="23">
        <v>4</v>
      </c>
      <c r="AQ373" s="23"/>
      <c r="AR373" s="23"/>
      <c r="AS373" s="23">
        <v>5</v>
      </c>
      <c r="AT373" s="23"/>
      <c r="AU373" s="14" t="str">
        <f>HYPERLINK("http://www.openstreetmap.org/?mlat=32.8695&amp;mlon=44.392&amp;zoom=12#map=12/32.8695/44.392","Maplink1")</f>
        <v>Maplink1</v>
      </c>
      <c r="AV373" s="14" t="str">
        <f>HYPERLINK("https://www.google.iq/maps/search/+32.8695,44.392/@32.8695,44.392,14z?hl=en","Maplink2")</f>
        <v>Maplink2</v>
      </c>
      <c r="AW373" s="14" t="str">
        <f>HYPERLINK("http://www.bing.com/maps/?lvl=14&amp;sty=h&amp;cp=32.8695~44.392&amp;sp=point.32.8695_44.392_Al-Iskandaria-Al Intesar","Maplink3")</f>
        <v>Maplink3</v>
      </c>
    </row>
    <row r="374" spans="1:49" ht="15" customHeight="1" x14ac:dyDescent="0.25">
      <c r="A374" s="21">
        <v>25613</v>
      </c>
      <c r="B374" s="22" t="s">
        <v>10</v>
      </c>
      <c r="C374" s="22" t="s">
        <v>921</v>
      </c>
      <c r="D374" s="22" t="s">
        <v>947</v>
      </c>
      <c r="E374" s="22" t="s">
        <v>948</v>
      </c>
      <c r="F374" s="22">
        <v>32.880859999999998</v>
      </c>
      <c r="G374" s="22">
        <v>44.385691999999999</v>
      </c>
      <c r="H374" s="21" t="s">
        <v>802</v>
      </c>
      <c r="I374" s="21" t="s">
        <v>924</v>
      </c>
      <c r="J374" s="21"/>
      <c r="K374" s="24">
        <v>28</v>
      </c>
      <c r="L374" s="24">
        <v>168</v>
      </c>
      <c r="M374" s="23"/>
      <c r="N374" s="23">
        <v>28</v>
      </c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>
        <v>28</v>
      </c>
      <c r="AL374" s="23"/>
      <c r="AM374" s="23"/>
      <c r="AN374" s="23"/>
      <c r="AO374" s="23"/>
      <c r="AP374" s="23">
        <v>28</v>
      </c>
      <c r="AQ374" s="23"/>
      <c r="AR374" s="23"/>
      <c r="AS374" s="23"/>
      <c r="AT374" s="23"/>
      <c r="AU374" s="14" t="str">
        <f>HYPERLINK("http://www.openstreetmap.org/?mlat=32.8809&amp;mlon=44.3857&amp;zoom=12#map=12/32.8809/44.3857","Maplink1")</f>
        <v>Maplink1</v>
      </c>
      <c r="AV374" s="14" t="str">
        <f>HYPERLINK("https://www.google.iq/maps/search/+32.8809,44.3857/@32.8809,44.3857,14z?hl=en","Maplink2")</f>
        <v>Maplink2</v>
      </c>
      <c r="AW374" s="14" t="str">
        <f>HYPERLINK("http://www.bing.com/maps/?lvl=14&amp;sty=h&amp;cp=32.8809~44.3857&amp;sp=point.32.8809_44.3857_Al-Iskandaria-Hay Al-Muthana","Maplink3")</f>
        <v>Maplink3</v>
      </c>
    </row>
    <row r="375" spans="1:49" ht="15" customHeight="1" x14ac:dyDescent="0.25">
      <c r="A375" s="21">
        <v>25768</v>
      </c>
      <c r="B375" s="22" t="s">
        <v>10</v>
      </c>
      <c r="C375" s="22" t="s">
        <v>921</v>
      </c>
      <c r="D375" s="22" t="s">
        <v>949</v>
      </c>
      <c r="E375" s="22" t="s">
        <v>950</v>
      </c>
      <c r="F375" s="22">
        <v>32.884681</v>
      </c>
      <c r="G375" s="22">
        <v>44.349618999999997</v>
      </c>
      <c r="H375" s="21" t="s">
        <v>802</v>
      </c>
      <c r="I375" s="21" t="s">
        <v>924</v>
      </c>
      <c r="J375" s="21"/>
      <c r="K375" s="24">
        <v>60</v>
      </c>
      <c r="L375" s="24">
        <v>360</v>
      </c>
      <c r="M375" s="23">
        <v>5</v>
      </c>
      <c r="N375" s="23">
        <v>55</v>
      </c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>
        <v>60</v>
      </c>
      <c r="AL375" s="23"/>
      <c r="AM375" s="23"/>
      <c r="AN375" s="23"/>
      <c r="AO375" s="23"/>
      <c r="AP375" s="23">
        <v>55</v>
      </c>
      <c r="AQ375" s="23"/>
      <c r="AR375" s="23"/>
      <c r="AS375" s="23">
        <v>5</v>
      </c>
      <c r="AT375" s="23"/>
      <c r="AU375" s="14" t="str">
        <f>HYPERLINK("http://www.openstreetmap.org/?mlat=32.8847&amp;mlon=44.3496&amp;zoom=12#map=12/32.8847/44.3496","Maplink1")</f>
        <v>Maplink1</v>
      </c>
      <c r="AV375" s="14" t="str">
        <f>HYPERLINK("https://www.google.iq/maps/search/+32.8847,44.3496/@32.8847,44.3496,14z?hl=en","Maplink2")</f>
        <v>Maplink2</v>
      </c>
      <c r="AW375" s="14" t="str">
        <f>HYPERLINK("http://www.bing.com/maps/?lvl=14&amp;sty=h&amp;cp=32.8847~44.3496&amp;sp=point.32.8847_44.3496_Al-Iskandaria-Shawara AlKhudhir","Maplink3")</f>
        <v>Maplink3</v>
      </c>
    </row>
    <row r="376" spans="1:49" ht="15" customHeight="1" x14ac:dyDescent="0.25">
      <c r="A376" s="21">
        <v>24652</v>
      </c>
      <c r="B376" s="22" t="s">
        <v>10</v>
      </c>
      <c r="C376" s="22" t="s">
        <v>921</v>
      </c>
      <c r="D376" s="22" t="s">
        <v>951</v>
      </c>
      <c r="E376" s="22" t="s">
        <v>952</v>
      </c>
      <c r="F376" s="22">
        <v>32.892868999999997</v>
      </c>
      <c r="G376" s="22">
        <v>44.365875000000003</v>
      </c>
      <c r="H376" s="21" t="s">
        <v>802</v>
      </c>
      <c r="I376" s="21" t="s">
        <v>924</v>
      </c>
      <c r="J376" s="21"/>
      <c r="K376" s="24">
        <v>37</v>
      </c>
      <c r="L376" s="24">
        <v>222</v>
      </c>
      <c r="M376" s="23"/>
      <c r="N376" s="23">
        <v>37</v>
      </c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>
        <v>37</v>
      </c>
      <c r="AL376" s="23"/>
      <c r="AM376" s="23"/>
      <c r="AN376" s="23"/>
      <c r="AO376" s="23"/>
      <c r="AP376" s="23">
        <v>37</v>
      </c>
      <c r="AQ376" s="23"/>
      <c r="AR376" s="23"/>
      <c r="AS376" s="23"/>
      <c r="AT376" s="23"/>
      <c r="AU376" s="14" t="str">
        <f>HYPERLINK("http://www.openstreetmap.org/?mlat=32.8929&amp;mlon=44.3659&amp;zoom=12#map=12/32.8929/44.3659","Maplink1")</f>
        <v>Maplink1</v>
      </c>
      <c r="AV376" s="14" t="str">
        <f>HYPERLINK("https://www.google.iq/maps/search/+32.8929,44.3659/@32.8929,44.3659,14z?hl=en","Maplink2")</f>
        <v>Maplink2</v>
      </c>
      <c r="AW376" s="14" t="str">
        <f>HYPERLINK("http://www.bing.com/maps/?lvl=14&amp;sty=h&amp;cp=32.8929~44.3659&amp;sp=point.32.8929_44.3659_Al-Jazirah-Al Eskandariya","Maplink3")</f>
        <v>Maplink3</v>
      </c>
    </row>
    <row r="377" spans="1:49" ht="15" customHeight="1" x14ac:dyDescent="0.25">
      <c r="A377" s="21">
        <v>24166</v>
      </c>
      <c r="B377" s="22" t="s">
        <v>10</v>
      </c>
      <c r="C377" s="22" t="s">
        <v>921</v>
      </c>
      <c r="D377" s="22" t="s">
        <v>953</v>
      </c>
      <c r="E377" s="22" t="s">
        <v>954</v>
      </c>
      <c r="F377" s="22">
        <v>32.778865000000003</v>
      </c>
      <c r="G377" s="22">
        <v>44.285786999999999</v>
      </c>
      <c r="H377" s="21" t="s">
        <v>802</v>
      </c>
      <c r="I377" s="21" t="s">
        <v>924</v>
      </c>
      <c r="J377" s="21" t="s">
        <v>955</v>
      </c>
      <c r="K377" s="24">
        <v>10</v>
      </c>
      <c r="L377" s="24">
        <v>60</v>
      </c>
      <c r="M377" s="23">
        <v>1</v>
      </c>
      <c r="N377" s="23">
        <v>6</v>
      </c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>
        <v>3</v>
      </c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>
        <v>10</v>
      </c>
      <c r="AL377" s="23"/>
      <c r="AM377" s="23"/>
      <c r="AN377" s="23"/>
      <c r="AO377" s="23"/>
      <c r="AP377" s="23">
        <v>3</v>
      </c>
      <c r="AQ377" s="23">
        <v>6</v>
      </c>
      <c r="AR377" s="23">
        <v>1</v>
      </c>
      <c r="AS377" s="23"/>
      <c r="AT377" s="23"/>
      <c r="AU377" s="14" t="str">
        <f>HYPERLINK("http://www.openstreetmap.org/?mlat=32.7789&amp;mlon=44.2858&amp;zoom=12#map=12/32.7789/44.2858","Maplink1")</f>
        <v>Maplink1</v>
      </c>
      <c r="AV377" s="14" t="str">
        <f>HYPERLINK("https://www.google.iq/maps/search/+32.7789,44.2858/@32.7789,44.2858,14z?hl=en","Maplink2")</f>
        <v>Maplink2</v>
      </c>
      <c r="AW377" s="14" t="str">
        <f>HYPERLINK("http://www.bing.com/maps/?lvl=14&amp;sty=h&amp;cp=32.7789~44.2858&amp;sp=point.32.7789_44.2858_Al-Shoyokh","Maplink3")</f>
        <v>Maplink3</v>
      </c>
    </row>
    <row r="378" spans="1:49" ht="15" customHeight="1" x14ac:dyDescent="0.25">
      <c r="A378" s="21">
        <v>24569</v>
      </c>
      <c r="B378" s="22" t="s">
        <v>10</v>
      </c>
      <c r="C378" s="22" t="s">
        <v>921</v>
      </c>
      <c r="D378" s="22" t="s">
        <v>956</v>
      </c>
      <c r="E378" s="22" t="s">
        <v>957</v>
      </c>
      <c r="F378" s="22">
        <v>32.782384999999998</v>
      </c>
      <c r="G378" s="22">
        <v>44.295372</v>
      </c>
      <c r="H378" s="21" t="s">
        <v>802</v>
      </c>
      <c r="I378" s="21" t="s">
        <v>924</v>
      </c>
      <c r="J378" s="21"/>
      <c r="K378" s="24">
        <v>11</v>
      </c>
      <c r="L378" s="24">
        <v>66</v>
      </c>
      <c r="M378" s="23"/>
      <c r="N378" s="23">
        <v>6</v>
      </c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>
        <v>1</v>
      </c>
      <c r="Z378" s="23"/>
      <c r="AA378" s="23">
        <v>4</v>
      </c>
      <c r="AB378" s="23"/>
      <c r="AC378" s="23"/>
      <c r="AD378" s="23"/>
      <c r="AE378" s="23"/>
      <c r="AF378" s="23"/>
      <c r="AG378" s="23"/>
      <c r="AH378" s="23"/>
      <c r="AI378" s="23"/>
      <c r="AJ378" s="23"/>
      <c r="AK378" s="23">
        <v>11</v>
      </c>
      <c r="AL378" s="23"/>
      <c r="AM378" s="23"/>
      <c r="AN378" s="23"/>
      <c r="AO378" s="23"/>
      <c r="AP378" s="23">
        <v>1</v>
      </c>
      <c r="AQ378" s="23">
        <v>10</v>
      </c>
      <c r="AR378" s="23"/>
      <c r="AS378" s="23"/>
      <c r="AT378" s="23"/>
      <c r="AU378" s="14" t="str">
        <f>HYPERLINK("http://www.openstreetmap.org/?mlat=32.7824&amp;mlon=44.2954&amp;zoom=12#map=12/32.7824/44.2954","Maplink1")</f>
        <v>Maplink1</v>
      </c>
      <c r="AV378" s="14" t="str">
        <f>HYPERLINK("https://www.google.iq/maps/search/+32.7824,44.2954/@32.7824,44.2954,14z?hl=en","Maplink2")</f>
        <v>Maplink2</v>
      </c>
      <c r="AW378" s="14" t="str">
        <f>HYPERLINK("http://www.bing.com/maps/?lvl=14&amp;sty=h&amp;cp=32.7824~44.2954&amp;sp=point.32.7824_44.2954_Al-Sikak 2","Maplink3")</f>
        <v>Maplink3</v>
      </c>
    </row>
    <row r="379" spans="1:49" ht="15" customHeight="1" x14ac:dyDescent="0.25">
      <c r="A379" s="21">
        <v>7220</v>
      </c>
      <c r="B379" s="22" t="s">
        <v>10</v>
      </c>
      <c r="C379" s="22" t="s">
        <v>921</v>
      </c>
      <c r="D379" s="22" t="s">
        <v>7580</v>
      </c>
      <c r="E379" s="22" t="s">
        <v>7581</v>
      </c>
      <c r="F379" s="22">
        <v>32.782578999999998</v>
      </c>
      <c r="G379" s="22">
        <v>44.282657</v>
      </c>
      <c r="H379" s="21" t="s">
        <v>802</v>
      </c>
      <c r="I379" s="21" t="s">
        <v>924</v>
      </c>
      <c r="J379" s="21" t="s">
        <v>7582</v>
      </c>
      <c r="K379" s="24">
        <v>39</v>
      </c>
      <c r="L379" s="24">
        <v>234</v>
      </c>
      <c r="M379" s="23">
        <v>1</v>
      </c>
      <c r="N379" s="23">
        <v>38</v>
      </c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>
        <v>39</v>
      </c>
      <c r="AL379" s="23"/>
      <c r="AM379" s="23"/>
      <c r="AN379" s="23"/>
      <c r="AO379" s="23"/>
      <c r="AP379" s="23">
        <v>38</v>
      </c>
      <c r="AQ379" s="23"/>
      <c r="AR379" s="23">
        <v>1</v>
      </c>
      <c r="AS379" s="23"/>
      <c r="AT379" s="23"/>
      <c r="AU379" s="14" t="str">
        <f>HYPERLINK("http://www.openstreetmap.org/?mlat=32.7826&amp;mlon=44.2827&amp;zoom=12#map=12/32.7826/44.2827","Maplink1")</f>
        <v>Maplink1</v>
      </c>
      <c r="AV379" s="14" t="str">
        <f>HYPERLINK("https://www.google.iq/maps/search/+32.7826,44.2827/@32.7826,44.2827,14z?hl=en","Maplink2")</f>
        <v>Maplink2</v>
      </c>
      <c r="AW379" s="14" t="str">
        <f>HYPERLINK("http://www.bing.com/maps/?lvl=14&amp;sty=h&amp;cp=32.7826~44.2827&amp;sp=point.32.7826_44.2827","Maplink3")</f>
        <v>Maplink3</v>
      </c>
    </row>
    <row r="380" spans="1:49" ht="15" customHeight="1" x14ac:dyDescent="0.25">
      <c r="A380" s="21">
        <v>24430</v>
      </c>
      <c r="B380" s="22" t="s">
        <v>10</v>
      </c>
      <c r="C380" s="22" t="s">
        <v>921</v>
      </c>
      <c r="D380" s="22" t="s">
        <v>958</v>
      </c>
      <c r="E380" s="22" t="s">
        <v>7583</v>
      </c>
      <c r="F380" s="22">
        <v>32.703935000000001</v>
      </c>
      <c r="G380" s="22">
        <v>44.281072000000002</v>
      </c>
      <c r="H380" s="21" t="s">
        <v>802</v>
      </c>
      <c r="I380" s="21" t="s">
        <v>924</v>
      </c>
      <c r="J380" s="21"/>
      <c r="K380" s="24">
        <v>3</v>
      </c>
      <c r="L380" s="24">
        <v>18</v>
      </c>
      <c r="M380" s="23"/>
      <c r="N380" s="23"/>
      <c r="O380" s="23">
        <v>3</v>
      </c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>
        <v>3</v>
      </c>
      <c r="AG380" s="23"/>
      <c r="AH380" s="23"/>
      <c r="AI380" s="23"/>
      <c r="AJ380" s="23"/>
      <c r="AK380" s="23"/>
      <c r="AL380" s="23"/>
      <c r="AM380" s="23"/>
      <c r="AN380" s="23"/>
      <c r="AO380" s="23"/>
      <c r="AP380" s="23">
        <v>3</v>
      </c>
      <c r="AQ380" s="23"/>
      <c r="AR380" s="23"/>
      <c r="AS380" s="23"/>
      <c r="AT380" s="23"/>
      <c r="AU380" s="14" t="str">
        <f>HYPERLINK("http://www.openstreetmap.org/?mlat=32.7039&amp;mlon=44.2811&amp;zoom=12#map=12/32.7039/44.2811","Maplink1")</f>
        <v>Maplink1</v>
      </c>
      <c r="AV380" s="14" t="str">
        <f>HYPERLINK("https://www.google.iq/maps/search/+32.7039,44.2811/@32.7039,44.2811,14z?hl=en","Maplink2")</f>
        <v>Maplink2</v>
      </c>
      <c r="AW380" s="14" t="str">
        <f>HYPERLINK("http://www.bing.com/maps/?lvl=14&amp;sty=h&amp;cp=32.7039~44.2811&amp;sp=point.32.7039_44.2811_Alshejairea-Al Sada","Maplink3")</f>
        <v>Maplink3</v>
      </c>
    </row>
    <row r="381" spans="1:49" ht="15" customHeight="1" x14ac:dyDescent="0.25">
      <c r="A381" s="21">
        <v>6376</v>
      </c>
      <c r="B381" s="22" t="s">
        <v>10</v>
      </c>
      <c r="C381" s="22" t="s">
        <v>921</v>
      </c>
      <c r="D381" s="22" t="s">
        <v>959</v>
      </c>
      <c r="E381" s="22" t="s">
        <v>960</v>
      </c>
      <c r="F381" s="22">
        <v>32.69</v>
      </c>
      <c r="G381" s="22">
        <v>44.32</v>
      </c>
      <c r="H381" s="21" t="s">
        <v>802</v>
      </c>
      <c r="I381" s="21" t="s">
        <v>924</v>
      </c>
      <c r="J381" s="21" t="s">
        <v>961</v>
      </c>
      <c r="K381" s="24">
        <v>17</v>
      </c>
      <c r="L381" s="24">
        <v>102</v>
      </c>
      <c r="M381" s="23"/>
      <c r="N381" s="23">
        <v>7</v>
      </c>
      <c r="O381" s="23">
        <v>10</v>
      </c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>
        <v>17</v>
      </c>
      <c r="AG381" s="23"/>
      <c r="AH381" s="23"/>
      <c r="AI381" s="23"/>
      <c r="AJ381" s="23"/>
      <c r="AK381" s="23"/>
      <c r="AL381" s="23"/>
      <c r="AM381" s="23"/>
      <c r="AN381" s="23"/>
      <c r="AO381" s="23"/>
      <c r="AP381" s="23">
        <v>7</v>
      </c>
      <c r="AQ381" s="23">
        <v>10</v>
      </c>
      <c r="AR381" s="23"/>
      <c r="AS381" s="23"/>
      <c r="AT381" s="23"/>
      <c r="AU381" s="14" t="str">
        <f>HYPERLINK("http://www.openstreetmap.org/?mlat=32.69&amp;mlon=44.32&amp;zoom=12#map=12/32.69/44.32","Maplink1")</f>
        <v>Maplink1</v>
      </c>
      <c r="AV381" s="14" t="str">
        <f>HYPERLINK("https://www.google.iq/maps/search/+32.69,44.32/@32.69,44.32,14z?hl=en","Maplink2")</f>
        <v>Maplink2</v>
      </c>
      <c r="AW381" s="14" t="str">
        <f>HYPERLINK("http://www.bing.com/maps/?lvl=14&amp;sty=h&amp;cp=32.69~44.32&amp;sp=point.32.69_44.32_Awlad Kazim","Maplink3")</f>
        <v>Maplink3</v>
      </c>
    </row>
    <row r="382" spans="1:49" ht="15" customHeight="1" x14ac:dyDescent="0.25">
      <c r="A382" s="21">
        <v>26097</v>
      </c>
      <c r="B382" s="22" t="s">
        <v>10</v>
      </c>
      <c r="C382" s="22" t="s">
        <v>921</v>
      </c>
      <c r="D382" s="22" t="s">
        <v>962</v>
      </c>
      <c r="E382" s="22" t="s">
        <v>963</v>
      </c>
      <c r="F382" s="22">
        <v>32.784956000000001</v>
      </c>
      <c r="G382" s="22">
        <v>44.313879999999997</v>
      </c>
      <c r="H382" s="21" t="s">
        <v>802</v>
      </c>
      <c r="I382" s="21" t="s">
        <v>924</v>
      </c>
      <c r="J382" s="21"/>
      <c r="K382" s="24">
        <v>32</v>
      </c>
      <c r="L382" s="24">
        <v>192</v>
      </c>
      <c r="M382" s="23"/>
      <c r="N382" s="23">
        <v>16</v>
      </c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>
        <v>16</v>
      </c>
      <c r="Z382" s="23"/>
      <c r="AA382" s="23"/>
      <c r="AB382" s="23"/>
      <c r="AC382" s="23"/>
      <c r="AD382" s="23"/>
      <c r="AE382" s="23"/>
      <c r="AF382" s="23">
        <v>14</v>
      </c>
      <c r="AG382" s="23"/>
      <c r="AH382" s="23"/>
      <c r="AI382" s="23"/>
      <c r="AJ382" s="23"/>
      <c r="AK382" s="23">
        <v>18</v>
      </c>
      <c r="AL382" s="23"/>
      <c r="AM382" s="23"/>
      <c r="AN382" s="23"/>
      <c r="AO382" s="23"/>
      <c r="AP382" s="23">
        <v>25</v>
      </c>
      <c r="AQ382" s="23"/>
      <c r="AR382" s="23">
        <v>7</v>
      </c>
      <c r="AS382" s="23"/>
      <c r="AT382" s="23"/>
      <c r="AU382" s="14" t="str">
        <f>HYPERLINK("http://www.openstreetmap.org/?mlat=32.785&amp;mlon=44.3139&amp;zoom=12#map=12/32.785/44.3139","Maplink1")</f>
        <v>Maplink1</v>
      </c>
      <c r="AV382" s="14" t="str">
        <f>HYPERLINK("https://www.google.iq/maps/search/+32.785,44.3139/@32.785,44.3139,14z?hl=en","Maplink2")</f>
        <v>Maplink2</v>
      </c>
      <c r="AW382" s="14" t="str">
        <f>HYPERLINK("http://www.bing.com/maps/?lvl=14&amp;sty=h&amp;cp=32.785~44.3139&amp;sp=point.32.785_44.3139_Awlad Muslim","Maplink3")</f>
        <v>Maplink3</v>
      </c>
    </row>
    <row r="383" spans="1:49" ht="15" customHeight="1" x14ac:dyDescent="0.25">
      <c r="A383" s="21">
        <v>24649</v>
      </c>
      <c r="B383" s="22" t="s">
        <v>10</v>
      </c>
      <c r="C383" s="22" t="s">
        <v>921</v>
      </c>
      <c r="D383" s="22" t="s">
        <v>964</v>
      </c>
      <c r="E383" s="22" t="s">
        <v>965</v>
      </c>
      <c r="F383" s="22">
        <v>32.880915999999999</v>
      </c>
      <c r="G383" s="22">
        <v>44.395172000000002</v>
      </c>
      <c r="H383" s="21" t="s">
        <v>802</v>
      </c>
      <c r="I383" s="21" t="s">
        <v>924</v>
      </c>
      <c r="J383" s="21"/>
      <c r="K383" s="24">
        <v>127</v>
      </c>
      <c r="L383" s="24">
        <v>762</v>
      </c>
      <c r="M383" s="23"/>
      <c r="N383" s="23">
        <v>127</v>
      </c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>
        <v>127</v>
      </c>
      <c r="AL383" s="23"/>
      <c r="AM383" s="23"/>
      <c r="AN383" s="23"/>
      <c r="AO383" s="23"/>
      <c r="AP383" s="23">
        <v>127</v>
      </c>
      <c r="AQ383" s="23"/>
      <c r="AR383" s="23"/>
      <c r="AS383" s="23"/>
      <c r="AT383" s="23"/>
      <c r="AU383" s="14" t="str">
        <f>HYPERLINK("http://www.openstreetmap.org/?mlat=32.8809&amp;mlon=44.3952&amp;zoom=12#map=12/32.8809/44.3952","Maplink1")</f>
        <v>Maplink1</v>
      </c>
      <c r="AV383" s="14" t="str">
        <f>HYPERLINK("https://www.google.iq/maps/search/+32.8809,44.3952/@32.8809,44.3952,14z?hl=en","Maplink2")</f>
        <v>Maplink2</v>
      </c>
      <c r="AW383" s="14" t="str">
        <f>HYPERLINK("http://www.bing.com/maps/?lvl=14&amp;sty=h&amp;cp=32.8809~44.3952&amp;sp=point.32.8809_44.3952_Hay Aday-Al Eskandariya","Maplink3")</f>
        <v>Maplink3</v>
      </c>
    </row>
    <row r="384" spans="1:49" ht="15" customHeight="1" x14ac:dyDescent="0.25">
      <c r="A384" s="21">
        <v>24177</v>
      </c>
      <c r="B384" s="22" t="s">
        <v>10</v>
      </c>
      <c r="C384" s="22" t="s">
        <v>921</v>
      </c>
      <c r="D384" s="22" t="s">
        <v>966</v>
      </c>
      <c r="E384" s="22" t="s">
        <v>967</v>
      </c>
      <c r="F384" s="22">
        <v>32.781171999999998</v>
      </c>
      <c r="G384" s="22">
        <v>44.289883000000003</v>
      </c>
      <c r="H384" s="21" t="s">
        <v>802</v>
      </c>
      <c r="I384" s="21" t="s">
        <v>924</v>
      </c>
      <c r="J384" s="21" t="s">
        <v>968</v>
      </c>
      <c r="K384" s="24">
        <v>25</v>
      </c>
      <c r="L384" s="24">
        <v>150</v>
      </c>
      <c r="M384" s="23"/>
      <c r="N384" s="23">
        <v>25</v>
      </c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25</v>
      </c>
      <c r="AL384" s="23"/>
      <c r="AM384" s="23"/>
      <c r="AN384" s="23"/>
      <c r="AO384" s="23"/>
      <c r="AP384" s="23">
        <v>25</v>
      </c>
      <c r="AQ384" s="23"/>
      <c r="AR384" s="23"/>
      <c r="AS384" s="23"/>
      <c r="AT384" s="23"/>
      <c r="AU384" s="14" t="str">
        <f>HYPERLINK("http://www.openstreetmap.org/?mlat=32.7812&amp;mlon=44.2899&amp;zoom=12#map=12/32.7812/44.2899","Maplink1")</f>
        <v>Maplink1</v>
      </c>
      <c r="AV384" s="14" t="str">
        <f>HYPERLINK("https://www.google.iq/maps/search/+32.7812,44.2899/@32.7812,44.2899,14z?hl=en","Maplink2")</f>
        <v>Maplink2</v>
      </c>
      <c r="AW384" s="14" t="str">
        <f>HYPERLINK("http://www.bing.com/maps/?lvl=14&amp;sty=h&amp;cp=32.7812~44.2899&amp;sp=point.32.7812_44.2899_Hay Al Amer","Maplink3")</f>
        <v>Maplink3</v>
      </c>
    </row>
    <row r="385" spans="1:49" ht="15" customHeight="1" x14ac:dyDescent="0.25">
      <c r="A385" s="21">
        <v>24707</v>
      </c>
      <c r="B385" s="22" t="s">
        <v>10</v>
      </c>
      <c r="C385" s="22" t="s">
        <v>921</v>
      </c>
      <c r="D385" s="22" t="s">
        <v>969</v>
      </c>
      <c r="E385" s="22" t="s">
        <v>970</v>
      </c>
      <c r="F385" s="22">
        <v>32.787675999999998</v>
      </c>
      <c r="G385" s="22">
        <v>44.277970000000003</v>
      </c>
      <c r="H385" s="21" t="s">
        <v>802</v>
      </c>
      <c r="I385" s="21" t="s">
        <v>924</v>
      </c>
      <c r="J385" s="21"/>
      <c r="K385" s="24">
        <v>130</v>
      </c>
      <c r="L385" s="24">
        <v>780</v>
      </c>
      <c r="M385" s="23"/>
      <c r="N385" s="23">
        <v>130</v>
      </c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130</v>
      </c>
      <c r="AL385" s="23"/>
      <c r="AM385" s="23"/>
      <c r="AN385" s="23"/>
      <c r="AO385" s="23"/>
      <c r="AP385" s="23">
        <v>130</v>
      </c>
      <c r="AQ385" s="23"/>
      <c r="AR385" s="23"/>
      <c r="AS385" s="23"/>
      <c r="AT385" s="23"/>
      <c r="AU385" s="14" t="str">
        <f>HYPERLINK("http://www.openstreetmap.org/?mlat=32.7877&amp;mlon=44.278&amp;zoom=12#map=12/32.7877/44.278","Maplink1")</f>
        <v>Maplink1</v>
      </c>
      <c r="AV385" s="14" t="str">
        <f>HYPERLINK("https://www.google.iq/maps/search/+32.7877,44.278/@32.7877,44.278,14z?hl=en","Maplink2")</f>
        <v>Maplink2</v>
      </c>
      <c r="AW385" s="14" t="str">
        <f>HYPERLINK("http://www.bing.com/maps/?lvl=14&amp;sty=h&amp;cp=32.7877~44.278&amp;sp=point.32.7877_44.278_Hay Al Ataba","Maplink3")</f>
        <v>Maplink3</v>
      </c>
    </row>
    <row r="386" spans="1:49" ht="15" customHeight="1" x14ac:dyDescent="0.25">
      <c r="A386" s="21">
        <v>24959</v>
      </c>
      <c r="B386" s="22" t="s">
        <v>10</v>
      </c>
      <c r="C386" s="22" t="s">
        <v>921</v>
      </c>
      <c r="D386" s="22" t="s">
        <v>971</v>
      </c>
      <c r="E386" s="22" t="s">
        <v>972</v>
      </c>
      <c r="F386" s="22">
        <v>32.778253999999997</v>
      </c>
      <c r="G386" s="22">
        <v>44.288640000000001</v>
      </c>
      <c r="H386" s="21" t="s">
        <v>802</v>
      </c>
      <c r="I386" s="21" t="s">
        <v>924</v>
      </c>
      <c r="J386" s="21"/>
      <c r="K386" s="24">
        <v>8</v>
      </c>
      <c r="L386" s="24">
        <v>48</v>
      </c>
      <c r="M386" s="23"/>
      <c r="N386" s="23">
        <v>8</v>
      </c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>
        <v>8</v>
      </c>
      <c r="AL386" s="23"/>
      <c r="AM386" s="23"/>
      <c r="AN386" s="23"/>
      <c r="AO386" s="23"/>
      <c r="AP386" s="23"/>
      <c r="AQ386" s="23">
        <v>8</v>
      </c>
      <c r="AR386" s="23"/>
      <c r="AS386" s="23"/>
      <c r="AT386" s="23"/>
      <c r="AU386" s="14" t="str">
        <f>HYPERLINK("http://www.openstreetmap.org/?mlat=32.7783&amp;mlon=44.2886&amp;zoom=12#map=12/32.7783/44.2886","Maplink1")</f>
        <v>Maplink1</v>
      </c>
      <c r="AV386" s="14" t="str">
        <f>HYPERLINK("https://www.google.iq/maps/search/+32.7783,44.2886/@32.7783,44.2886,14z?hl=en","Maplink2")</f>
        <v>Maplink2</v>
      </c>
      <c r="AW386" s="14" t="str">
        <f>HYPERLINK("http://www.bing.com/maps/?lvl=14&amp;sty=h&amp;cp=32.7783~44.2886&amp;sp=point.32.7783_44.2886_Hay Al Baladea","Maplink3")</f>
        <v>Maplink3</v>
      </c>
    </row>
    <row r="387" spans="1:49" ht="15" customHeight="1" x14ac:dyDescent="0.25">
      <c r="A387" s="21">
        <v>26125</v>
      </c>
      <c r="B387" s="22" t="s">
        <v>10</v>
      </c>
      <c r="C387" s="22" t="s">
        <v>921</v>
      </c>
      <c r="D387" s="22" t="s">
        <v>973</v>
      </c>
      <c r="E387" s="22" t="s">
        <v>974</v>
      </c>
      <c r="F387" s="22">
        <v>32.789143000000003</v>
      </c>
      <c r="G387" s="22">
        <v>44.269292999999998</v>
      </c>
      <c r="H387" s="21" t="s">
        <v>802</v>
      </c>
      <c r="I387" s="21" t="s">
        <v>924</v>
      </c>
      <c r="J387" s="21"/>
      <c r="K387" s="24">
        <v>82</v>
      </c>
      <c r="L387" s="24">
        <v>492</v>
      </c>
      <c r="M387" s="23"/>
      <c r="N387" s="23">
        <v>82</v>
      </c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82</v>
      </c>
      <c r="AL387" s="23"/>
      <c r="AM387" s="23"/>
      <c r="AN387" s="23"/>
      <c r="AO387" s="23"/>
      <c r="AP387" s="23">
        <v>82</v>
      </c>
      <c r="AQ387" s="23"/>
      <c r="AR387" s="23"/>
      <c r="AS387" s="23"/>
      <c r="AT387" s="23"/>
      <c r="AU387" s="14" t="str">
        <f>HYPERLINK("http://www.openstreetmap.org/?mlat=32.7891&amp;mlon=44.2693&amp;zoom=12#map=12/32.7891/44.2693","Maplink1")</f>
        <v>Maplink1</v>
      </c>
      <c r="AV387" s="14" t="str">
        <f>HYPERLINK("https://www.google.iq/maps/search/+32.7891,44.2693/@32.7891,44.2693,14z?hl=en","Maplink2")</f>
        <v>Maplink2</v>
      </c>
      <c r="AW387" s="14" t="str">
        <f>HYPERLINK("http://www.bing.com/maps/?lvl=14&amp;sty=h&amp;cp=32.7891~44.2693&amp;sp=point.32.7891_44.2693_Hay Al Ghadeer 1","Maplink3")</f>
        <v>Maplink3</v>
      </c>
    </row>
    <row r="388" spans="1:49" ht="15" customHeight="1" x14ac:dyDescent="0.25">
      <c r="A388" s="21">
        <v>26119</v>
      </c>
      <c r="B388" s="22" t="s">
        <v>10</v>
      </c>
      <c r="C388" s="22" t="s">
        <v>921</v>
      </c>
      <c r="D388" s="22" t="s">
        <v>975</v>
      </c>
      <c r="E388" s="22" t="s">
        <v>976</v>
      </c>
      <c r="F388" s="22">
        <v>32.783683000000003</v>
      </c>
      <c r="G388" s="22">
        <v>44.267771000000003</v>
      </c>
      <c r="H388" s="21" t="s">
        <v>802</v>
      </c>
      <c r="I388" s="21" t="s">
        <v>924</v>
      </c>
      <c r="J388" s="21"/>
      <c r="K388" s="24">
        <v>39</v>
      </c>
      <c r="L388" s="24">
        <v>234</v>
      </c>
      <c r="M388" s="23"/>
      <c r="N388" s="23">
        <v>39</v>
      </c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>
        <v>39</v>
      </c>
      <c r="AL388" s="23"/>
      <c r="AM388" s="23"/>
      <c r="AN388" s="23"/>
      <c r="AO388" s="23"/>
      <c r="AP388" s="23">
        <v>39</v>
      </c>
      <c r="AQ388" s="23"/>
      <c r="AR388" s="23"/>
      <c r="AS388" s="23"/>
      <c r="AT388" s="23"/>
      <c r="AU388" s="14" t="str">
        <f>HYPERLINK("http://www.openstreetmap.org/?mlat=32.7837&amp;mlon=44.2678&amp;zoom=12#map=12/32.7837/44.2678","Maplink1")</f>
        <v>Maplink1</v>
      </c>
      <c r="AV388" s="14" t="str">
        <f>HYPERLINK("https://www.google.iq/maps/search/+32.7837,44.2678/@32.7837,44.2678,14z?hl=en","Maplink2")</f>
        <v>Maplink2</v>
      </c>
      <c r="AW388" s="14" t="str">
        <f>HYPERLINK("http://www.bing.com/maps/?lvl=14&amp;sty=h&amp;cp=32.7837~44.2678&amp;sp=point.32.7837_44.2678_Hay Al Ghadeer 3","Maplink3")</f>
        <v>Maplink3</v>
      </c>
    </row>
    <row r="389" spans="1:49" ht="15" customHeight="1" x14ac:dyDescent="0.25">
      <c r="A389" s="21">
        <v>24169</v>
      </c>
      <c r="B389" s="22" t="s">
        <v>10</v>
      </c>
      <c r="C389" s="22" t="s">
        <v>921</v>
      </c>
      <c r="D389" s="22" t="s">
        <v>977</v>
      </c>
      <c r="E389" s="22" t="s">
        <v>978</v>
      </c>
      <c r="F389" s="22">
        <v>32.784953999999999</v>
      </c>
      <c r="G389" s="22">
        <v>44.265340000000002</v>
      </c>
      <c r="H389" s="21" t="s">
        <v>802</v>
      </c>
      <c r="I389" s="21" t="s">
        <v>924</v>
      </c>
      <c r="J389" s="21" t="s">
        <v>979</v>
      </c>
      <c r="K389" s="24">
        <v>77</v>
      </c>
      <c r="L389" s="24">
        <v>462</v>
      </c>
      <c r="M389" s="23">
        <v>1</v>
      </c>
      <c r="N389" s="23">
        <v>76</v>
      </c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>
        <v>77</v>
      </c>
      <c r="AL389" s="23"/>
      <c r="AM389" s="23"/>
      <c r="AN389" s="23"/>
      <c r="AO389" s="23"/>
      <c r="AP389" s="23">
        <v>76</v>
      </c>
      <c r="AQ389" s="23"/>
      <c r="AR389" s="23">
        <v>1</v>
      </c>
      <c r="AS389" s="23"/>
      <c r="AT389" s="23"/>
      <c r="AU389" s="14" t="str">
        <f>HYPERLINK("http://www.openstreetmap.org/?mlat=32.785&amp;mlon=44.2653&amp;zoom=12#map=12/32.785/44.2653","Maplink1")</f>
        <v>Maplink1</v>
      </c>
      <c r="AV389" s="14" t="str">
        <f>HYPERLINK("https://www.google.iq/maps/search/+32.785,44.2653/@32.785,44.2653,14z?hl=en","Maplink2")</f>
        <v>Maplink2</v>
      </c>
      <c r="AW389" s="14" t="str">
        <f>HYPERLINK("http://www.bing.com/maps/?lvl=14&amp;sty=h&amp;cp=32.785~44.2653&amp;sp=point.32.785_44.2653_Hay Al Ghadeer 4","Maplink3")</f>
        <v>Maplink3</v>
      </c>
    </row>
    <row r="390" spans="1:49" ht="15" customHeight="1" x14ac:dyDescent="0.25">
      <c r="A390" s="21">
        <v>29582</v>
      </c>
      <c r="B390" s="22" t="s">
        <v>10</v>
      </c>
      <c r="C390" s="22" t="s">
        <v>921</v>
      </c>
      <c r="D390" s="22" t="s">
        <v>7517</v>
      </c>
      <c r="E390" s="22" t="s">
        <v>7518</v>
      </c>
      <c r="F390" s="22">
        <v>32.776000000000003</v>
      </c>
      <c r="G390" s="22">
        <v>44.295699999999997</v>
      </c>
      <c r="H390" s="21" t="s">
        <v>802</v>
      </c>
      <c r="I390" s="21" t="s">
        <v>924</v>
      </c>
      <c r="J390" s="21"/>
      <c r="K390" s="24">
        <v>92</v>
      </c>
      <c r="L390" s="24">
        <v>552</v>
      </c>
      <c r="M390" s="23"/>
      <c r="N390" s="23">
        <v>92</v>
      </c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>
        <v>92</v>
      </c>
      <c r="AL390" s="23"/>
      <c r="AM390" s="23"/>
      <c r="AN390" s="23"/>
      <c r="AO390" s="23"/>
      <c r="AP390" s="23">
        <v>77</v>
      </c>
      <c r="AQ390" s="23">
        <v>15</v>
      </c>
      <c r="AR390" s="23"/>
      <c r="AS390" s="23"/>
      <c r="AT390" s="23"/>
      <c r="AU390" s="14" t="str">
        <f>HYPERLINK("http://www.openstreetmap.org/?mlat=32.776&amp;mlon=44.2957&amp;zoom=12#map=12/32.776/44.2957","Maplink1")</f>
        <v>Maplink1</v>
      </c>
      <c r="AV390" s="14" t="str">
        <f>HYPERLINK("https://www.google.iq/maps/search/+32.776,44.2957/@32.776,44.2957,14z?hl=en","Maplink2")</f>
        <v>Maplink2</v>
      </c>
      <c r="AW390" s="14" t="str">
        <f>HYPERLINK("http://www.bing.com/maps/?lvl=14&amp;sty=h&amp;cp=32.776~44.2957&amp;sp=point.32.776_44.2957","Maplink3")</f>
        <v>Maplink3</v>
      </c>
    </row>
    <row r="391" spans="1:49" ht="15" customHeight="1" x14ac:dyDescent="0.25">
      <c r="A391" s="21">
        <v>24982</v>
      </c>
      <c r="B391" s="22" t="s">
        <v>10</v>
      </c>
      <c r="C391" s="22" t="s">
        <v>921</v>
      </c>
      <c r="D391" s="22" t="s">
        <v>980</v>
      </c>
      <c r="E391" s="22" t="s">
        <v>981</v>
      </c>
      <c r="F391" s="22">
        <v>32.783994999999997</v>
      </c>
      <c r="G391" s="22">
        <v>44.267662000000001</v>
      </c>
      <c r="H391" s="21" t="s">
        <v>802</v>
      </c>
      <c r="I391" s="21" t="s">
        <v>924</v>
      </c>
      <c r="J391" s="21"/>
      <c r="K391" s="24">
        <v>150</v>
      </c>
      <c r="L391" s="24">
        <v>900</v>
      </c>
      <c r="M391" s="23"/>
      <c r="N391" s="23">
        <v>150</v>
      </c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150</v>
      </c>
      <c r="AL391" s="23"/>
      <c r="AM391" s="23"/>
      <c r="AN391" s="23"/>
      <c r="AO391" s="23"/>
      <c r="AP391" s="23">
        <v>70</v>
      </c>
      <c r="AQ391" s="23">
        <v>80</v>
      </c>
      <c r="AR391" s="23"/>
      <c r="AS391" s="23"/>
      <c r="AT391" s="23"/>
      <c r="AU391" s="14" t="str">
        <f>HYPERLINK("http://www.openstreetmap.org/?mlat=32.784&amp;mlon=44.2677&amp;zoom=12#map=12/32.784/44.2677","Maplink1")</f>
        <v>Maplink1</v>
      </c>
      <c r="AV391" s="14" t="str">
        <f>HYPERLINK("https://www.google.iq/maps/search/+32.784,44.2677/@32.784,44.2677,14z?hl=en","Maplink2")</f>
        <v>Maplink2</v>
      </c>
      <c r="AW391" s="14" t="str">
        <f>HYPERLINK("http://www.bing.com/maps/?lvl=14&amp;sty=h&amp;cp=32.784~44.2677&amp;sp=point.32.784_44.2677_Hay Al Moatnen 2","Maplink3")</f>
        <v>Maplink3</v>
      </c>
    </row>
    <row r="392" spans="1:49" ht="15" customHeight="1" x14ac:dyDescent="0.25">
      <c r="A392" s="21">
        <v>24171</v>
      </c>
      <c r="B392" s="22" t="s">
        <v>10</v>
      </c>
      <c r="C392" s="22" t="s">
        <v>921</v>
      </c>
      <c r="D392" s="22" t="s">
        <v>982</v>
      </c>
      <c r="E392" s="22" t="s">
        <v>983</v>
      </c>
      <c r="F392" s="22">
        <v>32.775990999999998</v>
      </c>
      <c r="G392" s="22">
        <v>44.293433999999998</v>
      </c>
      <c r="H392" s="21" t="s">
        <v>802</v>
      </c>
      <c r="I392" s="21" t="s">
        <v>924</v>
      </c>
      <c r="J392" s="21" t="s">
        <v>984</v>
      </c>
      <c r="K392" s="24">
        <v>145</v>
      </c>
      <c r="L392" s="24">
        <v>870</v>
      </c>
      <c r="M392" s="23"/>
      <c r="N392" s="23">
        <v>145</v>
      </c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>
        <v>145</v>
      </c>
      <c r="AL392" s="23"/>
      <c r="AM392" s="23"/>
      <c r="AN392" s="23"/>
      <c r="AO392" s="23"/>
      <c r="AP392" s="23">
        <v>77</v>
      </c>
      <c r="AQ392" s="23">
        <v>68</v>
      </c>
      <c r="AR392" s="23"/>
      <c r="AS392" s="23"/>
      <c r="AT392" s="23"/>
      <c r="AU392" s="14" t="str">
        <f>HYPERLINK("http://www.openstreetmap.org/?mlat=32.776&amp;mlon=44.2934&amp;zoom=12#map=12/32.776/44.2934","Maplink1")</f>
        <v>Maplink1</v>
      </c>
      <c r="AV392" s="14" t="str">
        <f>HYPERLINK("https://www.google.iq/maps/search/+32.776,44.2934/@32.776,44.2934,14z?hl=en","Maplink2")</f>
        <v>Maplink2</v>
      </c>
      <c r="AW392" s="14" t="str">
        <f>HYPERLINK("http://www.bing.com/maps/?lvl=14&amp;sty=h&amp;cp=32.776~44.2934&amp;sp=point.32.776_44.2934_Hay Al Moatnen 3","Maplink3")</f>
        <v>Maplink3</v>
      </c>
    </row>
    <row r="393" spans="1:49" ht="15" customHeight="1" x14ac:dyDescent="0.25">
      <c r="A393" s="21">
        <v>27308</v>
      </c>
      <c r="B393" s="22" t="s">
        <v>10</v>
      </c>
      <c r="C393" s="22" t="s">
        <v>921</v>
      </c>
      <c r="D393" s="22" t="s">
        <v>985</v>
      </c>
      <c r="E393" s="22" t="s">
        <v>889</v>
      </c>
      <c r="F393" s="22">
        <v>32.750923999999998</v>
      </c>
      <c r="G393" s="22">
        <v>44.280881999999998</v>
      </c>
      <c r="H393" s="21" t="s">
        <v>802</v>
      </c>
      <c r="I393" s="21" t="s">
        <v>924</v>
      </c>
      <c r="J393" s="21"/>
      <c r="K393" s="24">
        <v>20</v>
      </c>
      <c r="L393" s="24">
        <v>120</v>
      </c>
      <c r="M393" s="23">
        <v>10</v>
      </c>
      <c r="N393" s="23">
        <v>10</v>
      </c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>
        <v>20</v>
      </c>
      <c r="AL393" s="23"/>
      <c r="AM393" s="23"/>
      <c r="AN393" s="23"/>
      <c r="AO393" s="23"/>
      <c r="AP393" s="23">
        <v>10</v>
      </c>
      <c r="AQ393" s="23"/>
      <c r="AR393" s="23">
        <v>10</v>
      </c>
      <c r="AS393" s="23"/>
      <c r="AT393" s="23"/>
      <c r="AU393" s="14" t="str">
        <f>HYPERLINK("http://www.openstreetmap.org/?mlat=32.7509&amp;mlon=44.2809&amp;zoom=12#map=12/32.7509/44.2809","Maplink1")</f>
        <v>Maplink1</v>
      </c>
      <c r="AV393" s="14" t="str">
        <f>HYPERLINK("https://www.google.iq/maps/search/+32.7509,44.2809/@32.7509,44.2809,14z?hl=en","Maplink2")</f>
        <v>Maplink2</v>
      </c>
      <c r="AW393" s="14" t="str">
        <f>HYPERLINK("http://www.bing.com/maps/?lvl=14&amp;sty=h&amp;cp=32.7509~44.2809&amp;sp=point.32.7509_44.2809_Hay Al Mowadhafeen","Maplink3")</f>
        <v>Maplink3</v>
      </c>
    </row>
    <row r="394" spans="1:49" ht="15" customHeight="1" x14ac:dyDescent="0.25">
      <c r="A394" s="21">
        <v>7218</v>
      </c>
      <c r="B394" s="22" t="s">
        <v>10</v>
      </c>
      <c r="C394" s="22" t="s">
        <v>921</v>
      </c>
      <c r="D394" s="22" t="s">
        <v>221</v>
      </c>
      <c r="E394" s="22" t="s">
        <v>222</v>
      </c>
      <c r="F394" s="22">
        <v>32.700262000000002</v>
      </c>
      <c r="G394" s="22">
        <v>44.267310999999999</v>
      </c>
      <c r="H394" s="21" t="s">
        <v>802</v>
      </c>
      <c r="I394" s="21" t="s">
        <v>924</v>
      </c>
      <c r="J394" s="21" t="s">
        <v>986</v>
      </c>
      <c r="K394" s="24">
        <v>12</v>
      </c>
      <c r="L394" s="24">
        <v>72</v>
      </c>
      <c r="M394" s="23">
        <v>10</v>
      </c>
      <c r="N394" s="23">
        <v>2</v>
      </c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>
        <v>12</v>
      </c>
      <c r="AL394" s="23"/>
      <c r="AM394" s="23"/>
      <c r="AN394" s="23"/>
      <c r="AO394" s="23"/>
      <c r="AP394" s="23"/>
      <c r="AQ394" s="23">
        <v>2</v>
      </c>
      <c r="AR394" s="23">
        <v>8</v>
      </c>
      <c r="AS394" s="23">
        <v>2</v>
      </c>
      <c r="AT394" s="23"/>
      <c r="AU394" s="14" t="str">
        <f>HYPERLINK("http://www.openstreetmap.org/?mlat=32.7003&amp;mlon=44.2673&amp;zoom=12#map=12/32.7003/44.2673","Maplink1")</f>
        <v>Maplink1</v>
      </c>
      <c r="AV394" s="14" t="str">
        <f>HYPERLINK("https://www.google.iq/maps/search/+32.7003,44.2673/@32.7003,44.2673,14z?hl=en","Maplink2")</f>
        <v>Maplink2</v>
      </c>
      <c r="AW394" s="14" t="str">
        <f>HYPERLINK("http://www.bing.com/maps/?lvl=14&amp;sty=h&amp;cp=32.7003~44.2673&amp;sp=point.32.7003_44.2673_Hay Al Nasir","Maplink3")</f>
        <v>Maplink3</v>
      </c>
    </row>
    <row r="395" spans="1:49" ht="15" customHeight="1" x14ac:dyDescent="0.25">
      <c r="A395" s="21">
        <v>24648</v>
      </c>
      <c r="B395" s="22" t="s">
        <v>10</v>
      </c>
      <c r="C395" s="22" t="s">
        <v>921</v>
      </c>
      <c r="D395" s="22" t="s">
        <v>987</v>
      </c>
      <c r="E395" s="22" t="s">
        <v>988</v>
      </c>
      <c r="F395" s="22">
        <v>32.878886000000001</v>
      </c>
      <c r="G395" s="22">
        <v>44.384526999999999</v>
      </c>
      <c r="H395" s="21" t="s">
        <v>802</v>
      </c>
      <c r="I395" s="21" t="s">
        <v>924</v>
      </c>
      <c r="J395" s="21"/>
      <c r="K395" s="24">
        <v>36</v>
      </c>
      <c r="L395" s="24">
        <v>216</v>
      </c>
      <c r="M395" s="23"/>
      <c r="N395" s="23">
        <v>36</v>
      </c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>
        <v>36</v>
      </c>
      <c r="AL395" s="23"/>
      <c r="AM395" s="23"/>
      <c r="AN395" s="23"/>
      <c r="AO395" s="23"/>
      <c r="AP395" s="23">
        <v>36</v>
      </c>
      <c r="AQ395" s="23"/>
      <c r="AR395" s="23"/>
      <c r="AS395" s="23"/>
      <c r="AT395" s="23"/>
      <c r="AU395" s="14" t="str">
        <f>HYPERLINK("http://www.openstreetmap.org/?mlat=32.8789&amp;mlon=44.3845&amp;zoom=12#map=12/32.8789/44.3845","Maplink1")</f>
        <v>Maplink1</v>
      </c>
      <c r="AV395" s="14" t="str">
        <f>HYPERLINK("https://www.google.iq/maps/search/+32.8789,44.3845/@32.8789,44.3845,14z?hl=en","Maplink2")</f>
        <v>Maplink2</v>
      </c>
      <c r="AW395" s="14" t="str">
        <f>HYPERLINK("http://www.bing.com/maps/?lvl=14&amp;sty=h&amp;cp=32.8789~44.3845&amp;sp=point.32.8789_44.3845_Hay Al Quds-Al Eskandariya","Maplink3")</f>
        <v>Maplink3</v>
      </c>
    </row>
    <row r="396" spans="1:49" ht="15" customHeight="1" x14ac:dyDescent="0.25">
      <c r="A396" s="21">
        <v>24706</v>
      </c>
      <c r="B396" s="22" t="s">
        <v>10</v>
      </c>
      <c r="C396" s="22" t="s">
        <v>921</v>
      </c>
      <c r="D396" s="22" t="s">
        <v>989</v>
      </c>
      <c r="E396" s="22" t="s">
        <v>990</v>
      </c>
      <c r="F396" s="22">
        <v>32.728676</v>
      </c>
      <c r="G396" s="22">
        <v>44.270862000000001</v>
      </c>
      <c r="H396" s="21" t="s">
        <v>802</v>
      </c>
      <c r="I396" s="21" t="s">
        <v>924</v>
      </c>
      <c r="J396" s="21"/>
      <c r="K396" s="24">
        <v>7</v>
      </c>
      <c r="L396" s="24">
        <v>42</v>
      </c>
      <c r="M396" s="23"/>
      <c r="N396" s="23">
        <v>6</v>
      </c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>
        <v>1</v>
      </c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7</v>
      </c>
      <c r="AL396" s="23"/>
      <c r="AM396" s="23"/>
      <c r="AN396" s="23"/>
      <c r="AO396" s="23"/>
      <c r="AP396" s="23"/>
      <c r="AQ396" s="23">
        <v>7</v>
      </c>
      <c r="AR396" s="23"/>
      <c r="AS396" s="23"/>
      <c r="AT396" s="23"/>
      <c r="AU396" s="14" t="str">
        <f>HYPERLINK("http://www.openstreetmap.org/?mlat=32.7287&amp;mlon=44.2709&amp;zoom=12#map=12/32.7287/44.2709","Maplink1")</f>
        <v>Maplink1</v>
      </c>
      <c r="AV396" s="14" t="str">
        <f>HYPERLINK("https://www.google.iq/maps/search/+32.7287,44.2709/@32.7287,44.2709,14z?hl=en","Maplink2")</f>
        <v>Maplink2</v>
      </c>
      <c r="AW396" s="14" t="str">
        <f>HYPERLINK("http://www.bing.com/maps/?lvl=14&amp;sty=h&amp;cp=32.7287~44.2709&amp;sp=point.32.7287_44.2709_Hay Al Ray","Maplink3")</f>
        <v>Maplink3</v>
      </c>
    </row>
    <row r="397" spans="1:49" ht="15" customHeight="1" x14ac:dyDescent="0.25">
      <c r="A397" s="21">
        <v>24170</v>
      </c>
      <c r="B397" s="22" t="s">
        <v>10</v>
      </c>
      <c r="C397" s="22" t="s">
        <v>921</v>
      </c>
      <c r="D397" s="22" t="s">
        <v>444</v>
      </c>
      <c r="E397" s="22" t="s">
        <v>261</v>
      </c>
      <c r="F397" s="22">
        <v>32.782023000000002</v>
      </c>
      <c r="G397" s="22">
        <v>44.272646000000002</v>
      </c>
      <c r="H397" s="21" t="s">
        <v>802</v>
      </c>
      <c r="I397" s="21" t="s">
        <v>924</v>
      </c>
      <c r="J397" s="21" t="s">
        <v>991</v>
      </c>
      <c r="K397" s="24">
        <v>25</v>
      </c>
      <c r="L397" s="24">
        <v>150</v>
      </c>
      <c r="M397" s="23">
        <v>10</v>
      </c>
      <c r="N397" s="23">
        <v>15</v>
      </c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25</v>
      </c>
      <c r="AL397" s="23"/>
      <c r="AM397" s="23"/>
      <c r="AN397" s="23"/>
      <c r="AO397" s="23"/>
      <c r="AP397" s="23">
        <v>10</v>
      </c>
      <c r="AQ397" s="23"/>
      <c r="AR397" s="23">
        <v>15</v>
      </c>
      <c r="AS397" s="23"/>
      <c r="AT397" s="23"/>
      <c r="AU397" s="14" t="str">
        <f>HYPERLINK("http://www.openstreetmap.org/?mlat=32.782&amp;mlon=44.2726&amp;zoom=12#map=12/32.782/44.2726","Maplink1")</f>
        <v>Maplink1</v>
      </c>
      <c r="AV397" s="14" t="str">
        <f>HYPERLINK("https://www.google.iq/maps/search/+32.782,44.2726/@32.782,44.2726,14z?hl=en","Maplink2")</f>
        <v>Maplink2</v>
      </c>
      <c r="AW397" s="14" t="str">
        <f>HYPERLINK("http://www.bing.com/maps/?lvl=14&amp;sty=h&amp;cp=32.782~44.2726&amp;sp=point.32.782_44.2726_Hay Al Shurta","Maplink3")</f>
        <v>Maplink3</v>
      </c>
    </row>
    <row r="398" spans="1:49" ht="15" customHeight="1" x14ac:dyDescent="0.25">
      <c r="A398" s="21">
        <v>24653</v>
      </c>
      <c r="B398" s="22" t="s">
        <v>10</v>
      </c>
      <c r="C398" s="22" t="s">
        <v>921</v>
      </c>
      <c r="D398" s="22" t="s">
        <v>992</v>
      </c>
      <c r="E398" s="22" t="s">
        <v>993</v>
      </c>
      <c r="F398" s="22">
        <v>32.884149000000001</v>
      </c>
      <c r="G398" s="22">
        <v>44.385846999999998</v>
      </c>
      <c r="H398" s="21" t="s">
        <v>802</v>
      </c>
      <c r="I398" s="21" t="s">
        <v>924</v>
      </c>
      <c r="J398" s="21"/>
      <c r="K398" s="24">
        <v>23</v>
      </c>
      <c r="L398" s="24">
        <v>138</v>
      </c>
      <c r="M398" s="23"/>
      <c r="N398" s="23">
        <v>23</v>
      </c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>
        <v>23</v>
      </c>
      <c r="AL398" s="23"/>
      <c r="AM398" s="23"/>
      <c r="AN398" s="23"/>
      <c r="AO398" s="23"/>
      <c r="AP398" s="23">
        <v>4</v>
      </c>
      <c r="AQ398" s="23">
        <v>19</v>
      </c>
      <c r="AR398" s="23"/>
      <c r="AS398" s="23"/>
      <c r="AT398" s="23"/>
      <c r="AU398" s="14" t="str">
        <f>HYPERLINK("http://www.openstreetmap.org/?mlat=32.8841&amp;mlon=44.3858&amp;zoom=12#map=12/32.8841/44.3858","Maplink1")</f>
        <v>Maplink1</v>
      </c>
      <c r="AV398" s="14" t="str">
        <f>HYPERLINK("https://www.google.iq/maps/search/+32.8841,44.3858/@32.8841,44.3858,14z?hl=en","Maplink2")</f>
        <v>Maplink2</v>
      </c>
      <c r="AW398" s="14" t="str">
        <f>HYPERLINK("http://www.bing.com/maps/?lvl=14&amp;sty=h&amp;cp=32.8841~44.3858&amp;sp=point.32.8841_44.3858_Hay Al-Anwar-Al Eskandariya","Maplink3")</f>
        <v>Maplink3</v>
      </c>
    </row>
    <row r="399" spans="1:49" ht="15" customHeight="1" x14ac:dyDescent="0.25">
      <c r="A399" s="21">
        <v>7001</v>
      </c>
      <c r="B399" s="22" t="s">
        <v>10</v>
      </c>
      <c r="C399" s="22" t="s">
        <v>921</v>
      </c>
      <c r="D399" s="22" t="s">
        <v>994</v>
      </c>
      <c r="E399" s="22" t="s">
        <v>995</v>
      </c>
      <c r="F399" s="22">
        <v>32.477778000000001</v>
      </c>
      <c r="G399" s="22">
        <v>44.418056</v>
      </c>
      <c r="H399" s="21" t="s">
        <v>802</v>
      </c>
      <c r="I399" s="21" t="s">
        <v>924</v>
      </c>
      <c r="J399" s="21" t="s">
        <v>996</v>
      </c>
      <c r="K399" s="24">
        <v>3</v>
      </c>
      <c r="L399" s="24">
        <v>18</v>
      </c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>
        <v>3</v>
      </c>
      <c r="Z399" s="23"/>
      <c r="AA399" s="23"/>
      <c r="AB399" s="23"/>
      <c r="AC399" s="23"/>
      <c r="AD399" s="23"/>
      <c r="AE399" s="23"/>
      <c r="AF399" s="23">
        <v>3</v>
      </c>
      <c r="AG399" s="23"/>
      <c r="AH399" s="23"/>
      <c r="AI399" s="23"/>
      <c r="AJ399" s="23"/>
      <c r="AK399" s="23"/>
      <c r="AL399" s="23"/>
      <c r="AM399" s="23"/>
      <c r="AN399" s="23"/>
      <c r="AO399" s="23"/>
      <c r="AP399" s="23">
        <v>3</v>
      </c>
      <c r="AQ399" s="23"/>
      <c r="AR399" s="23"/>
      <c r="AS399" s="23"/>
      <c r="AT399" s="23"/>
      <c r="AU399" s="14" t="str">
        <f>HYPERLINK("http://www.openstreetmap.org/?mlat=32.4778&amp;mlon=44.4181&amp;zoom=12#map=12/32.4778/44.4181","Maplink1")</f>
        <v>Maplink1</v>
      </c>
      <c r="AV399" s="14" t="str">
        <f>HYPERLINK("https://www.google.iq/maps/search/+32.4778,44.4181/@32.4778,44.4181,14z?hl=en","Maplink2")</f>
        <v>Maplink2</v>
      </c>
      <c r="AW399" s="14" t="str">
        <f>HYPERLINK("http://www.bing.com/maps/?lvl=14&amp;sty=h&amp;cp=32.4778~44.4181&amp;sp=point.32.4778_44.4181_Hay al-hussein","Maplink3")</f>
        <v>Maplink3</v>
      </c>
    </row>
    <row r="400" spans="1:49" ht="15" customHeight="1" x14ac:dyDescent="0.25">
      <c r="A400" s="21">
        <v>6951</v>
      </c>
      <c r="B400" s="22" t="s">
        <v>10</v>
      </c>
      <c r="C400" s="22" t="s">
        <v>921</v>
      </c>
      <c r="D400" s="22" t="s">
        <v>878</v>
      </c>
      <c r="E400" s="22" t="s">
        <v>997</v>
      </c>
      <c r="F400" s="22">
        <v>32.780822000000001</v>
      </c>
      <c r="G400" s="22">
        <v>44.292264000000003</v>
      </c>
      <c r="H400" s="21" t="s">
        <v>802</v>
      </c>
      <c r="I400" s="21" t="s">
        <v>924</v>
      </c>
      <c r="J400" s="21" t="s">
        <v>998</v>
      </c>
      <c r="K400" s="24">
        <v>21</v>
      </c>
      <c r="L400" s="24">
        <v>126</v>
      </c>
      <c r="M400" s="23">
        <v>1</v>
      </c>
      <c r="N400" s="23">
        <v>20</v>
      </c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>
        <v>21</v>
      </c>
      <c r="AL400" s="23"/>
      <c r="AM400" s="23"/>
      <c r="AN400" s="23"/>
      <c r="AO400" s="23"/>
      <c r="AP400" s="23">
        <v>1</v>
      </c>
      <c r="AQ400" s="23">
        <v>20</v>
      </c>
      <c r="AR400" s="23"/>
      <c r="AS400" s="23"/>
      <c r="AT400" s="23"/>
      <c r="AU400" s="14" t="str">
        <f>HYPERLINK("http://www.openstreetmap.org/?mlat=32.7808&amp;mlon=44.2923&amp;zoom=12#map=12/32.7808/44.2923","Maplink1")</f>
        <v>Maplink1</v>
      </c>
      <c r="AV400" s="14" t="str">
        <f>HYPERLINK("https://www.google.iq/maps/search/+32.7808,44.2923/@32.7808,44.2923,14z?hl=en","Maplink2")</f>
        <v>Maplink2</v>
      </c>
      <c r="AW400" s="14" t="str">
        <f>HYPERLINK("http://www.bing.com/maps/?lvl=14&amp;sty=h&amp;cp=32.7808~44.2923&amp;sp=point.32.7808_44.2923_Hay Al-Jamhoreiah","Maplink3")</f>
        <v>Maplink3</v>
      </c>
    </row>
    <row r="401" spans="1:49" ht="15" customHeight="1" x14ac:dyDescent="0.25">
      <c r="A401" s="21">
        <v>7196</v>
      </c>
      <c r="B401" s="22" t="s">
        <v>10</v>
      </c>
      <c r="C401" s="22" t="s">
        <v>921</v>
      </c>
      <c r="D401" s="22" t="s">
        <v>999</v>
      </c>
      <c r="E401" s="22" t="s">
        <v>429</v>
      </c>
      <c r="F401" s="22">
        <v>32.457000000000001</v>
      </c>
      <c r="G401" s="22">
        <v>44.387999999999998</v>
      </c>
      <c r="H401" s="21" t="s">
        <v>802</v>
      </c>
      <c r="I401" s="21" t="s">
        <v>924</v>
      </c>
      <c r="J401" s="21" t="s">
        <v>1000</v>
      </c>
      <c r="K401" s="24">
        <v>25</v>
      </c>
      <c r="L401" s="24">
        <v>150</v>
      </c>
      <c r="M401" s="23">
        <v>3</v>
      </c>
      <c r="N401" s="23">
        <v>22</v>
      </c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>
        <v>25</v>
      </c>
      <c r="AL401" s="23"/>
      <c r="AM401" s="23"/>
      <c r="AN401" s="23"/>
      <c r="AO401" s="23"/>
      <c r="AP401" s="23">
        <v>22</v>
      </c>
      <c r="AQ401" s="23"/>
      <c r="AR401" s="23">
        <v>3</v>
      </c>
      <c r="AS401" s="23"/>
      <c r="AT401" s="23"/>
      <c r="AU401" s="14" t="str">
        <f>HYPERLINK("http://www.openstreetmap.org/?mlat=32.457&amp;mlon=44.388&amp;zoom=12#map=12/32.457/44.388","Maplink1")</f>
        <v>Maplink1</v>
      </c>
      <c r="AV401" s="14" t="str">
        <f>HYPERLINK("https://www.google.iq/maps/search/+32.457,44.388/@32.457,44.388,14z?hl=en","Maplink2")</f>
        <v>Maplink2</v>
      </c>
      <c r="AW401" s="14" t="str">
        <f>HYPERLINK("http://www.bing.com/maps/?lvl=14&amp;sty=h&amp;cp=32.457~44.388&amp;sp=point.32.457_44.388_Hay Al-Mustafa","Maplink3")</f>
        <v>Maplink3</v>
      </c>
    </row>
    <row r="402" spans="1:49" ht="15" customHeight="1" x14ac:dyDescent="0.25">
      <c r="A402" s="21">
        <v>24651</v>
      </c>
      <c r="B402" s="22" t="s">
        <v>10</v>
      </c>
      <c r="C402" s="22" t="s">
        <v>921</v>
      </c>
      <c r="D402" s="22" t="s">
        <v>1001</v>
      </c>
      <c r="E402" s="22" t="s">
        <v>1002</v>
      </c>
      <c r="F402" s="22">
        <v>32.879272</v>
      </c>
      <c r="G402" s="22">
        <v>44.382123</v>
      </c>
      <c r="H402" s="21" t="s">
        <v>802</v>
      </c>
      <c r="I402" s="21" t="s">
        <v>924</v>
      </c>
      <c r="J402" s="21"/>
      <c r="K402" s="24">
        <v>7</v>
      </c>
      <c r="L402" s="24">
        <v>42</v>
      </c>
      <c r="M402" s="23"/>
      <c r="N402" s="23">
        <v>7</v>
      </c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>
        <v>7</v>
      </c>
      <c r="AL402" s="23"/>
      <c r="AM402" s="23"/>
      <c r="AN402" s="23"/>
      <c r="AO402" s="23"/>
      <c r="AP402" s="23">
        <v>7</v>
      </c>
      <c r="AQ402" s="23"/>
      <c r="AR402" s="23"/>
      <c r="AS402" s="23"/>
      <c r="AT402" s="23"/>
      <c r="AU402" s="14" t="str">
        <f>HYPERLINK("http://www.openstreetmap.org/?mlat=32.8793&amp;mlon=44.3821&amp;zoom=12#map=12/32.8793/44.3821","Maplink1")</f>
        <v>Maplink1</v>
      </c>
      <c r="AV402" s="14" t="str">
        <f>HYPERLINK("https://www.google.iq/maps/search/+32.8793,44.3821/@32.8793,44.3821,14z?hl=en","Maplink2")</f>
        <v>Maplink2</v>
      </c>
      <c r="AW402" s="14" t="str">
        <f>HYPERLINK("http://www.bing.com/maps/?lvl=14&amp;sty=h&amp;cp=32.8793~44.3821&amp;sp=point.32.8793_44.3821_Hay Al-Qadissiyah-Al Eskandariya","Maplink3")</f>
        <v>Maplink3</v>
      </c>
    </row>
    <row r="403" spans="1:49" ht="15" customHeight="1" x14ac:dyDescent="0.25">
      <c r="A403" s="21">
        <v>24984</v>
      </c>
      <c r="B403" s="22" t="s">
        <v>10</v>
      </c>
      <c r="C403" s="22" t="s">
        <v>921</v>
      </c>
      <c r="D403" s="22" t="s">
        <v>1003</v>
      </c>
      <c r="E403" s="22" t="s">
        <v>7584</v>
      </c>
      <c r="F403" s="22">
        <v>32.887284999999999</v>
      </c>
      <c r="G403" s="22">
        <v>44.342540999999997</v>
      </c>
      <c r="H403" s="21" t="s">
        <v>802</v>
      </c>
      <c r="I403" s="21" t="s">
        <v>924</v>
      </c>
      <c r="J403" s="21"/>
      <c r="K403" s="24">
        <v>96</v>
      </c>
      <c r="L403" s="24">
        <v>576</v>
      </c>
      <c r="M403" s="23"/>
      <c r="N403" s="23">
        <v>96</v>
      </c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>
        <v>96</v>
      </c>
      <c r="AL403" s="23"/>
      <c r="AM403" s="23"/>
      <c r="AN403" s="23"/>
      <c r="AO403" s="23"/>
      <c r="AP403" s="23">
        <v>96</v>
      </c>
      <c r="AQ403" s="23"/>
      <c r="AR403" s="23"/>
      <c r="AS403" s="23"/>
      <c r="AT403" s="23"/>
      <c r="AU403" s="14" t="str">
        <f>HYPERLINK("http://www.openstreetmap.org/?mlat=32.8873&amp;mlon=44.3425&amp;zoom=12#map=12/32.8873/44.3425","Maplink1")</f>
        <v>Maplink1</v>
      </c>
      <c r="AV403" s="14" t="str">
        <f>HYPERLINK("https://www.google.iq/maps/search/+32.8873,44.3425/@32.8873,44.3425,14z?hl=en","Maplink2")</f>
        <v>Maplink2</v>
      </c>
      <c r="AW403" s="14" t="str">
        <f>HYPERLINK("http://www.bing.com/maps/?lvl=14&amp;sty=h&amp;cp=32.8873~44.3425&amp;sp=point.32.8873_44.3425_Hay Al-Rafedain","Maplink3")</f>
        <v>Maplink3</v>
      </c>
    </row>
    <row r="404" spans="1:49" ht="15" customHeight="1" x14ac:dyDescent="0.25">
      <c r="A404" s="21">
        <v>24654</v>
      </c>
      <c r="B404" s="22" t="s">
        <v>10</v>
      </c>
      <c r="C404" s="22" t="s">
        <v>921</v>
      </c>
      <c r="D404" s="22" t="s">
        <v>1004</v>
      </c>
      <c r="E404" s="22" t="s">
        <v>1005</v>
      </c>
      <c r="F404" s="22">
        <v>32.885289</v>
      </c>
      <c r="G404" s="22">
        <v>44.342702000000003</v>
      </c>
      <c r="H404" s="21" t="s">
        <v>802</v>
      </c>
      <c r="I404" s="21" t="s">
        <v>924</v>
      </c>
      <c r="J404" s="21"/>
      <c r="K404" s="24">
        <v>7</v>
      </c>
      <c r="L404" s="24">
        <v>42</v>
      </c>
      <c r="M404" s="23"/>
      <c r="N404" s="23">
        <v>2</v>
      </c>
      <c r="O404" s="23">
        <v>5</v>
      </c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>
        <v>7</v>
      </c>
      <c r="AL404" s="23"/>
      <c r="AM404" s="23"/>
      <c r="AN404" s="23"/>
      <c r="AO404" s="23"/>
      <c r="AP404" s="23">
        <v>7</v>
      </c>
      <c r="AQ404" s="23"/>
      <c r="AR404" s="23"/>
      <c r="AS404" s="23"/>
      <c r="AT404" s="23"/>
      <c r="AU404" s="14" t="str">
        <f>HYPERLINK("http://www.openstreetmap.org/?mlat=32.8853&amp;mlon=44.3427&amp;zoom=12#map=12/32.8853/44.3427","Maplink1")</f>
        <v>Maplink1</v>
      </c>
      <c r="AV404" s="14" t="str">
        <f>HYPERLINK("https://www.google.iq/maps/search/+32.8853,44.3427/@32.8853,44.3427,14z?hl=en","Maplink2")</f>
        <v>Maplink2</v>
      </c>
      <c r="AW404" s="14" t="str">
        <f>HYPERLINK("http://www.bing.com/maps/?lvl=14&amp;sty=h&amp;cp=32.8853~44.3427&amp;sp=point.32.8853_44.3427_Hay Al-Risalah-Al Eskandariya","Maplink3")</f>
        <v>Maplink3</v>
      </c>
    </row>
    <row r="405" spans="1:49" ht="15" customHeight="1" x14ac:dyDescent="0.25">
      <c r="A405" s="21">
        <v>7240</v>
      </c>
      <c r="B405" s="22" t="s">
        <v>10</v>
      </c>
      <c r="C405" s="22" t="s">
        <v>921</v>
      </c>
      <c r="D405" s="22" t="s">
        <v>1006</v>
      </c>
      <c r="E405" s="22" t="s">
        <v>1007</v>
      </c>
      <c r="F405" s="22">
        <v>32.786999999999999</v>
      </c>
      <c r="G405" s="22">
        <v>44.292999999999999</v>
      </c>
      <c r="H405" s="21" t="s">
        <v>802</v>
      </c>
      <c r="I405" s="21" t="s">
        <v>924</v>
      </c>
      <c r="J405" s="21" t="s">
        <v>1008</v>
      </c>
      <c r="K405" s="24">
        <v>11</v>
      </c>
      <c r="L405" s="24">
        <v>66</v>
      </c>
      <c r="M405" s="23"/>
      <c r="N405" s="23">
        <v>11</v>
      </c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>
        <v>11</v>
      </c>
      <c r="AL405" s="23"/>
      <c r="AM405" s="23"/>
      <c r="AN405" s="23"/>
      <c r="AO405" s="23"/>
      <c r="AP405" s="23"/>
      <c r="AQ405" s="23">
        <v>11</v>
      </c>
      <c r="AR405" s="23"/>
      <c r="AS405" s="23"/>
      <c r="AT405" s="23"/>
      <c r="AU405" s="14" t="str">
        <f>HYPERLINK("http://www.openstreetmap.org/?mlat=32.787&amp;mlon=44.293&amp;zoom=12#map=12/32.787/44.293","Maplink1")</f>
        <v>Maplink1</v>
      </c>
      <c r="AV405" s="14" t="str">
        <f>HYPERLINK("https://www.google.iq/maps/search/+32.787,44.293/@32.787,44.293,14z?hl=en","Maplink2")</f>
        <v>Maplink2</v>
      </c>
      <c r="AW405" s="14" t="str">
        <f>HYPERLINK("http://www.bing.com/maps/?lvl=14&amp;sty=h&amp;cp=32.787~44.293&amp;sp=point.32.787_44.293_Hay Al-Sajaad","Maplink3")</f>
        <v>Maplink3</v>
      </c>
    </row>
    <row r="406" spans="1:49" ht="15" customHeight="1" x14ac:dyDescent="0.25">
      <c r="A406" s="21">
        <v>6955</v>
      </c>
      <c r="B406" s="22" t="s">
        <v>10</v>
      </c>
      <c r="C406" s="22" t="s">
        <v>921</v>
      </c>
      <c r="D406" s="22" t="s">
        <v>1009</v>
      </c>
      <c r="E406" s="22" t="s">
        <v>129</v>
      </c>
      <c r="F406" s="22">
        <v>32.771476</v>
      </c>
      <c r="G406" s="22">
        <v>44.292082000000001</v>
      </c>
      <c r="H406" s="21" t="s">
        <v>802</v>
      </c>
      <c r="I406" s="21" t="s">
        <v>924</v>
      </c>
      <c r="J406" s="21" t="s">
        <v>1010</v>
      </c>
      <c r="K406" s="24">
        <v>37</v>
      </c>
      <c r="L406" s="24">
        <v>222</v>
      </c>
      <c r="M406" s="23"/>
      <c r="N406" s="23">
        <v>37</v>
      </c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>
        <v>37</v>
      </c>
      <c r="AL406" s="23"/>
      <c r="AM406" s="23"/>
      <c r="AN406" s="23"/>
      <c r="AO406" s="23"/>
      <c r="AP406" s="23"/>
      <c r="AQ406" s="23">
        <v>37</v>
      </c>
      <c r="AR406" s="23"/>
      <c r="AS406" s="23"/>
      <c r="AT406" s="23"/>
      <c r="AU406" s="14" t="str">
        <f>HYPERLINK("http://www.openstreetmap.org/?mlat=32.7715&amp;mlon=44.2921&amp;zoom=12#map=12/32.7715/44.2921","Maplink1")</f>
        <v>Maplink1</v>
      </c>
      <c r="AV406" s="14" t="str">
        <f>HYPERLINK("https://www.google.iq/maps/search/+32.7715,44.2921/@32.7715,44.2921,14z?hl=en","Maplink2")</f>
        <v>Maplink2</v>
      </c>
      <c r="AW406" s="14" t="str">
        <f>HYPERLINK("http://www.bing.com/maps/?lvl=14&amp;sty=h&amp;cp=32.7715~44.2921&amp;sp=point.32.7715_44.2921_Hay Al-Shuhadaa","Maplink3")</f>
        <v>Maplink3</v>
      </c>
    </row>
    <row r="407" spans="1:49" ht="15" customHeight="1" x14ac:dyDescent="0.25">
      <c r="A407" s="21">
        <v>27372</v>
      </c>
      <c r="B407" s="22" t="s">
        <v>10</v>
      </c>
      <c r="C407" s="22" t="s">
        <v>921</v>
      </c>
      <c r="D407" s="22" t="s">
        <v>1011</v>
      </c>
      <c r="E407" s="22" t="s">
        <v>1012</v>
      </c>
      <c r="F407" s="22">
        <v>32.701788999999998</v>
      </c>
      <c r="G407" s="22">
        <v>44.272717</v>
      </c>
      <c r="H407" s="21" t="s">
        <v>802</v>
      </c>
      <c r="I407" s="21" t="s">
        <v>924</v>
      </c>
      <c r="J407" s="21"/>
      <c r="K407" s="24">
        <v>16</v>
      </c>
      <c r="L407" s="24">
        <v>96</v>
      </c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>
        <v>16</v>
      </c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>
        <v>16</v>
      </c>
      <c r="AL407" s="23"/>
      <c r="AM407" s="23"/>
      <c r="AN407" s="23"/>
      <c r="AO407" s="23"/>
      <c r="AP407" s="23"/>
      <c r="AQ407" s="23">
        <v>16</v>
      </c>
      <c r="AR407" s="23"/>
      <c r="AS407" s="23"/>
      <c r="AT407" s="23"/>
      <c r="AU407" s="14" t="str">
        <f>HYPERLINK("http://www.openstreetmap.org/?mlat=32.7018&amp;mlon=44.2727&amp;zoom=12#map=12/32.7018/44.2727","Maplink1")</f>
        <v>Maplink1</v>
      </c>
      <c r="AV407" s="14" t="str">
        <f>HYPERLINK("https://www.google.iq/maps/search/+32.7018,44.2727/@32.7018,44.2727,14z?hl=en","Maplink2")</f>
        <v>Maplink2</v>
      </c>
      <c r="AW407" s="14" t="str">
        <f>HYPERLINK("http://www.bing.com/maps/?lvl=14&amp;sty=h&amp;cp=32.7018~44.2727&amp;sp=point.32.7018_44.2727_Hay AlAbbas","Maplink3")</f>
        <v>Maplink3</v>
      </c>
    </row>
    <row r="408" spans="1:49" ht="15" customHeight="1" x14ac:dyDescent="0.25">
      <c r="A408" s="21">
        <v>24985</v>
      </c>
      <c r="B408" s="22" t="s">
        <v>10</v>
      </c>
      <c r="C408" s="22" t="s">
        <v>921</v>
      </c>
      <c r="D408" s="22" t="s">
        <v>1013</v>
      </c>
      <c r="E408" s="22" t="s">
        <v>7585</v>
      </c>
      <c r="F408" s="22">
        <v>32.885164000000003</v>
      </c>
      <c r="G408" s="22">
        <v>44.342064999999998</v>
      </c>
      <c r="H408" s="21" t="s">
        <v>802</v>
      </c>
      <c r="I408" s="21" t="s">
        <v>924</v>
      </c>
      <c r="J408" s="21"/>
      <c r="K408" s="24">
        <v>69</v>
      </c>
      <c r="L408" s="24">
        <v>414</v>
      </c>
      <c r="M408" s="23"/>
      <c r="N408" s="23">
        <v>69</v>
      </c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>
        <v>69</v>
      </c>
      <c r="AL408" s="23"/>
      <c r="AM408" s="23"/>
      <c r="AN408" s="23"/>
      <c r="AO408" s="23"/>
      <c r="AP408" s="23">
        <v>69</v>
      </c>
      <c r="AQ408" s="23"/>
      <c r="AR408" s="23"/>
      <c r="AS408" s="23"/>
      <c r="AT408" s="23"/>
      <c r="AU408" s="14" t="str">
        <f>HYPERLINK("http://www.openstreetmap.org/?mlat=32.8852&amp;mlon=44.3421&amp;zoom=12#map=12/32.8852/44.3421","Maplink1")</f>
        <v>Maplink1</v>
      </c>
      <c r="AV408" s="14" t="str">
        <f>HYPERLINK("https://www.google.iq/maps/search/+32.8852,44.3421/@32.8852,44.3421,14z?hl=en","Maplink2")</f>
        <v>Maplink2</v>
      </c>
      <c r="AW408" s="14" t="str">
        <f>HYPERLINK("http://www.bing.com/maps/?lvl=14&amp;sty=h&amp;cp=32.8852~44.3421&amp;sp=point.32.8852_44.3421_Hay Alaskarey","Maplink3")</f>
        <v>Maplink3</v>
      </c>
    </row>
    <row r="409" spans="1:49" ht="15" customHeight="1" x14ac:dyDescent="0.25">
      <c r="A409" s="21">
        <v>24983</v>
      </c>
      <c r="B409" s="22" t="s">
        <v>10</v>
      </c>
      <c r="C409" s="22" t="s">
        <v>921</v>
      </c>
      <c r="D409" s="22" t="s">
        <v>1014</v>
      </c>
      <c r="E409" s="22" t="s">
        <v>7586</v>
      </c>
      <c r="F409" s="22">
        <v>32.783831999999997</v>
      </c>
      <c r="G409" s="22">
        <v>44.266936000000001</v>
      </c>
      <c r="H409" s="21" t="s">
        <v>802</v>
      </c>
      <c r="I409" s="21" t="s">
        <v>924</v>
      </c>
      <c r="J409" s="21"/>
      <c r="K409" s="24">
        <v>129</v>
      </c>
      <c r="L409" s="24">
        <v>774</v>
      </c>
      <c r="M409" s="23"/>
      <c r="N409" s="23">
        <v>129</v>
      </c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129</v>
      </c>
      <c r="AL409" s="23"/>
      <c r="AM409" s="23"/>
      <c r="AN409" s="23"/>
      <c r="AO409" s="23"/>
      <c r="AP409" s="23"/>
      <c r="AQ409" s="23">
        <v>129</v>
      </c>
      <c r="AR409" s="23"/>
      <c r="AS409" s="23"/>
      <c r="AT409" s="23"/>
      <c r="AU409" s="14" t="str">
        <f>HYPERLINK("http://www.openstreetmap.org/?mlat=32.7838&amp;mlon=44.2669&amp;zoom=12#map=12/32.7838/44.2669","Maplink1")</f>
        <v>Maplink1</v>
      </c>
      <c r="AV409" s="14" t="str">
        <f>HYPERLINK("https://www.google.iq/maps/search/+32.7838,44.2669/@32.7838,44.2669,14z?hl=en","Maplink2")</f>
        <v>Maplink2</v>
      </c>
      <c r="AW409" s="14" t="str">
        <f>HYPERLINK("http://www.bing.com/maps/?lvl=14&amp;sty=h&amp;cp=32.7838~44.2669&amp;sp=point.32.7838_44.2669_Hay Alaskary-AlThaghet","Maplink3")</f>
        <v>Maplink3</v>
      </c>
    </row>
    <row r="410" spans="1:49" ht="15" customHeight="1" x14ac:dyDescent="0.25">
      <c r="A410" s="21">
        <v>27370</v>
      </c>
      <c r="B410" s="22" t="s">
        <v>10</v>
      </c>
      <c r="C410" s="22" t="s">
        <v>921</v>
      </c>
      <c r="D410" s="22" t="s">
        <v>1015</v>
      </c>
      <c r="E410" s="22" t="s">
        <v>995</v>
      </c>
      <c r="F410" s="22">
        <v>32.694858000000004</v>
      </c>
      <c r="G410" s="22">
        <v>44.263858999999997</v>
      </c>
      <c r="H410" s="21" t="s">
        <v>802</v>
      </c>
      <c r="I410" s="21" t="s">
        <v>924</v>
      </c>
      <c r="J410" s="21"/>
      <c r="K410" s="24">
        <v>4</v>
      </c>
      <c r="L410" s="24">
        <v>24</v>
      </c>
      <c r="M410" s="23">
        <v>2</v>
      </c>
      <c r="N410" s="23">
        <v>1</v>
      </c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>
        <v>1</v>
      </c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4</v>
      </c>
      <c r="AL410" s="23"/>
      <c r="AM410" s="23"/>
      <c r="AN410" s="23"/>
      <c r="AO410" s="23"/>
      <c r="AP410" s="23">
        <v>1</v>
      </c>
      <c r="AQ410" s="23">
        <v>1</v>
      </c>
      <c r="AR410" s="23">
        <v>2</v>
      </c>
      <c r="AS410" s="23"/>
      <c r="AT410" s="23"/>
      <c r="AU410" s="14" t="str">
        <f>HYPERLINK("http://www.openstreetmap.org/?mlat=32.6949&amp;mlon=44.2639&amp;zoom=12#map=12/32.6949/44.2639","Maplink1")</f>
        <v>Maplink1</v>
      </c>
      <c r="AV410" s="14" t="str">
        <f>HYPERLINK("https://www.google.iq/maps/search/+32.6949,44.2639/@32.6949,44.2639,14z?hl=en","Maplink2")</f>
        <v>Maplink2</v>
      </c>
      <c r="AW410" s="14" t="str">
        <f>HYPERLINK("http://www.bing.com/maps/?lvl=14&amp;sty=h&amp;cp=32.6949~44.2639&amp;sp=point.32.6949_44.2639_Hay AlHussein","Maplink3")</f>
        <v>Maplink3</v>
      </c>
    </row>
    <row r="411" spans="1:49" ht="15" customHeight="1" x14ac:dyDescent="0.25">
      <c r="A411" s="21">
        <v>24955</v>
      </c>
      <c r="B411" s="22" t="s">
        <v>10</v>
      </c>
      <c r="C411" s="22" t="s">
        <v>921</v>
      </c>
      <c r="D411" s="22" t="s">
        <v>1016</v>
      </c>
      <c r="E411" s="22" t="s">
        <v>1017</v>
      </c>
      <c r="F411" s="22">
        <v>32.767944</v>
      </c>
      <c r="G411" s="22">
        <v>44.289192999999997</v>
      </c>
      <c r="H411" s="21" t="s">
        <v>802</v>
      </c>
      <c r="I411" s="21" t="s">
        <v>924</v>
      </c>
      <c r="J411" s="21"/>
      <c r="K411" s="24">
        <v>31</v>
      </c>
      <c r="L411" s="24">
        <v>186</v>
      </c>
      <c r="M411" s="23">
        <v>5</v>
      </c>
      <c r="N411" s="23">
        <v>26</v>
      </c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31</v>
      </c>
      <c r="AL411" s="23"/>
      <c r="AM411" s="23"/>
      <c r="AN411" s="23"/>
      <c r="AO411" s="23"/>
      <c r="AP411" s="23"/>
      <c r="AQ411" s="23">
        <v>26</v>
      </c>
      <c r="AR411" s="23">
        <v>5</v>
      </c>
      <c r="AS411" s="23"/>
      <c r="AT411" s="23"/>
      <c r="AU411" s="14" t="str">
        <f>HYPERLINK("http://www.openstreetmap.org/?mlat=32.7679&amp;mlon=44.2892&amp;zoom=12#map=12/32.7679/44.2892","Maplink1")</f>
        <v>Maplink1</v>
      </c>
      <c r="AV411" s="14" t="str">
        <f>HYPERLINK("https://www.google.iq/maps/search/+32.7679,44.2892/@32.7679,44.2892,14z?hl=en","Maplink2")</f>
        <v>Maplink2</v>
      </c>
      <c r="AW411" s="14" t="str">
        <f>HYPERLINK("http://www.bing.com/maps/?lvl=14&amp;sty=h&amp;cp=32.7679~44.2892&amp;sp=point.32.7679_44.2892_Hay Almualmeen 1","Maplink3")</f>
        <v>Maplink3</v>
      </c>
    </row>
    <row r="412" spans="1:49" ht="15" customHeight="1" x14ac:dyDescent="0.25">
      <c r="A412" s="21">
        <v>24956</v>
      </c>
      <c r="B412" s="22" t="s">
        <v>10</v>
      </c>
      <c r="C412" s="22" t="s">
        <v>921</v>
      </c>
      <c r="D412" s="22" t="s">
        <v>1018</v>
      </c>
      <c r="E412" s="22" t="s">
        <v>1019</v>
      </c>
      <c r="F412" s="22">
        <v>32.766553999999999</v>
      </c>
      <c r="G412" s="22">
        <v>44.288387999999998</v>
      </c>
      <c r="H412" s="21" t="s">
        <v>802</v>
      </c>
      <c r="I412" s="21" t="s">
        <v>924</v>
      </c>
      <c r="J412" s="21"/>
      <c r="K412" s="24">
        <v>9</v>
      </c>
      <c r="L412" s="24">
        <v>54</v>
      </c>
      <c r="M412" s="23">
        <v>3</v>
      </c>
      <c r="N412" s="23">
        <v>6</v>
      </c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>
        <v>9</v>
      </c>
      <c r="AL412" s="23"/>
      <c r="AM412" s="23"/>
      <c r="AN412" s="23"/>
      <c r="AO412" s="23"/>
      <c r="AP412" s="23"/>
      <c r="AQ412" s="23">
        <v>6</v>
      </c>
      <c r="AR412" s="23">
        <v>3</v>
      </c>
      <c r="AS412" s="23"/>
      <c r="AT412" s="23"/>
      <c r="AU412" s="14" t="str">
        <f>HYPERLINK("http://www.openstreetmap.org/?mlat=32.7666&amp;mlon=44.2884&amp;zoom=12#map=12/32.7666/44.2884","Maplink1")</f>
        <v>Maplink1</v>
      </c>
      <c r="AV412" s="14" t="str">
        <f>HYPERLINK("https://www.google.iq/maps/search/+32.7666,44.2884/@32.7666,44.2884,14z?hl=en","Maplink2")</f>
        <v>Maplink2</v>
      </c>
      <c r="AW412" s="14" t="str">
        <f>HYPERLINK("http://www.bing.com/maps/?lvl=14&amp;sty=h&amp;cp=32.7666~44.2884&amp;sp=point.32.7666_44.2884_Hay Almualmeen 2","Maplink3")</f>
        <v>Maplink3</v>
      </c>
    </row>
    <row r="413" spans="1:49" ht="15" customHeight="1" x14ac:dyDescent="0.25">
      <c r="A413" s="21">
        <v>24981</v>
      </c>
      <c r="B413" s="22" t="s">
        <v>10</v>
      </c>
      <c r="C413" s="22" t="s">
        <v>921</v>
      </c>
      <c r="D413" s="22" t="s">
        <v>1020</v>
      </c>
      <c r="E413" s="22" t="s">
        <v>1021</v>
      </c>
      <c r="F413" s="22">
        <v>32.759770000000003</v>
      </c>
      <c r="G413" s="22">
        <v>44.286392999999997</v>
      </c>
      <c r="H413" s="21" t="s">
        <v>802</v>
      </c>
      <c r="I413" s="21" t="s">
        <v>924</v>
      </c>
      <c r="J413" s="21"/>
      <c r="K413" s="24">
        <v>7</v>
      </c>
      <c r="L413" s="24">
        <v>42</v>
      </c>
      <c r="M413" s="23">
        <v>1</v>
      </c>
      <c r="N413" s="23">
        <v>4</v>
      </c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>
        <v>2</v>
      </c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>
        <v>7</v>
      </c>
      <c r="AL413" s="23"/>
      <c r="AM413" s="23"/>
      <c r="AN413" s="23"/>
      <c r="AO413" s="23"/>
      <c r="AP413" s="23">
        <v>2</v>
      </c>
      <c r="AQ413" s="23">
        <v>4</v>
      </c>
      <c r="AR413" s="23">
        <v>1</v>
      </c>
      <c r="AS413" s="23"/>
      <c r="AT413" s="23"/>
      <c r="AU413" s="14" t="str">
        <f>HYPERLINK("http://www.openstreetmap.org/?mlat=32.7598&amp;mlon=44.2864&amp;zoom=12#map=12/32.7598/44.2864","Maplink1")</f>
        <v>Maplink1</v>
      </c>
      <c r="AV413" s="14" t="str">
        <f>HYPERLINK("https://www.google.iq/maps/search/+32.7598,44.2864/@32.7598,44.2864,14z?hl=en","Maplink2")</f>
        <v>Maplink2</v>
      </c>
      <c r="AW413" s="14" t="str">
        <f>HYPERLINK("http://www.bing.com/maps/?lvl=14&amp;sty=h&amp;cp=32.7598~44.2864&amp;sp=point.32.7598_44.2864_Hay Almualmeen 3","Maplink3")</f>
        <v>Maplink3</v>
      </c>
    </row>
    <row r="414" spans="1:49" ht="15" customHeight="1" x14ac:dyDescent="0.25">
      <c r="A414" s="21">
        <v>7149</v>
      </c>
      <c r="B414" s="22" t="s">
        <v>10</v>
      </c>
      <c r="C414" s="22" t="s">
        <v>921</v>
      </c>
      <c r="D414" s="22" t="s">
        <v>1022</v>
      </c>
      <c r="E414" s="22" t="s">
        <v>1023</v>
      </c>
      <c r="F414" s="22">
        <v>32.868271999999997</v>
      </c>
      <c r="G414" s="22">
        <v>44.336663999999999</v>
      </c>
      <c r="H414" s="21" t="s">
        <v>802</v>
      </c>
      <c r="I414" s="21" t="s">
        <v>924</v>
      </c>
      <c r="J414" s="21" t="s">
        <v>1024</v>
      </c>
      <c r="K414" s="24">
        <v>25</v>
      </c>
      <c r="L414" s="24">
        <v>150</v>
      </c>
      <c r="M414" s="23">
        <v>3</v>
      </c>
      <c r="N414" s="23">
        <v>19</v>
      </c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>
        <v>1</v>
      </c>
      <c r="Z414" s="23"/>
      <c r="AA414" s="23">
        <v>2</v>
      </c>
      <c r="AB414" s="23"/>
      <c r="AC414" s="23"/>
      <c r="AD414" s="23"/>
      <c r="AE414" s="23"/>
      <c r="AF414" s="23"/>
      <c r="AG414" s="23"/>
      <c r="AH414" s="23"/>
      <c r="AI414" s="23"/>
      <c r="AJ414" s="23"/>
      <c r="AK414" s="23">
        <v>25</v>
      </c>
      <c r="AL414" s="23"/>
      <c r="AM414" s="23"/>
      <c r="AN414" s="23"/>
      <c r="AO414" s="23">
        <v>1</v>
      </c>
      <c r="AP414" s="23">
        <v>19</v>
      </c>
      <c r="AQ414" s="23">
        <v>2</v>
      </c>
      <c r="AR414" s="23">
        <v>3</v>
      </c>
      <c r="AS414" s="23"/>
      <c r="AT414" s="23"/>
      <c r="AU414" s="14" t="str">
        <f>HYPERLINK("http://www.openstreetmap.org/?mlat=32.8683&amp;mlon=44.3367&amp;zoom=12#map=12/32.8683/44.3367","Maplink1")</f>
        <v>Maplink1</v>
      </c>
      <c r="AV414" s="14" t="str">
        <f>HYPERLINK("https://www.google.iq/maps/search/+32.8683,44.3367/@32.8683,44.3367,14z?hl=en","Maplink2")</f>
        <v>Maplink2</v>
      </c>
      <c r="AW414" s="14" t="str">
        <f>HYPERLINK("http://www.bing.com/maps/?lvl=14&amp;sty=h&amp;cp=32.8683~44.3367&amp;sp=point.32.8683_44.3367_Hitten Complex","Maplink3")</f>
        <v>Maplink3</v>
      </c>
    </row>
    <row r="415" spans="1:49" ht="15" customHeight="1" x14ac:dyDescent="0.25">
      <c r="A415" s="21">
        <v>7132</v>
      </c>
      <c r="B415" s="22" t="s">
        <v>10</v>
      </c>
      <c r="C415" s="22" t="s">
        <v>921</v>
      </c>
      <c r="D415" s="22" t="s">
        <v>1025</v>
      </c>
      <c r="E415" s="22" t="s">
        <v>1026</v>
      </c>
      <c r="F415" s="22">
        <v>32.772230999999998</v>
      </c>
      <c r="G415" s="22">
        <v>44.281700999999998</v>
      </c>
      <c r="H415" s="21" t="s">
        <v>802</v>
      </c>
      <c r="I415" s="21" t="s">
        <v>924</v>
      </c>
      <c r="J415" s="21" t="s">
        <v>1027</v>
      </c>
      <c r="K415" s="24">
        <v>107</v>
      </c>
      <c r="L415" s="24">
        <v>642</v>
      </c>
      <c r="M415" s="23"/>
      <c r="N415" s="23">
        <v>82</v>
      </c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>
        <v>25</v>
      </c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>
        <v>17</v>
      </c>
      <c r="AK415" s="23">
        <v>90</v>
      </c>
      <c r="AL415" s="23"/>
      <c r="AM415" s="23"/>
      <c r="AN415" s="23"/>
      <c r="AO415" s="23"/>
      <c r="AP415" s="23">
        <v>75</v>
      </c>
      <c r="AQ415" s="23">
        <v>27</v>
      </c>
      <c r="AR415" s="23">
        <v>5</v>
      </c>
      <c r="AS415" s="23"/>
      <c r="AT415" s="23"/>
      <c r="AU415" s="14" t="str">
        <f>HYPERLINK("http://www.openstreetmap.org/?mlat=32.7722&amp;mlon=44.2817&amp;zoom=12#map=12/32.7722/44.2817","Maplink1")</f>
        <v>Maplink1</v>
      </c>
      <c r="AV415" s="14" t="str">
        <f>HYPERLINK("https://www.google.iq/maps/search/+32.7722,44.2817/@32.7722,44.2817,14z?hl=en","Maplink2")</f>
        <v>Maplink2</v>
      </c>
      <c r="AW415" s="14" t="str">
        <f>HYPERLINK("http://www.bing.com/maps/?lvl=14&amp;sty=h&amp;cp=32.7722~44.2817&amp;sp=point.32.7722_44.2817_Hur Husaein","Maplink3")</f>
        <v>Maplink3</v>
      </c>
    </row>
    <row r="416" spans="1:49" ht="15" customHeight="1" x14ac:dyDescent="0.25">
      <c r="A416" s="21">
        <v>27371</v>
      </c>
      <c r="B416" s="22" t="s">
        <v>10</v>
      </c>
      <c r="C416" s="22" t="s">
        <v>921</v>
      </c>
      <c r="D416" s="22" t="s">
        <v>1028</v>
      </c>
      <c r="E416" s="22" t="s">
        <v>1029</v>
      </c>
      <c r="F416" s="22">
        <v>32.712471999999998</v>
      </c>
      <c r="G416" s="22">
        <v>44.273083</v>
      </c>
      <c r="H416" s="21" t="s">
        <v>802</v>
      </c>
      <c r="I416" s="21" t="s">
        <v>924</v>
      </c>
      <c r="J416" s="21"/>
      <c r="K416" s="24">
        <v>5</v>
      </c>
      <c r="L416" s="24">
        <v>30</v>
      </c>
      <c r="M416" s="23"/>
      <c r="N416" s="23">
        <v>4</v>
      </c>
      <c r="O416" s="23">
        <v>1</v>
      </c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>
        <v>5</v>
      </c>
      <c r="AL416" s="23"/>
      <c r="AM416" s="23"/>
      <c r="AN416" s="23"/>
      <c r="AO416" s="23"/>
      <c r="AP416" s="23">
        <v>5</v>
      </c>
      <c r="AQ416" s="23"/>
      <c r="AR416" s="23"/>
      <c r="AS416" s="23"/>
      <c r="AT416" s="23"/>
      <c r="AU416" s="14" t="str">
        <f>HYPERLINK("http://www.openstreetmap.org/?mlat=32.7125&amp;mlon=44.2731&amp;zoom=12#map=12/32.7125/44.2731","Maplink1")</f>
        <v>Maplink1</v>
      </c>
      <c r="AV416" s="14" t="str">
        <f>HYPERLINK("https://www.google.iq/maps/search/+32.7125,44.2731/@32.7125,44.2731,14z?hl=en","Maplink2")</f>
        <v>Maplink2</v>
      </c>
      <c r="AW416" s="14" t="str">
        <f>HYPERLINK("http://www.bing.com/maps/?lvl=14&amp;sty=h&amp;cp=32.7125~44.2731&amp;sp=point.32.7125_44.2731_Mafrg AlSada","Maplink3")</f>
        <v>Maplink3</v>
      </c>
    </row>
    <row r="417" spans="1:49" ht="15" customHeight="1" x14ac:dyDescent="0.25">
      <c r="A417" s="21">
        <v>6950</v>
      </c>
      <c r="B417" s="22" t="s">
        <v>10</v>
      </c>
      <c r="C417" s="22" t="s">
        <v>921</v>
      </c>
      <c r="D417" s="22" t="s">
        <v>1031</v>
      </c>
      <c r="E417" s="22" t="s">
        <v>7587</v>
      </c>
      <c r="F417" s="22">
        <v>32.752096999999999</v>
      </c>
      <c r="G417" s="22">
        <v>44.275846999999999</v>
      </c>
      <c r="H417" s="21" t="s">
        <v>802</v>
      </c>
      <c r="I417" s="21" t="s">
        <v>924</v>
      </c>
      <c r="J417" s="21" t="s">
        <v>1032</v>
      </c>
      <c r="K417" s="24">
        <v>5</v>
      </c>
      <c r="L417" s="24">
        <v>30</v>
      </c>
      <c r="M417" s="23"/>
      <c r="N417" s="23">
        <v>1</v>
      </c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>
        <v>4</v>
      </c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>
        <v>5</v>
      </c>
      <c r="AL417" s="23"/>
      <c r="AM417" s="23"/>
      <c r="AN417" s="23"/>
      <c r="AO417" s="23">
        <v>2</v>
      </c>
      <c r="AP417" s="23"/>
      <c r="AQ417" s="23">
        <v>3</v>
      </c>
      <c r="AR417" s="23"/>
      <c r="AS417" s="23"/>
      <c r="AT417" s="23"/>
      <c r="AU417" s="14" t="str">
        <f>HYPERLINK("http://www.openstreetmap.org/?mlat=32.7521&amp;mlon=44.2758&amp;zoom=12#map=12/32.7521/44.2758","Maplink1")</f>
        <v>Maplink1</v>
      </c>
      <c r="AV417" s="14" t="str">
        <f>HYPERLINK("https://www.google.iq/maps/search/+32.7521,44.2758/@32.7521,44.2758,14z?hl=en","Maplink2")</f>
        <v>Maplink2</v>
      </c>
      <c r="AW417" s="14" t="str">
        <f>HYPERLINK("http://www.bing.com/maps/?lvl=14&amp;sty=h&amp;cp=32.7521~44.2758&amp;sp=point.32.7521_44.2758_Sadat Al-Ameir","Maplink3")</f>
        <v>Maplink3</v>
      </c>
    </row>
    <row r="418" spans="1:49" ht="15" customHeight="1" x14ac:dyDescent="0.25">
      <c r="A418" s="21">
        <v>24172</v>
      </c>
      <c r="B418" s="22" t="s">
        <v>10</v>
      </c>
      <c r="C418" s="22" t="s">
        <v>921</v>
      </c>
      <c r="D418" s="22" t="s">
        <v>1033</v>
      </c>
      <c r="E418" s="22" t="s">
        <v>7588</v>
      </c>
      <c r="F418" s="22">
        <v>32.71</v>
      </c>
      <c r="G418" s="22">
        <v>44.298000000000002</v>
      </c>
      <c r="H418" s="21" t="s">
        <v>802</v>
      </c>
      <c r="I418" s="21" t="s">
        <v>924</v>
      </c>
      <c r="J418" s="21" t="s">
        <v>1034</v>
      </c>
      <c r="K418" s="24">
        <v>18</v>
      </c>
      <c r="L418" s="24">
        <v>108</v>
      </c>
      <c r="M418" s="23">
        <v>2</v>
      </c>
      <c r="N418" s="23">
        <v>8</v>
      </c>
      <c r="O418" s="23">
        <v>3</v>
      </c>
      <c r="P418" s="23"/>
      <c r="Q418" s="23"/>
      <c r="R418" s="23"/>
      <c r="S418" s="23"/>
      <c r="T418" s="23"/>
      <c r="U418" s="23"/>
      <c r="V418" s="23"/>
      <c r="W418" s="23"/>
      <c r="X418" s="23"/>
      <c r="Y418" s="23">
        <v>5</v>
      </c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18</v>
      </c>
      <c r="AL418" s="23"/>
      <c r="AM418" s="23"/>
      <c r="AN418" s="23"/>
      <c r="AO418" s="23"/>
      <c r="AP418" s="23">
        <v>8</v>
      </c>
      <c r="AQ418" s="23">
        <v>8</v>
      </c>
      <c r="AR418" s="23">
        <v>2</v>
      </c>
      <c r="AS418" s="23"/>
      <c r="AT418" s="23"/>
      <c r="AU418" s="14" t="str">
        <f>HYPERLINK("http://www.openstreetmap.org/?mlat=32.71&amp;mlon=44.298&amp;zoom=12#map=12/32.71/44.298","Maplink1")</f>
        <v>Maplink1</v>
      </c>
      <c r="AV418" s="14" t="str">
        <f>HYPERLINK("https://www.google.iq/maps/search/+32.71,44.298/@32.71,44.298,14z?hl=en","Maplink2")</f>
        <v>Maplink2</v>
      </c>
      <c r="AW418" s="14" t="str">
        <f>HYPERLINK("http://www.bing.com/maps/?lvl=14&amp;sty=h&amp;cp=32.71~44.298&amp;sp=point.32.71_44.298_Saddat Al Zahraa","Maplink3")</f>
        <v>Maplink3</v>
      </c>
    </row>
    <row r="419" spans="1:49" ht="15" customHeight="1" x14ac:dyDescent="0.25">
      <c r="A419" s="21">
        <v>24954</v>
      </c>
      <c r="B419" s="22" t="s">
        <v>10</v>
      </c>
      <c r="C419" s="22" t="s">
        <v>921</v>
      </c>
      <c r="D419" s="22" t="s">
        <v>1035</v>
      </c>
      <c r="E419" s="22" t="s">
        <v>1036</v>
      </c>
      <c r="F419" s="22">
        <v>32.743932000000001</v>
      </c>
      <c r="G419" s="22">
        <v>44.276083999999997</v>
      </c>
      <c r="H419" s="21" t="s">
        <v>802</v>
      </c>
      <c r="I419" s="21" t="s">
        <v>924</v>
      </c>
      <c r="J419" s="21"/>
      <c r="K419" s="24">
        <v>31</v>
      </c>
      <c r="L419" s="24">
        <v>186</v>
      </c>
      <c r="M419" s="23"/>
      <c r="N419" s="23">
        <v>31</v>
      </c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31</v>
      </c>
      <c r="AL419" s="23"/>
      <c r="AM419" s="23"/>
      <c r="AN419" s="23"/>
      <c r="AO419" s="23"/>
      <c r="AP419" s="23"/>
      <c r="AQ419" s="23">
        <v>31</v>
      </c>
      <c r="AR419" s="23"/>
      <c r="AS419" s="23"/>
      <c r="AT419" s="23"/>
      <c r="AU419" s="14" t="str">
        <f>HYPERLINK("http://www.openstreetmap.org/?mlat=32.7439&amp;mlon=44.2761&amp;zoom=12#map=12/32.7439/44.2761","Maplink1")</f>
        <v>Maplink1</v>
      </c>
      <c r="AV419" s="14" t="str">
        <f>HYPERLINK("https://www.google.iq/maps/search/+32.7439,44.2761/@32.7439,44.2761,14z?hl=en","Maplink2")</f>
        <v>Maplink2</v>
      </c>
      <c r="AW419" s="14" t="str">
        <f>HYPERLINK("http://www.bing.com/maps/?lvl=14&amp;sty=h&amp;cp=32.7439~44.2761&amp;sp=point.32.7439_44.2761_Shara AlSada Alkadeem","Maplink3")</f>
        <v>Maplink3</v>
      </c>
    </row>
    <row r="420" spans="1:49" ht="15" customHeight="1" x14ac:dyDescent="0.25">
      <c r="A420" s="21">
        <v>24604</v>
      </c>
      <c r="B420" s="22" t="s">
        <v>10</v>
      </c>
      <c r="C420" s="22" t="s">
        <v>1037</v>
      </c>
      <c r="D420" s="22" t="s">
        <v>1038</v>
      </c>
      <c r="E420" s="22" t="s">
        <v>7589</v>
      </c>
      <c r="F420" s="22">
        <v>32.399037999999997</v>
      </c>
      <c r="G420" s="22">
        <v>44.731907</v>
      </c>
      <c r="H420" s="21" t="s">
        <v>802</v>
      </c>
      <c r="I420" s="21" t="s">
        <v>1039</v>
      </c>
      <c r="J420" s="21"/>
      <c r="K420" s="24">
        <v>21</v>
      </c>
      <c r="L420" s="24">
        <v>126</v>
      </c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>
        <v>21</v>
      </c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>
        <v>21</v>
      </c>
      <c r="AK420" s="23"/>
      <c r="AL420" s="23"/>
      <c r="AM420" s="23"/>
      <c r="AN420" s="23"/>
      <c r="AO420" s="23"/>
      <c r="AP420" s="23">
        <v>3</v>
      </c>
      <c r="AQ420" s="23">
        <v>18</v>
      </c>
      <c r="AR420" s="23"/>
      <c r="AS420" s="23"/>
      <c r="AT420" s="23"/>
      <c r="AU420" s="14" t="str">
        <f>HYPERLINK("http://www.openstreetmap.org/?mlat=32.399&amp;mlon=44.7319&amp;zoom=12#map=12/32.399/44.7319","Maplink1")</f>
        <v>Maplink1</v>
      </c>
      <c r="AV420" s="14" t="str">
        <f>HYPERLINK("https://www.google.iq/maps/search/+32.399,44.7319/@32.399,44.7319,14z?hl=en","Maplink2")</f>
        <v>Maplink2</v>
      </c>
      <c r="AW420" s="14" t="str">
        <f>HYPERLINK("http://www.bing.com/maps/?lvl=14&amp;sty=h&amp;cp=32.399~44.7319&amp;sp=point.32.399_44.7319_Abo Derbash Al Midhatiyah","Maplink3")</f>
        <v>Maplink3</v>
      </c>
    </row>
    <row r="421" spans="1:49" ht="15" customHeight="1" x14ac:dyDescent="0.25">
      <c r="A421" s="21">
        <v>24977</v>
      </c>
      <c r="B421" s="22" t="s">
        <v>10</v>
      </c>
      <c r="C421" s="22" t="s">
        <v>1037</v>
      </c>
      <c r="D421" s="22" t="s">
        <v>1040</v>
      </c>
      <c r="E421" s="22" t="s">
        <v>1041</v>
      </c>
      <c r="F421" s="22">
        <v>32.307327000000001</v>
      </c>
      <c r="G421" s="22">
        <v>44.686593000000002</v>
      </c>
      <c r="H421" s="21" t="s">
        <v>802</v>
      </c>
      <c r="I421" s="21" t="s">
        <v>1039</v>
      </c>
      <c r="J421" s="21"/>
      <c r="K421" s="24">
        <v>14</v>
      </c>
      <c r="L421" s="24">
        <v>84</v>
      </c>
      <c r="M421" s="23">
        <v>2</v>
      </c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>
        <v>12</v>
      </c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>
        <v>2</v>
      </c>
      <c r="AL421" s="23"/>
      <c r="AM421" s="23">
        <v>12</v>
      </c>
      <c r="AN421" s="23"/>
      <c r="AO421" s="23"/>
      <c r="AP421" s="23">
        <v>12</v>
      </c>
      <c r="AQ421" s="23"/>
      <c r="AR421" s="23">
        <v>2</v>
      </c>
      <c r="AS421" s="23"/>
      <c r="AT421" s="23"/>
      <c r="AU421" s="14" t="str">
        <f>HYPERLINK("http://www.openstreetmap.org/?mlat=32.3073&amp;mlon=44.6866&amp;zoom=12#map=12/32.3073/44.6866","Maplink1")</f>
        <v>Maplink1</v>
      </c>
      <c r="AV421" s="14" t="str">
        <f>HYPERLINK("https://www.google.iq/maps/search/+32.3073,44.6866/@32.3073,44.6866,14z?hl=en","Maplink2")</f>
        <v>Maplink2</v>
      </c>
      <c r="AW421" s="14" t="str">
        <f>HYPERLINK("http://www.bing.com/maps/?lvl=14&amp;sty=h&amp;cp=32.3073~44.6866&amp;sp=point.32.3073_44.6866_Al Andlos","Maplink3")</f>
        <v>Maplink3</v>
      </c>
    </row>
    <row r="422" spans="1:49" ht="15" customHeight="1" x14ac:dyDescent="0.25">
      <c r="A422" s="21">
        <v>23959</v>
      </c>
      <c r="B422" s="22" t="s">
        <v>10</v>
      </c>
      <c r="C422" s="22" t="s">
        <v>1037</v>
      </c>
      <c r="D422" s="22" t="s">
        <v>1042</v>
      </c>
      <c r="E422" s="22" t="s">
        <v>1043</v>
      </c>
      <c r="F422" s="22">
        <v>32.400669000000001</v>
      </c>
      <c r="G422" s="22">
        <v>44.667850000000001</v>
      </c>
      <c r="H422" s="21" t="s">
        <v>802</v>
      </c>
      <c r="I422" s="21" t="s">
        <v>1039</v>
      </c>
      <c r="J422" s="21" t="s">
        <v>1044</v>
      </c>
      <c r="K422" s="24">
        <v>5</v>
      </c>
      <c r="L422" s="24">
        <v>30</v>
      </c>
      <c r="M422" s="23">
        <v>4</v>
      </c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>
        <v>1</v>
      </c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>
        <v>5</v>
      </c>
      <c r="AL422" s="23"/>
      <c r="AM422" s="23"/>
      <c r="AN422" s="23"/>
      <c r="AO422" s="23"/>
      <c r="AP422" s="23">
        <v>1</v>
      </c>
      <c r="AQ422" s="23"/>
      <c r="AR422" s="23">
        <v>4</v>
      </c>
      <c r="AS422" s="23"/>
      <c r="AT422" s="23"/>
      <c r="AU422" s="14" t="str">
        <f>HYPERLINK("http://www.openstreetmap.org/?mlat=32.4007&amp;mlon=44.6679&amp;zoom=12#map=12/32.4007/44.6679","Maplink1")</f>
        <v>Maplink1</v>
      </c>
      <c r="AV422" s="14" t="str">
        <f>HYPERLINK("https://www.google.iq/maps/search/+32.4007,44.6679/@32.4007,44.6679,14z?hl=en","Maplink2")</f>
        <v>Maplink2</v>
      </c>
      <c r="AW422" s="14" t="str">
        <f>HYPERLINK("http://www.bing.com/maps/?lvl=14&amp;sty=h&amp;cp=32.4007~44.6679&amp;sp=point.32.4007_44.6679_Al Ansaar","Maplink3")</f>
        <v>Maplink3</v>
      </c>
    </row>
    <row r="423" spans="1:49" ht="15" customHeight="1" x14ac:dyDescent="0.25">
      <c r="A423" s="21">
        <v>24646</v>
      </c>
      <c r="B423" s="22" t="s">
        <v>10</v>
      </c>
      <c r="C423" s="22" t="s">
        <v>1037</v>
      </c>
      <c r="D423" s="22" t="s">
        <v>1045</v>
      </c>
      <c r="E423" s="22" t="s">
        <v>1046</v>
      </c>
      <c r="F423" s="22">
        <v>32.381746</v>
      </c>
      <c r="G423" s="22">
        <v>44.536358999999997</v>
      </c>
      <c r="H423" s="21" t="s">
        <v>802</v>
      </c>
      <c r="I423" s="21" t="s">
        <v>1039</v>
      </c>
      <c r="J423" s="21"/>
      <c r="K423" s="24">
        <v>45</v>
      </c>
      <c r="L423" s="24">
        <v>270</v>
      </c>
      <c r="M423" s="23">
        <v>8</v>
      </c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>
        <v>37</v>
      </c>
      <c r="Z423" s="23"/>
      <c r="AA423" s="23"/>
      <c r="AB423" s="23"/>
      <c r="AC423" s="23"/>
      <c r="AD423" s="23"/>
      <c r="AE423" s="23"/>
      <c r="AF423" s="23">
        <v>30</v>
      </c>
      <c r="AG423" s="23"/>
      <c r="AH423" s="23"/>
      <c r="AI423" s="23"/>
      <c r="AJ423" s="23">
        <v>7</v>
      </c>
      <c r="AK423" s="23">
        <v>8</v>
      </c>
      <c r="AL423" s="23"/>
      <c r="AM423" s="23"/>
      <c r="AN423" s="23"/>
      <c r="AO423" s="23"/>
      <c r="AP423" s="23">
        <v>37</v>
      </c>
      <c r="AQ423" s="23"/>
      <c r="AR423" s="23">
        <v>8</v>
      </c>
      <c r="AS423" s="23"/>
      <c r="AT423" s="23"/>
      <c r="AU423" s="14" t="str">
        <f>HYPERLINK("http://www.openstreetmap.org/?mlat=32.3817&amp;mlon=44.5364&amp;zoom=12#map=12/32.3817/44.5364","Maplink1")</f>
        <v>Maplink1</v>
      </c>
      <c r="AV423" s="14" t="str">
        <f>HYPERLINK("https://www.google.iq/maps/search/+32.3817,44.5364/@32.3817,44.5364,14z?hl=en","Maplink2")</f>
        <v>Maplink2</v>
      </c>
      <c r="AW423" s="14" t="str">
        <f>HYPERLINK("http://www.bing.com/maps/?lvl=14&amp;sty=h&amp;cp=32.3817~44.5364&amp;sp=point.32.3817_44.5364_Al Dabla","Maplink3")</f>
        <v>Maplink3</v>
      </c>
    </row>
    <row r="424" spans="1:49" ht="15" customHeight="1" x14ac:dyDescent="0.25">
      <c r="A424" s="21">
        <v>24605</v>
      </c>
      <c r="B424" s="22" t="s">
        <v>10</v>
      </c>
      <c r="C424" s="22" t="s">
        <v>1037</v>
      </c>
      <c r="D424" s="22" t="s">
        <v>1047</v>
      </c>
      <c r="E424" s="22" t="s">
        <v>7590</v>
      </c>
      <c r="F424" s="22">
        <v>32.324843000000001</v>
      </c>
      <c r="G424" s="22">
        <v>44.668948</v>
      </c>
      <c r="H424" s="21" t="s">
        <v>802</v>
      </c>
      <c r="I424" s="21" t="s">
        <v>1039</v>
      </c>
      <c r="J424" s="21"/>
      <c r="K424" s="24">
        <v>2</v>
      </c>
      <c r="L424" s="24">
        <v>12</v>
      </c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>
        <v>2</v>
      </c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>
        <v>2</v>
      </c>
      <c r="AK424" s="23"/>
      <c r="AL424" s="23"/>
      <c r="AM424" s="23"/>
      <c r="AN424" s="23"/>
      <c r="AO424" s="23"/>
      <c r="AP424" s="23">
        <v>2</v>
      </c>
      <c r="AQ424" s="23"/>
      <c r="AR424" s="23"/>
      <c r="AS424" s="23"/>
      <c r="AT424" s="23"/>
      <c r="AU424" s="14" t="str">
        <f>HYPERLINK("http://www.openstreetmap.org/?mlat=32.3248&amp;mlon=44.6689&amp;zoom=12#map=12/32.3248/44.6689","Maplink1")</f>
        <v>Maplink1</v>
      </c>
      <c r="AV424" s="14" t="str">
        <f>HYPERLINK("https://www.google.iq/maps/search/+32.3248,44.6689/@32.3248,44.6689,14z?hl=en","Maplink2")</f>
        <v>Maplink2</v>
      </c>
      <c r="AW424" s="14" t="str">
        <f>HYPERLINK("http://www.bing.com/maps/?lvl=14&amp;sty=h&amp;cp=32.3248~44.6689&amp;sp=point.32.3248_44.6689_Al Droa-Al Qasim Area","Maplink3")</f>
        <v>Maplink3</v>
      </c>
    </row>
    <row r="425" spans="1:49" ht="15" customHeight="1" x14ac:dyDescent="0.25">
      <c r="A425" s="21">
        <v>24836</v>
      </c>
      <c r="B425" s="22" t="s">
        <v>10</v>
      </c>
      <c r="C425" s="22" t="s">
        <v>1037</v>
      </c>
      <c r="D425" s="22" t="s">
        <v>1048</v>
      </c>
      <c r="E425" s="22" t="s">
        <v>1049</v>
      </c>
      <c r="F425" s="22">
        <v>32.363619999999997</v>
      </c>
      <c r="G425" s="22">
        <v>44.614313000000003</v>
      </c>
      <c r="H425" s="21" t="s">
        <v>802</v>
      </c>
      <c r="I425" s="21" t="s">
        <v>1039</v>
      </c>
      <c r="J425" s="21"/>
      <c r="K425" s="24">
        <v>12</v>
      </c>
      <c r="L425" s="24">
        <v>72</v>
      </c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>
        <v>12</v>
      </c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>
        <v>12</v>
      </c>
      <c r="AK425" s="23"/>
      <c r="AL425" s="23"/>
      <c r="AM425" s="23"/>
      <c r="AN425" s="23"/>
      <c r="AO425" s="23"/>
      <c r="AP425" s="23"/>
      <c r="AQ425" s="23">
        <v>12</v>
      </c>
      <c r="AR425" s="23"/>
      <c r="AS425" s="23"/>
      <c r="AT425" s="23"/>
      <c r="AU425" s="14" t="str">
        <f>HYPERLINK("http://www.openstreetmap.org/?mlat=32.3636&amp;mlon=44.6143&amp;zoom=12#map=12/32.3636/44.6143","Maplink1")</f>
        <v>Maplink1</v>
      </c>
      <c r="AV425" s="14" t="str">
        <f>HYPERLINK("https://www.google.iq/maps/search/+32.3636,44.6143/@32.3636,44.6143,14z?hl=en","Maplink2")</f>
        <v>Maplink2</v>
      </c>
      <c r="AW425" s="14" t="str">
        <f>HYPERLINK("http://www.bing.com/maps/?lvl=14&amp;sty=h&amp;cp=32.3636~44.6143&amp;sp=point.32.3636_44.6143_Al Hajj Ubaid","Maplink3")</f>
        <v>Maplink3</v>
      </c>
    </row>
    <row r="426" spans="1:49" ht="15" customHeight="1" x14ac:dyDescent="0.25">
      <c r="A426" s="21">
        <v>24544</v>
      </c>
      <c r="B426" s="22" t="s">
        <v>10</v>
      </c>
      <c r="C426" s="22" t="s">
        <v>1037</v>
      </c>
      <c r="D426" s="22" t="s">
        <v>1050</v>
      </c>
      <c r="E426" s="22" t="s">
        <v>7591</v>
      </c>
      <c r="F426" s="22">
        <v>32.392615999999997</v>
      </c>
      <c r="G426" s="22">
        <v>44.540191</v>
      </c>
      <c r="H426" s="21" t="s">
        <v>802</v>
      </c>
      <c r="I426" s="21" t="s">
        <v>1039</v>
      </c>
      <c r="J426" s="21"/>
      <c r="K426" s="24">
        <v>77</v>
      </c>
      <c r="L426" s="24">
        <v>462</v>
      </c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>
        <v>77</v>
      </c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>
        <v>77</v>
      </c>
      <c r="AL426" s="23"/>
      <c r="AM426" s="23"/>
      <c r="AN426" s="23"/>
      <c r="AO426" s="23"/>
      <c r="AP426" s="23">
        <v>77</v>
      </c>
      <c r="AQ426" s="23"/>
      <c r="AR426" s="23"/>
      <c r="AS426" s="23"/>
      <c r="AT426" s="23"/>
      <c r="AU426" s="14" t="str">
        <f>HYPERLINK("http://www.openstreetmap.org/?mlat=32.3926&amp;mlon=44.5402&amp;zoom=12#map=12/32.3926/44.5402","Maplink1")</f>
        <v>Maplink1</v>
      </c>
      <c r="AV426" s="14" t="str">
        <f>HYPERLINK("https://www.google.iq/maps/search/+32.3926,44.5402/@32.3926,44.5402,14z?hl=en","Maplink2")</f>
        <v>Maplink2</v>
      </c>
      <c r="AW426" s="14" t="str">
        <f>HYPERLINK("http://www.bing.com/maps/?lvl=14&amp;sty=h&amp;cp=32.3926~44.5402&amp;sp=point.32.3926_44.5402_Al Husen-Al Midhatiya","Maplink3")</f>
        <v>Maplink3</v>
      </c>
    </row>
    <row r="427" spans="1:49" ht="15" customHeight="1" x14ac:dyDescent="0.25">
      <c r="A427" s="21">
        <v>24271</v>
      </c>
      <c r="B427" s="22" t="s">
        <v>10</v>
      </c>
      <c r="C427" s="22" t="s">
        <v>1037</v>
      </c>
      <c r="D427" s="22" t="s">
        <v>1051</v>
      </c>
      <c r="E427" s="22" t="s">
        <v>7592</v>
      </c>
      <c r="F427" s="22">
        <v>32.401930999999998</v>
      </c>
      <c r="G427" s="22">
        <v>44.669592000000002</v>
      </c>
      <c r="H427" s="21" t="s">
        <v>802</v>
      </c>
      <c r="I427" s="21" t="s">
        <v>1039</v>
      </c>
      <c r="J427" s="21" t="s">
        <v>1052</v>
      </c>
      <c r="K427" s="24">
        <v>32</v>
      </c>
      <c r="L427" s="24">
        <v>192</v>
      </c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>
        <v>32</v>
      </c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>
        <v>15</v>
      </c>
      <c r="AL427" s="23"/>
      <c r="AM427" s="23">
        <v>17</v>
      </c>
      <c r="AN427" s="23"/>
      <c r="AO427" s="23"/>
      <c r="AP427" s="23">
        <v>32</v>
      </c>
      <c r="AQ427" s="23"/>
      <c r="AR427" s="23"/>
      <c r="AS427" s="23"/>
      <c r="AT427" s="23"/>
      <c r="AU427" s="14" t="str">
        <f>HYPERLINK("http://www.openstreetmap.org/?mlat=32.4019&amp;mlon=44.6696&amp;zoom=12#map=12/32.4019/44.6696","Maplink1")</f>
        <v>Maplink1</v>
      </c>
      <c r="AV427" s="14" t="str">
        <f>HYPERLINK("https://www.google.iq/maps/search/+32.4019,44.6696/@32.4019,44.6696,14z?hl=en","Maplink2")</f>
        <v>Maplink2</v>
      </c>
      <c r="AW427" s="14" t="str">
        <f>HYPERLINK("http://www.bing.com/maps/?lvl=14&amp;sty=h&amp;cp=32.4019~44.6696&amp;sp=point.32.4019_44.6696_Al Madhatiyah-Al Qasabah Al kadimah","Maplink3")</f>
        <v>Maplink3</v>
      </c>
    </row>
    <row r="428" spans="1:49" ht="15" customHeight="1" x14ac:dyDescent="0.25">
      <c r="A428" s="21">
        <v>24270</v>
      </c>
      <c r="B428" s="22" t="s">
        <v>10</v>
      </c>
      <c r="C428" s="22" t="s">
        <v>1037</v>
      </c>
      <c r="D428" s="22" t="s">
        <v>1053</v>
      </c>
      <c r="E428" s="22" t="s">
        <v>7593</v>
      </c>
      <c r="F428" s="22">
        <v>32.400894000000001</v>
      </c>
      <c r="G428" s="22">
        <v>44.667338000000001</v>
      </c>
      <c r="H428" s="21" t="s">
        <v>802</v>
      </c>
      <c r="I428" s="21" t="s">
        <v>1039</v>
      </c>
      <c r="J428" s="21" t="s">
        <v>1054</v>
      </c>
      <c r="K428" s="24">
        <v>60</v>
      </c>
      <c r="L428" s="24">
        <v>360</v>
      </c>
      <c r="M428" s="23">
        <v>7</v>
      </c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53</v>
      </c>
      <c r="Z428" s="23"/>
      <c r="AA428" s="23"/>
      <c r="AB428" s="23"/>
      <c r="AC428" s="23"/>
      <c r="AD428" s="23"/>
      <c r="AE428" s="23"/>
      <c r="AF428" s="23">
        <v>10</v>
      </c>
      <c r="AG428" s="23"/>
      <c r="AH428" s="23"/>
      <c r="AI428" s="23"/>
      <c r="AJ428" s="23"/>
      <c r="AK428" s="23">
        <v>32</v>
      </c>
      <c r="AL428" s="23"/>
      <c r="AM428" s="23">
        <v>18</v>
      </c>
      <c r="AN428" s="23"/>
      <c r="AO428" s="23"/>
      <c r="AP428" s="23">
        <v>42</v>
      </c>
      <c r="AQ428" s="23">
        <v>11</v>
      </c>
      <c r="AR428" s="23">
        <v>7</v>
      </c>
      <c r="AS428" s="23"/>
      <c r="AT428" s="23"/>
      <c r="AU428" s="14" t="str">
        <f>HYPERLINK("http://www.openstreetmap.org/?mlat=32.4009&amp;mlon=44.6673&amp;zoom=12#map=12/32.4009/44.6673","Maplink1")</f>
        <v>Maplink1</v>
      </c>
      <c r="AV428" s="14" t="str">
        <f>HYPERLINK("https://www.google.iq/maps/search/+32.4009,44.6673/@32.4009,44.6673,14z?hl=en","Maplink2")</f>
        <v>Maplink2</v>
      </c>
      <c r="AW428" s="14" t="str">
        <f>HYPERLINK("http://www.bing.com/maps/?lvl=14&amp;sty=h&amp;cp=32.4009~44.6673&amp;sp=point.32.4009_44.6673_Al Madhatiyah-Hay Imam","Maplink3")</f>
        <v>Maplink3</v>
      </c>
    </row>
    <row r="429" spans="1:49" ht="15" customHeight="1" x14ac:dyDescent="0.25">
      <c r="A429" s="21">
        <v>25896</v>
      </c>
      <c r="B429" s="22" t="s">
        <v>10</v>
      </c>
      <c r="C429" s="22" t="s">
        <v>1037</v>
      </c>
      <c r="D429" s="22" t="s">
        <v>1055</v>
      </c>
      <c r="E429" s="22" t="s">
        <v>7594</v>
      </c>
      <c r="F429" s="22">
        <v>32.405493</v>
      </c>
      <c r="G429" s="22">
        <v>44.669352000000003</v>
      </c>
      <c r="H429" s="21" t="s">
        <v>802</v>
      </c>
      <c r="I429" s="21" t="s">
        <v>1039</v>
      </c>
      <c r="J429" s="21"/>
      <c r="K429" s="24">
        <v>66</v>
      </c>
      <c r="L429" s="24">
        <v>396</v>
      </c>
      <c r="M429" s="23">
        <v>46</v>
      </c>
      <c r="N429" s="23"/>
      <c r="O429" s="23">
        <v>3</v>
      </c>
      <c r="P429" s="23"/>
      <c r="Q429" s="23"/>
      <c r="R429" s="23"/>
      <c r="S429" s="23"/>
      <c r="T429" s="23"/>
      <c r="U429" s="23">
        <v>1</v>
      </c>
      <c r="V429" s="23"/>
      <c r="W429" s="23"/>
      <c r="X429" s="23"/>
      <c r="Y429" s="23">
        <v>14</v>
      </c>
      <c r="Z429" s="23"/>
      <c r="AA429" s="23">
        <v>2</v>
      </c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66</v>
      </c>
      <c r="AL429" s="23"/>
      <c r="AM429" s="23"/>
      <c r="AN429" s="23"/>
      <c r="AO429" s="23"/>
      <c r="AP429" s="23">
        <v>14</v>
      </c>
      <c r="AQ429" s="23">
        <v>3</v>
      </c>
      <c r="AR429" s="23">
        <v>30</v>
      </c>
      <c r="AS429" s="23">
        <v>19</v>
      </c>
      <c r="AT429" s="23"/>
      <c r="AU429" s="14" t="str">
        <f>HYPERLINK("http://www.openstreetmap.org/?mlat=32.4055&amp;mlon=44.6694&amp;zoom=12#map=12/32.4055/44.6694","Maplink1")</f>
        <v>Maplink1</v>
      </c>
      <c r="AV429" s="14" t="str">
        <f>HYPERLINK("https://www.google.iq/maps/search/+32.4055,44.6694/@32.4055,44.6694,14z?hl=en","Maplink2")</f>
        <v>Maplink2</v>
      </c>
      <c r="AW429" s="14" t="str">
        <f>HYPERLINK("http://www.bing.com/maps/?lvl=14&amp;sty=h&amp;cp=32.4055~44.6694&amp;sp=point.32.4055_44.6694_Al Midhatiyah-Hay Al Zahraa","Maplink3")</f>
        <v>Maplink3</v>
      </c>
    </row>
    <row r="430" spans="1:49" ht="15" customHeight="1" x14ac:dyDescent="0.25">
      <c r="A430" s="21">
        <v>24711</v>
      </c>
      <c r="B430" s="22" t="s">
        <v>10</v>
      </c>
      <c r="C430" s="22" t="s">
        <v>1037</v>
      </c>
      <c r="D430" s="22" t="s">
        <v>1056</v>
      </c>
      <c r="E430" s="22" t="s">
        <v>7595</v>
      </c>
      <c r="F430" s="22">
        <v>32.323605000000001</v>
      </c>
      <c r="G430" s="22">
        <v>44.924579000000001</v>
      </c>
      <c r="H430" s="21" t="s">
        <v>802</v>
      </c>
      <c r="I430" s="21" t="s">
        <v>1039</v>
      </c>
      <c r="J430" s="21"/>
      <c r="K430" s="24">
        <v>14</v>
      </c>
      <c r="L430" s="24">
        <v>84</v>
      </c>
      <c r="M430" s="23">
        <v>6</v>
      </c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>
        <v>8</v>
      </c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>
        <v>2</v>
      </c>
      <c r="AK430" s="23">
        <v>12</v>
      </c>
      <c r="AL430" s="23"/>
      <c r="AM430" s="23"/>
      <c r="AN430" s="23"/>
      <c r="AO430" s="23"/>
      <c r="AP430" s="23">
        <v>8</v>
      </c>
      <c r="AQ430" s="23"/>
      <c r="AR430" s="23">
        <v>3</v>
      </c>
      <c r="AS430" s="23">
        <v>3</v>
      </c>
      <c r="AT430" s="23"/>
      <c r="AU430" s="14" t="str">
        <f>HYPERLINK("http://www.openstreetmap.org/?mlat=32.3236&amp;mlon=44.9246&amp;zoom=12#map=12/32.3236/44.9246","Maplink1")</f>
        <v>Maplink1</v>
      </c>
      <c r="AV430" s="14" t="str">
        <f>HYPERLINK("https://www.google.iq/maps/search/+32.3236,44.9246/@32.3236,44.9246,14z?hl=en","Maplink2")</f>
        <v>Maplink2</v>
      </c>
      <c r="AW430" s="14" t="str">
        <f>HYPERLINK("http://www.bing.com/maps/?lvl=14&amp;sty=h&amp;cp=32.3236~44.9246&amp;sp=point.32.3236_44.9246_Al Nasser","Maplink3")</f>
        <v>Maplink3</v>
      </c>
    </row>
    <row r="431" spans="1:49" ht="15" customHeight="1" x14ac:dyDescent="0.25">
      <c r="A431" s="21">
        <v>24293</v>
      </c>
      <c r="B431" s="22" t="s">
        <v>10</v>
      </c>
      <c r="C431" s="22" t="s">
        <v>1037</v>
      </c>
      <c r="D431" s="22" t="s">
        <v>1057</v>
      </c>
      <c r="E431" s="22" t="s">
        <v>7596</v>
      </c>
      <c r="F431" s="22">
        <v>32.297528</v>
      </c>
      <c r="G431" s="22">
        <v>44.683025999999998</v>
      </c>
      <c r="H431" s="21" t="s">
        <v>802</v>
      </c>
      <c r="I431" s="21" t="s">
        <v>1039</v>
      </c>
      <c r="J431" s="21" t="s">
        <v>1058</v>
      </c>
      <c r="K431" s="24">
        <v>9</v>
      </c>
      <c r="L431" s="24">
        <v>54</v>
      </c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>
        <v>9</v>
      </c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9</v>
      </c>
      <c r="AL431" s="23"/>
      <c r="AM431" s="23"/>
      <c r="AN431" s="23"/>
      <c r="AO431" s="23"/>
      <c r="AP431" s="23">
        <v>9</v>
      </c>
      <c r="AQ431" s="23"/>
      <c r="AR431" s="23"/>
      <c r="AS431" s="23"/>
      <c r="AT431" s="23"/>
      <c r="AU431" s="14" t="str">
        <f>HYPERLINK("http://www.openstreetmap.org/?mlat=32.2975&amp;mlon=44.683&amp;zoom=12#map=12/32.2975/44.683","Maplink1")</f>
        <v>Maplink1</v>
      </c>
      <c r="AV431" s="14" t="str">
        <f>HYPERLINK("https://www.google.iq/maps/search/+32.2975,44.683/@32.2975,44.683,14z?hl=en","Maplink2")</f>
        <v>Maplink2</v>
      </c>
      <c r="AW431" s="14" t="str">
        <f>HYPERLINK("http://www.bing.com/maps/?lvl=14&amp;sty=h&amp;cp=32.2975~44.683&amp;sp=point.32.2975_44.683_Al Qasim Area-Al Qasabah Al kadima","Maplink3")</f>
        <v>Maplink3</v>
      </c>
    </row>
    <row r="432" spans="1:49" ht="15" customHeight="1" x14ac:dyDescent="0.25">
      <c r="A432" s="21">
        <v>6361</v>
      </c>
      <c r="B432" s="22" t="s">
        <v>10</v>
      </c>
      <c r="C432" s="22" t="s">
        <v>1037</v>
      </c>
      <c r="D432" s="22" t="s">
        <v>1059</v>
      </c>
      <c r="E432" s="22" t="s">
        <v>7597</v>
      </c>
      <c r="F432" s="22">
        <v>32.299999999999997</v>
      </c>
      <c r="G432" s="22">
        <v>44.67</v>
      </c>
      <c r="H432" s="21" t="s">
        <v>802</v>
      </c>
      <c r="I432" s="21" t="s">
        <v>1039</v>
      </c>
      <c r="J432" s="21" t="s">
        <v>1060</v>
      </c>
      <c r="K432" s="24">
        <v>73</v>
      </c>
      <c r="L432" s="24">
        <v>438</v>
      </c>
      <c r="M432" s="23">
        <v>10</v>
      </c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>
        <v>63</v>
      </c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43</v>
      </c>
      <c r="AL432" s="23"/>
      <c r="AM432" s="23">
        <v>30</v>
      </c>
      <c r="AN432" s="23"/>
      <c r="AO432" s="23"/>
      <c r="AP432" s="23">
        <v>50</v>
      </c>
      <c r="AQ432" s="23">
        <v>13</v>
      </c>
      <c r="AR432" s="23">
        <v>5</v>
      </c>
      <c r="AS432" s="23">
        <v>5</v>
      </c>
      <c r="AT432" s="23"/>
      <c r="AU432" s="14" t="str">
        <f>HYPERLINK("http://www.openstreetmap.org/?mlat=32.3&amp;mlon=44.67&amp;zoom=12#map=12/32.3/44.67","Maplink1")</f>
        <v>Maplink1</v>
      </c>
      <c r="AV432" s="14" t="str">
        <f>HYPERLINK("https://www.google.iq/maps/search/+32.3,44.67/@32.3,44.67,14z?hl=en","Maplink2")</f>
        <v>Maplink2</v>
      </c>
      <c r="AW432" s="14" t="str">
        <f>HYPERLINK("http://www.bing.com/maps/?lvl=14&amp;sty=h&amp;cp=32.3~44.67&amp;sp=point.32.3_44.67_Al Qasim-Al Askari","Maplink3")</f>
        <v>Maplink3</v>
      </c>
    </row>
    <row r="433" spans="1:49" ht="15" customHeight="1" x14ac:dyDescent="0.25">
      <c r="A433" s="21">
        <v>25593</v>
      </c>
      <c r="B433" s="22" t="s">
        <v>10</v>
      </c>
      <c r="C433" s="22" t="s">
        <v>1037</v>
      </c>
      <c r="D433" s="22" t="s">
        <v>1061</v>
      </c>
      <c r="E433" s="22" t="s">
        <v>7598</v>
      </c>
      <c r="F433" s="22">
        <v>32.301920000000003</v>
      </c>
      <c r="G433" s="22">
        <v>44.678507000000003</v>
      </c>
      <c r="H433" s="21" t="s">
        <v>802</v>
      </c>
      <c r="I433" s="21" t="s">
        <v>1039</v>
      </c>
      <c r="J433" s="21"/>
      <c r="K433" s="24">
        <v>2</v>
      </c>
      <c r="L433" s="24">
        <v>12</v>
      </c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2</v>
      </c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>
        <v>2</v>
      </c>
      <c r="AL433" s="23"/>
      <c r="AM433" s="23"/>
      <c r="AN433" s="23"/>
      <c r="AO433" s="23"/>
      <c r="AP433" s="23">
        <v>2</v>
      </c>
      <c r="AQ433" s="23"/>
      <c r="AR433" s="23"/>
      <c r="AS433" s="23"/>
      <c r="AT433" s="23"/>
      <c r="AU433" s="14" t="str">
        <f>HYPERLINK("http://www.openstreetmap.org/?mlat=32.3019&amp;mlon=44.6785&amp;zoom=12#map=12/32.3019/44.6785","Maplink1")</f>
        <v>Maplink1</v>
      </c>
      <c r="AV433" s="14" t="str">
        <f>HYPERLINK("https://www.google.iq/maps/search/+32.3019,44.6785/@32.3019,44.6785,14z?hl=en","Maplink2")</f>
        <v>Maplink2</v>
      </c>
      <c r="AW433" s="14" t="str">
        <f>HYPERLINK("http://www.bing.com/maps/?lvl=14&amp;sty=h&amp;cp=32.3019~44.6785&amp;sp=point.32.3019_44.6785_Al Qassim-Al Janabeen","Maplink3")</f>
        <v>Maplink3</v>
      </c>
    </row>
    <row r="434" spans="1:49" ht="15" customHeight="1" x14ac:dyDescent="0.25">
      <c r="A434" s="21">
        <v>25592</v>
      </c>
      <c r="B434" s="22" t="s">
        <v>10</v>
      </c>
      <c r="C434" s="22" t="s">
        <v>1037</v>
      </c>
      <c r="D434" s="22" t="s">
        <v>1062</v>
      </c>
      <c r="E434" s="22" t="s">
        <v>7599</v>
      </c>
      <c r="F434" s="22">
        <v>32.334930999999997</v>
      </c>
      <c r="G434" s="22">
        <v>44.745398999999999</v>
      </c>
      <c r="H434" s="21" t="s">
        <v>802</v>
      </c>
      <c r="I434" s="21" t="s">
        <v>1039</v>
      </c>
      <c r="J434" s="21"/>
      <c r="K434" s="24">
        <v>6</v>
      </c>
      <c r="L434" s="24">
        <v>36</v>
      </c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6</v>
      </c>
      <c r="Z434" s="23"/>
      <c r="AA434" s="23"/>
      <c r="AB434" s="23"/>
      <c r="AC434" s="23"/>
      <c r="AD434" s="23"/>
      <c r="AE434" s="23"/>
      <c r="AF434" s="23">
        <v>6</v>
      </c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>
        <v>6</v>
      </c>
      <c r="AR434" s="23"/>
      <c r="AS434" s="23"/>
      <c r="AT434" s="23"/>
      <c r="AU434" s="14" t="str">
        <f>HYPERLINK("http://www.openstreetmap.org/?mlat=32.3349&amp;mlon=44.7454&amp;zoom=12#map=12/32.3349/44.7454","Maplink1")</f>
        <v>Maplink1</v>
      </c>
      <c r="AV434" s="14" t="str">
        <f>HYPERLINK("https://www.google.iq/maps/search/+32.3349,44.7454/@32.3349,44.7454,14z?hl=en","Maplink2")</f>
        <v>Maplink2</v>
      </c>
      <c r="AW434" s="14" t="str">
        <f>HYPERLINK("http://www.bing.com/maps/?lvl=14&amp;sty=h&amp;cp=32.3349~44.7454&amp;sp=point.32.3349_44.7454_Al Qassim-Hay Al Fayadheyia","Maplink3")</f>
        <v>Maplink3</v>
      </c>
    </row>
    <row r="435" spans="1:49" ht="15" customHeight="1" x14ac:dyDescent="0.25">
      <c r="A435" s="21">
        <v>25591</v>
      </c>
      <c r="B435" s="22" t="s">
        <v>10</v>
      </c>
      <c r="C435" s="22" t="s">
        <v>1037</v>
      </c>
      <c r="D435" s="22" t="s">
        <v>1063</v>
      </c>
      <c r="E435" s="22" t="s">
        <v>7600</v>
      </c>
      <c r="F435" s="22">
        <v>32.291528999999997</v>
      </c>
      <c r="G435" s="22">
        <v>44.68432</v>
      </c>
      <c r="H435" s="21" t="s">
        <v>802</v>
      </c>
      <c r="I435" s="21" t="s">
        <v>1039</v>
      </c>
      <c r="J435" s="21"/>
      <c r="K435" s="24">
        <v>13</v>
      </c>
      <c r="L435" s="24">
        <v>78</v>
      </c>
      <c r="M435" s="23">
        <v>4</v>
      </c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9</v>
      </c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13</v>
      </c>
      <c r="AL435" s="23"/>
      <c r="AM435" s="23"/>
      <c r="AN435" s="23"/>
      <c r="AO435" s="23"/>
      <c r="AP435" s="23">
        <v>9</v>
      </c>
      <c r="AQ435" s="23"/>
      <c r="AR435" s="23">
        <v>4</v>
      </c>
      <c r="AS435" s="23"/>
      <c r="AT435" s="23"/>
      <c r="AU435" s="14" t="str">
        <f>HYPERLINK("http://www.openstreetmap.org/?mlat=32.2915&amp;mlon=44.6843&amp;zoom=12#map=12/32.2915/44.6843","Maplink1")</f>
        <v>Maplink1</v>
      </c>
      <c r="AV435" s="14" t="str">
        <f>HYPERLINK("https://www.google.iq/maps/search/+32.2915,44.6843/@32.2915,44.6843,14z?hl=en","Maplink2")</f>
        <v>Maplink2</v>
      </c>
      <c r="AW435" s="14" t="str">
        <f>HYPERLINK("http://www.bing.com/maps/?lvl=14&amp;sty=h&amp;cp=32.2915~44.6843&amp;sp=point.32.2915_44.6843_Al Qassim-Hay Al Ghadeer","Maplink3")</f>
        <v>Maplink3</v>
      </c>
    </row>
    <row r="436" spans="1:49" ht="15" customHeight="1" x14ac:dyDescent="0.25">
      <c r="A436" s="21">
        <v>6679</v>
      </c>
      <c r="B436" s="22" t="s">
        <v>10</v>
      </c>
      <c r="C436" s="22" t="s">
        <v>1037</v>
      </c>
      <c r="D436" s="22" t="s">
        <v>1064</v>
      </c>
      <c r="E436" s="22" t="s">
        <v>7601</v>
      </c>
      <c r="F436" s="22">
        <v>32.308895999999997</v>
      </c>
      <c r="G436" s="22">
        <v>44.674205999999998</v>
      </c>
      <c r="H436" s="21" t="s">
        <v>802</v>
      </c>
      <c r="I436" s="21" t="s">
        <v>1039</v>
      </c>
      <c r="J436" s="21" t="s">
        <v>1065</v>
      </c>
      <c r="K436" s="24">
        <v>12</v>
      </c>
      <c r="L436" s="24">
        <v>72</v>
      </c>
      <c r="M436" s="23">
        <v>1</v>
      </c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10</v>
      </c>
      <c r="Z436" s="23"/>
      <c r="AA436" s="23">
        <v>1</v>
      </c>
      <c r="AB436" s="23"/>
      <c r="AC436" s="23"/>
      <c r="AD436" s="23"/>
      <c r="AE436" s="23"/>
      <c r="AF436" s="23"/>
      <c r="AG436" s="23"/>
      <c r="AH436" s="23"/>
      <c r="AI436" s="23"/>
      <c r="AJ436" s="23"/>
      <c r="AK436" s="23">
        <v>12</v>
      </c>
      <c r="AL436" s="23"/>
      <c r="AM436" s="23"/>
      <c r="AN436" s="23"/>
      <c r="AO436" s="23"/>
      <c r="AP436" s="23">
        <v>11</v>
      </c>
      <c r="AQ436" s="23"/>
      <c r="AR436" s="23">
        <v>1</v>
      </c>
      <c r="AS436" s="23"/>
      <c r="AT436" s="23"/>
      <c r="AU436" s="14" t="str">
        <f>HYPERLINK("http://www.openstreetmap.org/?mlat=32.3089&amp;mlon=44.6742&amp;zoom=12#map=12/32.3089/44.6742","Maplink1")</f>
        <v>Maplink1</v>
      </c>
      <c r="AV436" s="14" t="str">
        <f>HYPERLINK("https://www.google.iq/maps/search/+32.3089,44.6742/@32.3089,44.6742,14z?hl=en","Maplink2")</f>
        <v>Maplink2</v>
      </c>
      <c r="AW436" s="14" t="str">
        <f>HYPERLINK("http://www.bing.com/maps/?lvl=14&amp;sty=h&amp;cp=32.3089~44.6742&amp;sp=point.32.3089_44.6742_Al Qassim-Hay Al Sinaee","Maplink3")</f>
        <v>Maplink3</v>
      </c>
    </row>
    <row r="437" spans="1:49" ht="15" customHeight="1" x14ac:dyDescent="0.25">
      <c r="A437" s="21">
        <v>24835</v>
      </c>
      <c r="B437" s="22" t="s">
        <v>10</v>
      </c>
      <c r="C437" s="22" t="s">
        <v>1037</v>
      </c>
      <c r="D437" s="22" t="s">
        <v>1066</v>
      </c>
      <c r="E437" s="22" t="s">
        <v>1067</v>
      </c>
      <c r="F437" s="22">
        <v>32.360945999999998</v>
      </c>
      <c r="G437" s="22">
        <v>44.638727000000003</v>
      </c>
      <c r="H437" s="21" t="s">
        <v>802</v>
      </c>
      <c r="I437" s="21" t="s">
        <v>1039</v>
      </c>
      <c r="J437" s="21"/>
      <c r="K437" s="24">
        <v>14</v>
      </c>
      <c r="L437" s="24">
        <v>84</v>
      </c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14</v>
      </c>
      <c r="Z437" s="23"/>
      <c r="AA437" s="23"/>
      <c r="AB437" s="23"/>
      <c r="AC437" s="23"/>
      <c r="AD437" s="23"/>
      <c r="AE437" s="23"/>
      <c r="AF437" s="23">
        <v>4</v>
      </c>
      <c r="AG437" s="23"/>
      <c r="AH437" s="23"/>
      <c r="AI437" s="23"/>
      <c r="AJ437" s="23">
        <v>10</v>
      </c>
      <c r="AK437" s="23"/>
      <c r="AL437" s="23"/>
      <c r="AM437" s="23"/>
      <c r="AN437" s="23"/>
      <c r="AO437" s="23"/>
      <c r="AP437" s="23"/>
      <c r="AQ437" s="23">
        <v>14</v>
      </c>
      <c r="AR437" s="23"/>
      <c r="AS437" s="23"/>
      <c r="AT437" s="23"/>
      <c r="AU437" s="14" t="str">
        <f>HYPERLINK("http://www.openstreetmap.org/?mlat=32.3609&amp;mlon=44.6387&amp;zoom=12#map=12/32.3609/44.6387","Maplink1")</f>
        <v>Maplink1</v>
      </c>
      <c r="AV437" s="14" t="str">
        <f>HYPERLINK("https://www.google.iq/maps/search/+32.3609,44.6387/@32.3609,44.6387,14z?hl=en","Maplink2")</f>
        <v>Maplink2</v>
      </c>
      <c r="AW437" s="14" t="str">
        <f>HYPERLINK("http://www.bing.com/maps/?lvl=14&amp;sty=h&amp;cp=32.3609~44.6387&amp;sp=point.32.3609_44.6387_Al Sadah Al Baharnah","Maplink3")</f>
        <v>Maplink3</v>
      </c>
    </row>
    <row r="438" spans="1:49" ht="15" customHeight="1" x14ac:dyDescent="0.25">
      <c r="A438" s="21">
        <v>6693</v>
      </c>
      <c r="B438" s="22" t="s">
        <v>10</v>
      </c>
      <c r="C438" s="22" t="s">
        <v>1037</v>
      </c>
      <c r="D438" s="22" t="s">
        <v>1068</v>
      </c>
      <c r="E438" s="22" t="s">
        <v>1069</v>
      </c>
      <c r="F438" s="22">
        <v>32.294119999999999</v>
      </c>
      <c r="G438" s="22">
        <v>44.676682</v>
      </c>
      <c r="H438" s="21" t="s">
        <v>802</v>
      </c>
      <c r="I438" s="21" t="s">
        <v>1039</v>
      </c>
      <c r="J438" s="21" t="s">
        <v>1070</v>
      </c>
      <c r="K438" s="24">
        <v>4</v>
      </c>
      <c r="L438" s="24">
        <v>24</v>
      </c>
      <c r="M438" s="23">
        <v>3</v>
      </c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>
        <v>1</v>
      </c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4</v>
      </c>
      <c r="AL438" s="23"/>
      <c r="AM438" s="23"/>
      <c r="AN438" s="23"/>
      <c r="AO438" s="23"/>
      <c r="AP438" s="23">
        <v>1</v>
      </c>
      <c r="AQ438" s="23"/>
      <c r="AR438" s="23">
        <v>1</v>
      </c>
      <c r="AS438" s="23">
        <v>2</v>
      </c>
      <c r="AT438" s="23"/>
      <c r="AU438" s="14" t="str">
        <f>HYPERLINK("http://www.openstreetmap.org/?mlat=32.2941&amp;mlon=44.6767&amp;zoom=12#map=12/32.2941/44.6767","Maplink1")</f>
        <v>Maplink1</v>
      </c>
      <c r="AV438" s="14" t="str">
        <f>HYPERLINK("https://www.google.iq/maps/search/+32.2941,44.6767/@32.2941,44.6767,14z?hl=en","Maplink2")</f>
        <v>Maplink2</v>
      </c>
      <c r="AW438" s="14" t="str">
        <f>HYPERLINK("http://www.bing.com/maps/?lvl=14&amp;sty=h&amp;cp=32.2941~44.6767&amp;sp=point.32.2941_44.6767_Al Seaidy","Maplink3")</f>
        <v>Maplink3</v>
      </c>
    </row>
    <row r="439" spans="1:49" ht="15" customHeight="1" x14ac:dyDescent="0.25">
      <c r="A439" s="21">
        <v>25590</v>
      </c>
      <c r="B439" s="22" t="s">
        <v>10</v>
      </c>
      <c r="C439" s="22" t="s">
        <v>1037</v>
      </c>
      <c r="D439" s="22" t="s">
        <v>1071</v>
      </c>
      <c r="E439" s="22" t="s">
        <v>7602</v>
      </c>
      <c r="F439" s="22">
        <v>32.321354999999997</v>
      </c>
      <c r="G439" s="22">
        <v>44.918548999999999</v>
      </c>
      <c r="H439" s="21" t="s">
        <v>802</v>
      </c>
      <c r="I439" s="21" t="s">
        <v>1039</v>
      </c>
      <c r="J439" s="21"/>
      <c r="K439" s="24">
        <v>8</v>
      </c>
      <c r="L439" s="24">
        <v>48</v>
      </c>
      <c r="M439" s="23">
        <v>6</v>
      </c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2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8</v>
      </c>
      <c r="AL439" s="23"/>
      <c r="AM439" s="23"/>
      <c r="AN439" s="23"/>
      <c r="AO439" s="23"/>
      <c r="AP439" s="23">
        <v>2</v>
      </c>
      <c r="AQ439" s="23"/>
      <c r="AR439" s="23"/>
      <c r="AS439" s="23">
        <v>6</v>
      </c>
      <c r="AT439" s="23"/>
      <c r="AU439" s="14" t="str">
        <f>HYPERLINK("http://www.openstreetmap.org/?mlat=32.3214&amp;mlon=44.9185&amp;zoom=12#map=12/32.3214/44.9185","Maplink1")</f>
        <v>Maplink1</v>
      </c>
      <c r="AV439" s="14" t="str">
        <f>HYPERLINK("https://www.google.iq/maps/search/+32.3214,44.9185/@32.3214,44.9185,14z?hl=en","Maplink2")</f>
        <v>Maplink2</v>
      </c>
      <c r="AW439" s="14" t="str">
        <f>HYPERLINK("http://www.bing.com/maps/?lvl=14&amp;sty=h&amp;cp=32.3214~44.9185&amp;sp=point.32.3214_44.9185_Al Shomaly-Hay Al Oroba","Maplink3")</f>
        <v>Maplink3</v>
      </c>
    </row>
    <row r="440" spans="1:49" ht="15" customHeight="1" x14ac:dyDescent="0.25">
      <c r="A440" s="21">
        <v>25594</v>
      </c>
      <c r="B440" s="22" t="s">
        <v>10</v>
      </c>
      <c r="C440" s="22" t="s">
        <v>1037</v>
      </c>
      <c r="D440" s="22" t="s">
        <v>1072</v>
      </c>
      <c r="E440" s="22" t="s">
        <v>7603</v>
      </c>
      <c r="F440" s="22">
        <v>32.325088999999998</v>
      </c>
      <c r="G440" s="22">
        <v>44.914301999999999</v>
      </c>
      <c r="H440" s="21" t="s">
        <v>802</v>
      </c>
      <c r="I440" s="21" t="s">
        <v>1039</v>
      </c>
      <c r="J440" s="21"/>
      <c r="K440" s="24">
        <v>6</v>
      </c>
      <c r="L440" s="24">
        <v>36</v>
      </c>
      <c r="M440" s="23">
        <v>2</v>
      </c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4</v>
      </c>
      <c r="Z440" s="23"/>
      <c r="AA440" s="23"/>
      <c r="AB440" s="23"/>
      <c r="AC440" s="23"/>
      <c r="AD440" s="23"/>
      <c r="AE440" s="23"/>
      <c r="AF440" s="23">
        <v>2</v>
      </c>
      <c r="AG440" s="23"/>
      <c r="AH440" s="23"/>
      <c r="AI440" s="23"/>
      <c r="AJ440" s="23"/>
      <c r="AK440" s="23">
        <v>4</v>
      </c>
      <c r="AL440" s="23"/>
      <c r="AM440" s="23"/>
      <c r="AN440" s="23"/>
      <c r="AO440" s="23"/>
      <c r="AP440" s="23">
        <v>4</v>
      </c>
      <c r="AQ440" s="23"/>
      <c r="AR440" s="23"/>
      <c r="AS440" s="23">
        <v>2</v>
      </c>
      <c r="AT440" s="23"/>
      <c r="AU440" s="14" t="str">
        <f>HYPERLINK("http://www.openstreetmap.org/?mlat=32.3251&amp;mlon=44.9143&amp;zoom=12#map=12/32.3251/44.9143","Maplink1")</f>
        <v>Maplink1</v>
      </c>
      <c r="AV440" s="14" t="str">
        <f>HYPERLINK("https://www.google.iq/maps/search/+32.3251,44.9143/@32.3251,44.9143,14z?hl=en","Maplink2")</f>
        <v>Maplink2</v>
      </c>
      <c r="AW440" s="14" t="str">
        <f>HYPERLINK("http://www.bing.com/maps/?lvl=14&amp;sty=h&amp;cp=32.3251~44.9143&amp;sp=point.32.3251_44.9143_Al Shomaly-Hay Al Sada","Maplink3")</f>
        <v>Maplink3</v>
      </c>
    </row>
    <row r="441" spans="1:49" ht="15" customHeight="1" x14ac:dyDescent="0.25">
      <c r="A441" s="21">
        <v>25589</v>
      </c>
      <c r="B441" s="22" t="s">
        <v>10</v>
      </c>
      <c r="C441" s="22" t="s">
        <v>1037</v>
      </c>
      <c r="D441" s="22" t="s">
        <v>1073</v>
      </c>
      <c r="E441" s="22" t="s">
        <v>7604</v>
      </c>
      <c r="F441" s="22">
        <v>32.321165999999998</v>
      </c>
      <c r="G441" s="22">
        <v>44.841917000000002</v>
      </c>
      <c r="H441" s="21" t="s">
        <v>802</v>
      </c>
      <c r="I441" s="21" t="s">
        <v>1039</v>
      </c>
      <c r="J441" s="21"/>
      <c r="K441" s="24">
        <v>10</v>
      </c>
      <c r="L441" s="24">
        <v>60</v>
      </c>
      <c r="M441" s="23">
        <v>6</v>
      </c>
      <c r="N441" s="23"/>
      <c r="O441" s="23">
        <v>3</v>
      </c>
      <c r="P441" s="23"/>
      <c r="Q441" s="23"/>
      <c r="R441" s="23"/>
      <c r="S441" s="23"/>
      <c r="T441" s="23"/>
      <c r="U441" s="23"/>
      <c r="V441" s="23"/>
      <c r="W441" s="23"/>
      <c r="X441" s="23"/>
      <c r="Y441" s="23">
        <v>1</v>
      </c>
      <c r="Z441" s="23"/>
      <c r="AA441" s="23"/>
      <c r="AB441" s="23"/>
      <c r="AC441" s="23"/>
      <c r="AD441" s="23"/>
      <c r="AE441" s="23"/>
      <c r="AF441" s="23">
        <v>9</v>
      </c>
      <c r="AG441" s="23"/>
      <c r="AH441" s="23"/>
      <c r="AI441" s="23"/>
      <c r="AJ441" s="23"/>
      <c r="AK441" s="23"/>
      <c r="AL441" s="23"/>
      <c r="AM441" s="23">
        <v>1</v>
      </c>
      <c r="AN441" s="23"/>
      <c r="AO441" s="23"/>
      <c r="AP441" s="23">
        <v>1</v>
      </c>
      <c r="AQ441" s="23">
        <v>3</v>
      </c>
      <c r="AR441" s="23">
        <v>6</v>
      </c>
      <c r="AS441" s="23"/>
      <c r="AT441" s="23"/>
      <c r="AU441" s="14" t="str">
        <f>HYPERLINK("http://www.openstreetmap.org/?mlat=32.3212&amp;mlon=44.8419&amp;zoom=12#map=12/32.3212/44.8419","Maplink1")</f>
        <v>Maplink1</v>
      </c>
      <c r="AV441" s="14" t="str">
        <f>HYPERLINK("https://www.google.iq/maps/search/+32.3212,44.8419/@32.3212,44.8419,14z?hl=en","Maplink2")</f>
        <v>Maplink2</v>
      </c>
      <c r="AW441" s="14" t="str">
        <f>HYPERLINK("http://www.bing.com/maps/?lvl=14&amp;sty=h&amp;cp=32.3212~44.8419&amp;sp=point.32.3212_44.8419_Al Shoumly-Al Jawadia village","Maplink3")</f>
        <v>Maplink3</v>
      </c>
    </row>
    <row r="442" spans="1:49" ht="15" customHeight="1" x14ac:dyDescent="0.25">
      <c r="A442" s="21">
        <v>25598</v>
      </c>
      <c r="B442" s="22" t="s">
        <v>10</v>
      </c>
      <c r="C442" s="22" t="s">
        <v>1037</v>
      </c>
      <c r="D442" s="22" t="s">
        <v>1074</v>
      </c>
      <c r="E442" s="22" t="s">
        <v>7605</v>
      </c>
      <c r="F442" s="22">
        <v>32.188116999999998</v>
      </c>
      <c r="G442" s="22">
        <v>44.716425999999998</v>
      </c>
      <c r="H442" s="21" t="s">
        <v>802</v>
      </c>
      <c r="I442" s="21" t="s">
        <v>1039</v>
      </c>
      <c r="J442" s="21"/>
      <c r="K442" s="24">
        <v>5</v>
      </c>
      <c r="L442" s="24">
        <v>30</v>
      </c>
      <c r="M442" s="23">
        <v>1</v>
      </c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4</v>
      </c>
      <c r="Z442" s="23"/>
      <c r="AA442" s="23"/>
      <c r="AB442" s="23"/>
      <c r="AC442" s="23"/>
      <c r="AD442" s="23"/>
      <c r="AE442" s="23"/>
      <c r="AF442" s="23">
        <v>4</v>
      </c>
      <c r="AG442" s="23"/>
      <c r="AH442" s="23"/>
      <c r="AI442" s="23"/>
      <c r="AJ442" s="23"/>
      <c r="AK442" s="23">
        <v>1</v>
      </c>
      <c r="AL442" s="23"/>
      <c r="AM442" s="23"/>
      <c r="AN442" s="23"/>
      <c r="AO442" s="23"/>
      <c r="AP442" s="23">
        <v>4</v>
      </c>
      <c r="AQ442" s="23"/>
      <c r="AR442" s="23"/>
      <c r="AS442" s="23">
        <v>1</v>
      </c>
      <c r="AT442" s="23"/>
      <c r="AU442" s="14" t="str">
        <f>HYPERLINK("http://www.openstreetmap.org/?mlat=32.1881&amp;mlon=44.7164&amp;zoom=12#map=12/32.1881/44.7164","Maplink1")</f>
        <v>Maplink1</v>
      </c>
      <c r="AV442" s="14" t="str">
        <f>HYPERLINK("https://www.google.iq/maps/search/+32.1881,44.7164/@32.1881,44.7164,14z?hl=en","Maplink2")</f>
        <v>Maplink2</v>
      </c>
      <c r="AW442" s="14" t="str">
        <f>HYPERLINK("http://www.bing.com/maps/?lvl=14&amp;sty=h&amp;cp=32.1881~44.7164&amp;sp=point.32.1881_44.7164_Al Taleeaa-Al Gamiea wa Al Hussainea","Maplink3")</f>
        <v>Maplink3</v>
      </c>
    </row>
    <row r="443" spans="1:49" ht="15" customHeight="1" x14ac:dyDescent="0.25">
      <c r="A443" s="21">
        <v>25597</v>
      </c>
      <c r="B443" s="22" t="s">
        <v>10</v>
      </c>
      <c r="C443" s="22" t="s">
        <v>1037</v>
      </c>
      <c r="D443" s="22" t="s">
        <v>1075</v>
      </c>
      <c r="E443" s="22" t="s">
        <v>7606</v>
      </c>
      <c r="F443" s="22">
        <v>32.138323</v>
      </c>
      <c r="G443" s="22">
        <v>44.745545999999997</v>
      </c>
      <c r="H443" s="21" t="s">
        <v>802</v>
      </c>
      <c r="I443" s="21" t="s">
        <v>1039</v>
      </c>
      <c r="J443" s="21"/>
      <c r="K443" s="24">
        <v>1</v>
      </c>
      <c r="L443" s="24">
        <v>6</v>
      </c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1</v>
      </c>
      <c r="Z443" s="23"/>
      <c r="AA443" s="23"/>
      <c r="AB443" s="23"/>
      <c r="AC443" s="23"/>
      <c r="AD443" s="23"/>
      <c r="AE443" s="23"/>
      <c r="AF443" s="23">
        <v>1</v>
      </c>
      <c r="AG443" s="23"/>
      <c r="AH443" s="23"/>
      <c r="AI443" s="23"/>
      <c r="AJ443" s="23"/>
      <c r="AK443" s="23"/>
      <c r="AL443" s="23"/>
      <c r="AM443" s="23"/>
      <c r="AN443" s="23"/>
      <c r="AO443" s="23"/>
      <c r="AP443" s="23">
        <v>1</v>
      </c>
      <c r="AQ443" s="23"/>
      <c r="AR443" s="23"/>
      <c r="AS443" s="23"/>
      <c r="AT443" s="23"/>
      <c r="AU443" s="14" t="str">
        <f>HYPERLINK("http://www.openstreetmap.org/?mlat=32.1383&amp;mlon=44.7455&amp;zoom=12#map=12/32.1383/44.7455","Maplink1")</f>
        <v>Maplink1</v>
      </c>
      <c r="AV443" s="14" t="str">
        <f>HYPERLINK("https://www.google.iq/maps/search/+32.1383,44.7455/@32.1383,44.7455,14z?hl=en","Maplink2")</f>
        <v>Maplink2</v>
      </c>
      <c r="AW443" s="14" t="str">
        <f>HYPERLINK("http://www.bing.com/maps/?lvl=14&amp;sty=h&amp;cp=32.1383~44.7455&amp;sp=point.32.1383_44.7455_Al Taleeaa-Gishir","Maplink3")</f>
        <v>Maplink3</v>
      </c>
    </row>
    <row r="444" spans="1:49" ht="15" customHeight="1" x14ac:dyDescent="0.25">
      <c r="A444" s="21">
        <v>25120</v>
      </c>
      <c r="B444" s="22" t="s">
        <v>10</v>
      </c>
      <c r="C444" s="22" t="s">
        <v>1037</v>
      </c>
      <c r="D444" s="22" t="s">
        <v>1076</v>
      </c>
      <c r="E444" s="22" t="s">
        <v>1077</v>
      </c>
      <c r="F444" s="22">
        <v>32.382292999999997</v>
      </c>
      <c r="G444" s="22">
        <v>44.603251999999998</v>
      </c>
      <c r="H444" s="21" t="s">
        <v>802</v>
      </c>
      <c r="I444" s="21" t="s">
        <v>1039</v>
      </c>
      <c r="J444" s="21"/>
      <c r="K444" s="24">
        <v>5</v>
      </c>
      <c r="L444" s="24">
        <v>30</v>
      </c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5</v>
      </c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>
        <v>2</v>
      </c>
      <c r="AK444" s="23">
        <v>3</v>
      </c>
      <c r="AL444" s="23"/>
      <c r="AM444" s="23"/>
      <c r="AN444" s="23"/>
      <c r="AO444" s="23"/>
      <c r="AP444" s="23">
        <v>5</v>
      </c>
      <c r="AQ444" s="23"/>
      <c r="AR444" s="23"/>
      <c r="AS444" s="23"/>
      <c r="AT444" s="23"/>
      <c r="AU444" s="14" t="str">
        <f>HYPERLINK("http://www.openstreetmap.org/?mlat=32.3823&amp;mlon=44.6033&amp;zoom=12#map=12/32.3823/44.6033","Maplink1")</f>
        <v>Maplink1</v>
      </c>
      <c r="AV444" s="14" t="str">
        <f>HYPERLINK("https://www.google.iq/maps/search/+32.3823,44.6033/@32.3823,44.6033,14z?hl=en","Maplink2")</f>
        <v>Maplink2</v>
      </c>
      <c r="AW444" s="14" t="str">
        <f>HYPERLINK("http://www.bing.com/maps/?lvl=14&amp;sty=h&amp;cp=32.3823~44.6033&amp;sp=point.32.3823_44.6033_Al Yaseeya","Maplink3")</f>
        <v>Maplink3</v>
      </c>
    </row>
    <row r="445" spans="1:49" ht="15" customHeight="1" x14ac:dyDescent="0.25">
      <c r="A445" s="21">
        <v>24710</v>
      </c>
      <c r="B445" s="22" t="s">
        <v>10</v>
      </c>
      <c r="C445" s="22" t="s">
        <v>1037</v>
      </c>
      <c r="D445" s="22" t="s">
        <v>1078</v>
      </c>
      <c r="E445" s="22" t="s">
        <v>7607</v>
      </c>
      <c r="F445" s="22">
        <v>32.355663999999997</v>
      </c>
      <c r="G445" s="22">
        <v>44.813428000000002</v>
      </c>
      <c r="H445" s="21" t="s">
        <v>802</v>
      </c>
      <c r="I445" s="21" t="s">
        <v>1039</v>
      </c>
      <c r="J445" s="21"/>
      <c r="K445" s="24">
        <v>75</v>
      </c>
      <c r="L445" s="24">
        <v>450</v>
      </c>
      <c r="M445" s="23">
        <v>11</v>
      </c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64</v>
      </c>
      <c r="Z445" s="23"/>
      <c r="AA445" s="23"/>
      <c r="AB445" s="23"/>
      <c r="AC445" s="23"/>
      <c r="AD445" s="23"/>
      <c r="AE445" s="23"/>
      <c r="AF445" s="23">
        <v>4</v>
      </c>
      <c r="AG445" s="23"/>
      <c r="AH445" s="23"/>
      <c r="AI445" s="23"/>
      <c r="AJ445" s="23">
        <v>56</v>
      </c>
      <c r="AK445" s="23">
        <v>15</v>
      </c>
      <c r="AL445" s="23"/>
      <c r="AM445" s="23"/>
      <c r="AN445" s="23"/>
      <c r="AO445" s="23"/>
      <c r="AP445" s="23">
        <v>8</v>
      </c>
      <c r="AQ445" s="23">
        <v>56</v>
      </c>
      <c r="AR445" s="23"/>
      <c r="AS445" s="23">
        <v>11</v>
      </c>
      <c r="AT445" s="23"/>
      <c r="AU445" s="14" t="str">
        <f>HYPERLINK("http://www.openstreetmap.org/?mlat=32.3557&amp;mlon=44.8134&amp;zoom=12#map=12/32.3557/44.8134","Maplink1")</f>
        <v>Maplink1</v>
      </c>
      <c r="AV445" s="14" t="str">
        <f>HYPERLINK("https://www.google.iq/maps/search/+32.3557,44.8134/@32.3557,44.8134,14z?hl=en","Maplink2")</f>
        <v>Maplink2</v>
      </c>
      <c r="AW445" s="14" t="str">
        <f>HYPERLINK("http://www.bing.com/maps/?lvl=14&amp;sty=h&amp;cp=32.3557~44.8134&amp;sp=point.32.3557_44.8134_Al Zabbar","Maplink3")</f>
        <v>Maplink3</v>
      </c>
    </row>
    <row r="446" spans="1:49" ht="15" customHeight="1" x14ac:dyDescent="0.25">
      <c r="A446" s="21">
        <v>6783</v>
      </c>
      <c r="B446" s="22" t="s">
        <v>10</v>
      </c>
      <c r="C446" s="22" t="s">
        <v>1037</v>
      </c>
      <c r="D446" s="22" t="s">
        <v>1079</v>
      </c>
      <c r="E446" s="22" t="s">
        <v>1080</v>
      </c>
      <c r="F446" s="22">
        <v>32.384444000000002</v>
      </c>
      <c r="G446" s="22">
        <v>44.537500000000001</v>
      </c>
      <c r="H446" s="21" t="s">
        <v>802</v>
      </c>
      <c r="I446" s="21" t="s">
        <v>1039</v>
      </c>
      <c r="J446" s="21" t="s">
        <v>1081</v>
      </c>
      <c r="K446" s="24">
        <v>75</v>
      </c>
      <c r="L446" s="24">
        <v>450</v>
      </c>
      <c r="M446" s="23">
        <v>8</v>
      </c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67</v>
      </c>
      <c r="Z446" s="23"/>
      <c r="AA446" s="23"/>
      <c r="AB446" s="23"/>
      <c r="AC446" s="23"/>
      <c r="AD446" s="23"/>
      <c r="AE446" s="23"/>
      <c r="AF446" s="23">
        <v>17</v>
      </c>
      <c r="AG446" s="23"/>
      <c r="AH446" s="23"/>
      <c r="AI446" s="23"/>
      <c r="AJ446" s="23">
        <v>29</v>
      </c>
      <c r="AK446" s="23">
        <v>29</v>
      </c>
      <c r="AL446" s="23"/>
      <c r="AM446" s="23"/>
      <c r="AN446" s="23"/>
      <c r="AO446" s="23"/>
      <c r="AP446" s="23">
        <v>50</v>
      </c>
      <c r="AQ446" s="23">
        <v>17</v>
      </c>
      <c r="AR446" s="23">
        <v>8</v>
      </c>
      <c r="AS446" s="23"/>
      <c r="AT446" s="23"/>
      <c r="AU446" s="14" t="str">
        <f>HYPERLINK("http://www.openstreetmap.org/?mlat=32.3844&amp;mlon=44.5375&amp;zoom=12#map=12/32.3844/44.5375","Maplink1")</f>
        <v>Maplink1</v>
      </c>
      <c r="AV446" s="14" t="str">
        <f>HYPERLINK("https://www.google.iq/maps/search/+32.3844,44.5375/@32.3844,44.5375,14z?hl=en","Maplink2")</f>
        <v>Maplink2</v>
      </c>
      <c r="AW446" s="14" t="str">
        <f>HYPERLINK("http://www.bing.com/maps/?lvl=14&amp;sty=h&amp;cp=32.3844~44.5375&amp;sp=point.32.3844_44.5375_Al-ibrahemiyah","Maplink3")</f>
        <v>Maplink3</v>
      </c>
    </row>
    <row r="447" spans="1:49" ht="15" customHeight="1" x14ac:dyDescent="0.25">
      <c r="A447" s="21">
        <v>6640</v>
      </c>
      <c r="B447" s="22" t="s">
        <v>10</v>
      </c>
      <c r="C447" s="22" t="s">
        <v>1037</v>
      </c>
      <c r="D447" s="22" t="s">
        <v>1082</v>
      </c>
      <c r="E447" s="22" t="s">
        <v>1083</v>
      </c>
      <c r="F447" s="22">
        <v>32.276111</v>
      </c>
      <c r="G447" s="22">
        <v>44.689166999999998</v>
      </c>
      <c r="H447" s="21" t="s">
        <v>802</v>
      </c>
      <c r="I447" s="21" t="s">
        <v>1039</v>
      </c>
      <c r="J447" s="21" t="s">
        <v>1084</v>
      </c>
      <c r="K447" s="24">
        <v>20</v>
      </c>
      <c r="L447" s="24">
        <v>120</v>
      </c>
      <c r="M447" s="23">
        <v>5</v>
      </c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15</v>
      </c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>
        <v>13</v>
      </c>
      <c r="AK447" s="23">
        <v>7</v>
      </c>
      <c r="AL447" s="23"/>
      <c r="AM447" s="23"/>
      <c r="AN447" s="23"/>
      <c r="AO447" s="23"/>
      <c r="AP447" s="23">
        <v>8</v>
      </c>
      <c r="AQ447" s="23">
        <v>7</v>
      </c>
      <c r="AR447" s="23">
        <v>5</v>
      </c>
      <c r="AS447" s="23"/>
      <c r="AT447" s="23"/>
      <c r="AU447" s="14" t="str">
        <f>HYPERLINK("http://www.openstreetmap.org/?mlat=32.2761&amp;mlon=44.6892&amp;zoom=12#map=12/32.2761/44.6892","Maplink1")</f>
        <v>Maplink1</v>
      </c>
      <c r="AV447" s="14" t="str">
        <f>HYPERLINK("https://www.google.iq/maps/search/+32.2761,44.6892/@32.2761,44.6892,14z?hl=en","Maplink2")</f>
        <v>Maplink2</v>
      </c>
      <c r="AW447" s="14" t="str">
        <f>HYPERLINK("http://www.bing.com/maps/?lvl=14&amp;sty=h&amp;cp=32.2761~44.6892&amp;sp=point.32.2761_44.6892_Al-khiweldiyah","Maplink3")</f>
        <v>Maplink3</v>
      </c>
    </row>
    <row r="448" spans="1:49" ht="15" customHeight="1" x14ac:dyDescent="0.25">
      <c r="A448" s="21">
        <v>21467</v>
      </c>
      <c r="B448" s="22" t="s">
        <v>10</v>
      </c>
      <c r="C448" s="22" t="s">
        <v>1037</v>
      </c>
      <c r="D448" s="22" t="s">
        <v>1085</v>
      </c>
      <c r="E448" s="22" t="s">
        <v>1086</v>
      </c>
      <c r="F448" s="22">
        <v>32.401350999999998</v>
      </c>
      <c r="G448" s="22">
        <v>44.692867999999997</v>
      </c>
      <c r="H448" s="21" t="s">
        <v>802</v>
      </c>
      <c r="I448" s="21" t="s">
        <v>1039</v>
      </c>
      <c r="J448" s="21" t="s">
        <v>1087</v>
      </c>
      <c r="K448" s="24">
        <v>13</v>
      </c>
      <c r="L448" s="24">
        <v>78</v>
      </c>
      <c r="M448" s="23">
        <v>11</v>
      </c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>
        <v>2</v>
      </c>
      <c r="AB448" s="23"/>
      <c r="AC448" s="23"/>
      <c r="AD448" s="23"/>
      <c r="AE448" s="23"/>
      <c r="AF448" s="23">
        <v>13</v>
      </c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>
        <v>2</v>
      </c>
      <c r="AR448" s="23">
        <v>11</v>
      </c>
      <c r="AS448" s="23"/>
      <c r="AT448" s="23"/>
      <c r="AU448" s="14" t="str">
        <f>HYPERLINK("http://www.openstreetmap.org/?mlat=32.4014&amp;mlon=44.6929&amp;zoom=12#map=12/32.4014/44.6929","Maplink1")</f>
        <v>Maplink1</v>
      </c>
      <c r="AV448" s="14" t="str">
        <f>HYPERLINK("https://www.google.iq/maps/search/+32.4014,44.6929/@32.4014,44.6929,14z?hl=en","Maplink2")</f>
        <v>Maplink2</v>
      </c>
      <c r="AW448" s="14" t="str">
        <f>HYPERLINK("http://www.bing.com/maps/?lvl=14&amp;sty=h&amp;cp=32.4014~44.6929&amp;sp=point.32.4014_44.6929_Al-Madhatiya-Al Ghazali Village","Maplink3")</f>
        <v>Maplink3</v>
      </c>
    </row>
    <row r="449" spans="1:49" ht="15" customHeight="1" x14ac:dyDescent="0.25">
      <c r="A449" s="21">
        <v>6769</v>
      </c>
      <c r="B449" s="22" t="s">
        <v>10</v>
      </c>
      <c r="C449" s="22" t="s">
        <v>1037</v>
      </c>
      <c r="D449" s="22" t="s">
        <v>1088</v>
      </c>
      <c r="E449" s="22" t="s">
        <v>1089</v>
      </c>
      <c r="F449" s="22">
        <v>32.378056000000001</v>
      </c>
      <c r="G449" s="22">
        <v>44.628610999999999</v>
      </c>
      <c r="H449" s="21" t="s">
        <v>802</v>
      </c>
      <c r="I449" s="21" t="s">
        <v>1039</v>
      </c>
      <c r="J449" s="21" t="s">
        <v>1090</v>
      </c>
      <c r="K449" s="24">
        <v>25</v>
      </c>
      <c r="L449" s="24">
        <v>150</v>
      </c>
      <c r="M449" s="23">
        <v>2</v>
      </c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23</v>
      </c>
      <c r="Z449" s="23"/>
      <c r="AA449" s="23"/>
      <c r="AB449" s="23"/>
      <c r="AC449" s="23"/>
      <c r="AD449" s="23"/>
      <c r="AE449" s="23"/>
      <c r="AF449" s="23">
        <v>21</v>
      </c>
      <c r="AG449" s="23"/>
      <c r="AH449" s="23"/>
      <c r="AI449" s="23"/>
      <c r="AJ449" s="23"/>
      <c r="AK449" s="23">
        <v>2</v>
      </c>
      <c r="AL449" s="23">
        <v>2</v>
      </c>
      <c r="AM449" s="23"/>
      <c r="AN449" s="23"/>
      <c r="AO449" s="23"/>
      <c r="AP449" s="23">
        <v>23</v>
      </c>
      <c r="AQ449" s="23"/>
      <c r="AR449" s="23"/>
      <c r="AS449" s="23">
        <v>2</v>
      </c>
      <c r="AT449" s="23"/>
      <c r="AU449" s="14" t="str">
        <f>HYPERLINK("http://www.openstreetmap.org/?mlat=32.3781&amp;mlon=44.6286&amp;zoom=12#map=12/32.3781/44.6286","Maplink1")</f>
        <v>Maplink1</v>
      </c>
      <c r="AV449" s="14" t="str">
        <f>HYPERLINK("https://www.google.iq/maps/search/+32.3781,44.6286/@32.3781,44.6286,14z?hl=en","Maplink2")</f>
        <v>Maplink2</v>
      </c>
      <c r="AW449" s="14" t="str">
        <f>HYPERLINK("http://www.bing.com/maps/?lvl=14&amp;sty=h&amp;cp=32.3781~44.6286&amp;sp=point.32.3781_44.6286_Al-mazeiadeiah","Maplink3")</f>
        <v>Maplink3</v>
      </c>
    </row>
    <row r="450" spans="1:49" ht="15" customHeight="1" x14ac:dyDescent="0.25">
      <c r="A450" s="21">
        <v>6793</v>
      </c>
      <c r="B450" s="22" t="s">
        <v>10</v>
      </c>
      <c r="C450" s="22" t="s">
        <v>1037</v>
      </c>
      <c r="D450" s="22" t="s">
        <v>1091</v>
      </c>
      <c r="E450" s="22" t="s">
        <v>1092</v>
      </c>
      <c r="F450" s="22">
        <v>32.389443999999997</v>
      </c>
      <c r="G450" s="22">
        <v>44.578333000000001</v>
      </c>
      <c r="H450" s="21" t="s">
        <v>802</v>
      </c>
      <c r="I450" s="21" t="s">
        <v>1039</v>
      </c>
      <c r="J450" s="21" t="s">
        <v>1093</v>
      </c>
      <c r="K450" s="24">
        <v>17</v>
      </c>
      <c r="L450" s="24">
        <v>102</v>
      </c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17</v>
      </c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>
        <v>1</v>
      </c>
      <c r="AK450" s="23">
        <v>16</v>
      </c>
      <c r="AL450" s="23"/>
      <c r="AM450" s="23"/>
      <c r="AN450" s="23"/>
      <c r="AO450" s="23"/>
      <c r="AP450" s="23">
        <v>17</v>
      </c>
      <c r="AQ450" s="23"/>
      <c r="AR450" s="23"/>
      <c r="AS450" s="23"/>
      <c r="AT450" s="23"/>
      <c r="AU450" s="14" t="str">
        <f>HYPERLINK("http://www.openstreetmap.org/?mlat=32.3894&amp;mlon=44.5783&amp;zoom=12#map=12/32.3894/44.5783","Maplink1")</f>
        <v>Maplink1</v>
      </c>
      <c r="AV450" s="14" t="str">
        <f>HYPERLINK("https://www.google.iq/maps/search/+32.3894,44.5783/@32.3894,44.5783,14z?hl=en","Maplink2")</f>
        <v>Maplink2</v>
      </c>
      <c r="AW450" s="14" t="str">
        <f>HYPERLINK("http://www.bing.com/maps/?lvl=14&amp;sty=h&amp;cp=32.3894~44.5783&amp;sp=point.32.3894_44.5783_Al-rawashed","Maplink3")</f>
        <v>Maplink3</v>
      </c>
    </row>
    <row r="451" spans="1:49" ht="15" customHeight="1" x14ac:dyDescent="0.25">
      <c r="A451" s="21">
        <v>7242</v>
      </c>
      <c r="B451" s="22" t="s">
        <v>10</v>
      </c>
      <c r="C451" s="22" t="s">
        <v>1037</v>
      </c>
      <c r="D451" s="22" t="s">
        <v>1094</v>
      </c>
      <c r="E451" s="22" t="s">
        <v>1095</v>
      </c>
      <c r="F451" s="22">
        <v>32.381</v>
      </c>
      <c r="G451" s="22">
        <v>44.66</v>
      </c>
      <c r="H451" s="21" t="s">
        <v>802</v>
      </c>
      <c r="I451" s="21" t="s">
        <v>1039</v>
      </c>
      <c r="J451" s="21" t="s">
        <v>1096</v>
      </c>
      <c r="K451" s="24">
        <v>16</v>
      </c>
      <c r="L451" s="24">
        <v>96</v>
      </c>
      <c r="M451" s="23">
        <v>2</v>
      </c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14</v>
      </c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>
        <v>16</v>
      </c>
      <c r="AL451" s="23"/>
      <c r="AM451" s="23"/>
      <c r="AN451" s="23"/>
      <c r="AO451" s="23"/>
      <c r="AP451" s="23">
        <v>14</v>
      </c>
      <c r="AQ451" s="23"/>
      <c r="AR451" s="23">
        <v>2</v>
      </c>
      <c r="AS451" s="23"/>
      <c r="AT451" s="23"/>
      <c r="AU451" s="14" t="str">
        <f>HYPERLINK("http://www.openstreetmap.org/?mlat=32.381&amp;mlon=44.66&amp;zoom=12#map=12/32.381/44.66","Maplink1")</f>
        <v>Maplink1</v>
      </c>
      <c r="AV451" s="14" t="str">
        <f>HYPERLINK("https://www.google.iq/maps/search/+32.381,44.66/@32.381,44.66,14z?hl=en","Maplink2")</f>
        <v>Maplink2</v>
      </c>
      <c r="AW451" s="14" t="str">
        <f>HYPERLINK("http://www.bing.com/maps/?lvl=14&amp;sty=h&amp;cp=32.381~44.66&amp;sp=point.32.381_44.66_Al-Sada Al-Shurafa","Maplink3")</f>
        <v>Maplink3</v>
      </c>
    </row>
    <row r="452" spans="1:49" ht="15" customHeight="1" x14ac:dyDescent="0.25">
      <c r="A452" s="21">
        <v>25616</v>
      </c>
      <c r="B452" s="22" t="s">
        <v>10</v>
      </c>
      <c r="C452" s="22" t="s">
        <v>1037</v>
      </c>
      <c r="D452" s="22" t="s">
        <v>1097</v>
      </c>
      <c r="E452" s="22" t="s">
        <v>1098</v>
      </c>
      <c r="F452" s="22">
        <v>32.191659000000001</v>
      </c>
      <c r="G452" s="22">
        <v>44.711933999999999</v>
      </c>
      <c r="H452" s="21" t="s">
        <v>802</v>
      </c>
      <c r="I452" s="21" t="s">
        <v>1039</v>
      </c>
      <c r="J452" s="21"/>
      <c r="K452" s="24">
        <v>12</v>
      </c>
      <c r="L452" s="24">
        <v>72</v>
      </c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12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>
        <v>12</v>
      </c>
      <c r="AL452" s="23"/>
      <c r="AM452" s="23"/>
      <c r="AN452" s="23"/>
      <c r="AO452" s="23"/>
      <c r="AP452" s="23"/>
      <c r="AQ452" s="23">
        <v>12</v>
      </c>
      <c r="AR452" s="23"/>
      <c r="AS452" s="23"/>
      <c r="AT452" s="23"/>
      <c r="AU452" s="14" t="str">
        <f>HYPERLINK("http://www.openstreetmap.org/?mlat=32.1917&amp;mlon=44.7119&amp;zoom=12#map=12/32.1917/44.7119","Maplink1")</f>
        <v>Maplink1</v>
      </c>
      <c r="AV452" s="14" t="str">
        <f>HYPERLINK("https://www.google.iq/maps/search/+32.1917,44.7119/@32.1917,44.7119,14z?hl=en","Maplink2")</f>
        <v>Maplink2</v>
      </c>
      <c r="AW452" s="14" t="str">
        <f>HYPERLINK("http://www.bing.com/maps/?lvl=14&amp;sty=h&amp;cp=32.1917~44.7119&amp;sp=point.32.1917_44.7119_Al-Taleeaa-Al Ghadeer","Maplink3")</f>
        <v>Maplink3</v>
      </c>
    </row>
    <row r="453" spans="1:49" ht="15" customHeight="1" x14ac:dyDescent="0.25">
      <c r="A453" s="21">
        <v>25615</v>
      </c>
      <c r="B453" s="22" t="s">
        <v>10</v>
      </c>
      <c r="C453" s="22" t="s">
        <v>1037</v>
      </c>
      <c r="D453" s="22" t="s">
        <v>1099</v>
      </c>
      <c r="E453" s="22" t="s">
        <v>1100</v>
      </c>
      <c r="F453" s="22">
        <v>32.194755000000001</v>
      </c>
      <c r="G453" s="22">
        <v>44.715218</v>
      </c>
      <c r="H453" s="21" t="s">
        <v>802</v>
      </c>
      <c r="I453" s="21" t="s">
        <v>1039</v>
      </c>
      <c r="J453" s="21"/>
      <c r="K453" s="24">
        <v>8</v>
      </c>
      <c r="L453" s="24">
        <v>48</v>
      </c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8</v>
      </c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>
        <v>8</v>
      </c>
      <c r="AL453" s="23"/>
      <c r="AM453" s="23"/>
      <c r="AN453" s="23"/>
      <c r="AO453" s="23"/>
      <c r="AP453" s="23"/>
      <c r="AQ453" s="23">
        <v>8</v>
      </c>
      <c r="AR453" s="23"/>
      <c r="AS453" s="23"/>
      <c r="AT453" s="23"/>
      <c r="AU453" s="14" t="str">
        <f>HYPERLINK("http://www.openstreetmap.org/?mlat=32.1948&amp;mlon=44.7152&amp;zoom=12#map=12/32.1948/44.7152","Maplink1")</f>
        <v>Maplink1</v>
      </c>
      <c r="AV453" s="14" t="str">
        <f>HYPERLINK("https://www.google.iq/maps/search/+32.1948,44.7152/@32.1948,44.7152,14z?hl=en","Maplink2")</f>
        <v>Maplink2</v>
      </c>
      <c r="AW453" s="14" t="str">
        <f>HYPERLINK("http://www.bing.com/maps/?lvl=14&amp;sty=h&amp;cp=32.1948~44.7152&amp;sp=point.32.1948_44.7152_Al-Taleeaa-Zona","Maplink3")</f>
        <v>Maplink3</v>
      </c>
    </row>
    <row r="454" spans="1:49" ht="15" customHeight="1" x14ac:dyDescent="0.25">
      <c r="A454" s="21">
        <v>24709</v>
      </c>
      <c r="B454" s="22" t="s">
        <v>10</v>
      </c>
      <c r="C454" s="22" t="s">
        <v>1037</v>
      </c>
      <c r="D454" s="22" t="s">
        <v>1101</v>
      </c>
      <c r="E454" s="22" t="s">
        <v>7608</v>
      </c>
      <c r="F454" s="22">
        <v>32.416725999999997</v>
      </c>
      <c r="G454" s="22">
        <v>44.684801</v>
      </c>
      <c r="H454" s="21" t="s">
        <v>802</v>
      </c>
      <c r="I454" s="21" t="s">
        <v>1039</v>
      </c>
      <c r="J454" s="21"/>
      <c r="K454" s="24">
        <v>7</v>
      </c>
      <c r="L454" s="24">
        <v>42</v>
      </c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7</v>
      </c>
      <c r="Z454" s="23"/>
      <c r="AA454" s="23"/>
      <c r="AB454" s="23"/>
      <c r="AC454" s="23"/>
      <c r="AD454" s="23"/>
      <c r="AE454" s="23"/>
      <c r="AF454" s="23">
        <v>7</v>
      </c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>
        <v>7</v>
      </c>
      <c r="AR454" s="23"/>
      <c r="AS454" s="23"/>
      <c r="AT454" s="23"/>
      <c r="AU454" s="14" t="str">
        <f>HYPERLINK("http://www.openstreetmap.org/?mlat=32.4167&amp;mlon=44.6848&amp;zoom=12#map=12/32.4167/44.6848","Maplink1")</f>
        <v>Maplink1</v>
      </c>
      <c r="AV454" s="14" t="str">
        <f>HYPERLINK("https://www.google.iq/maps/search/+32.4167,44.6848/@32.4167,44.6848,14z?hl=en","Maplink2")</f>
        <v>Maplink2</v>
      </c>
      <c r="AW454" s="14" t="str">
        <f>HYPERLINK("http://www.bing.com/maps/?lvl=14&amp;sty=h&amp;cp=32.4167~44.6848&amp;sp=point.32.4167_44.6848_Albo Abdullah Village","Maplink3")</f>
        <v>Maplink3</v>
      </c>
    </row>
    <row r="455" spans="1:49" ht="15" customHeight="1" x14ac:dyDescent="0.25">
      <c r="A455" s="21">
        <v>25453</v>
      </c>
      <c r="B455" s="22" t="s">
        <v>10</v>
      </c>
      <c r="C455" s="22" t="s">
        <v>1037</v>
      </c>
      <c r="D455" s="22" t="s">
        <v>1102</v>
      </c>
      <c r="E455" s="22" t="s">
        <v>1103</v>
      </c>
      <c r="F455" s="22">
        <v>32.372821999999999</v>
      </c>
      <c r="G455" s="22">
        <v>44.771920999999999</v>
      </c>
      <c r="H455" s="21" t="s">
        <v>802</v>
      </c>
      <c r="I455" s="21" t="s">
        <v>1039</v>
      </c>
      <c r="J455" s="21"/>
      <c r="K455" s="24">
        <v>13</v>
      </c>
      <c r="L455" s="24">
        <v>78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13</v>
      </c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>
        <v>13</v>
      </c>
      <c r="AK455" s="23"/>
      <c r="AL455" s="23"/>
      <c r="AM455" s="23"/>
      <c r="AN455" s="23"/>
      <c r="AO455" s="23"/>
      <c r="AP455" s="23">
        <v>13</v>
      </c>
      <c r="AQ455" s="23"/>
      <c r="AR455" s="23"/>
      <c r="AS455" s="23"/>
      <c r="AT455" s="23"/>
      <c r="AU455" s="14" t="str">
        <f>HYPERLINK("http://www.openstreetmap.org/?mlat=32.3728&amp;mlon=44.7719&amp;zoom=12#map=12/32.3728/44.7719","Maplink1")</f>
        <v>Maplink1</v>
      </c>
      <c r="AV455" s="14" t="str">
        <f>HYPERLINK("https://www.google.iq/maps/search/+32.3728,44.7719/@32.3728,44.7719,14z?hl=en","Maplink2")</f>
        <v>Maplink2</v>
      </c>
      <c r="AW455" s="14" t="str">
        <f>HYPERLINK("http://www.bing.com/maps/?lvl=14&amp;sty=h&amp;cp=32.3728~44.7719&amp;sp=point.32.3728_44.7719_Albo Rakhees","Maplink3")</f>
        <v>Maplink3</v>
      </c>
    </row>
    <row r="456" spans="1:49" ht="15" customHeight="1" x14ac:dyDescent="0.25">
      <c r="A456" s="21">
        <v>23958</v>
      </c>
      <c r="B456" s="22" t="s">
        <v>10</v>
      </c>
      <c r="C456" s="22" t="s">
        <v>1037</v>
      </c>
      <c r="D456" s="22" t="s">
        <v>1104</v>
      </c>
      <c r="E456" s="22" t="s">
        <v>1105</v>
      </c>
      <c r="F456" s="22">
        <v>32.301268</v>
      </c>
      <c r="G456" s="22">
        <v>44.688085000000001</v>
      </c>
      <c r="H456" s="21" t="s">
        <v>802</v>
      </c>
      <c r="I456" s="21" t="s">
        <v>1039</v>
      </c>
      <c r="J456" s="21" t="s">
        <v>1106</v>
      </c>
      <c r="K456" s="24">
        <v>1</v>
      </c>
      <c r="L456" s="24">
        <v>6</v>
      </c>
      <c r="M456" s="23">
        <v>1</v>
      </c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>
        <v>1</v>
      </c>
      <c r="AK456" s="23"/>
      <c r="AL456" s="23"/>
      <c r="AM456" s="23"/>
      <c r="AN456" s="23"/>
      <c r="AO456" s="23"/>
      <c r="AP456" s="23"/>
      <c r="AQ456" s="23"/>
      <c r="AR456" s="23"/>
      <c r="AS456" s="23">
        <v>1</v>
      </c>
      <c r="AT456" s="23"/>
      <c r="AU456" s="14" t="str">
        <f>HYPERLINK("http://www.openstreetmap.org/?mlat=32.3013&amp;mlon=44.6881&amp;zoom=12#map=12/32.3013/44.6881","Maplink1")</f>
        <v>Maplink1</v>
      </c>
      <c r="AV456" s="14" t="str">
        <f>HYPERLINK("https://www.google.iq/maps/search/+32.3013,44.6881/@32.3013,44.6881,14z?hl=en","Maplink2")</f>
        <v>Maplink2</v>
      </c>
      <c r="AW456" s="14" t="str">
        <f>HYPERLINK("http://www.bing.com/maps/?lvl=14&amp;sty=h&amp;cp=32.3013~44.6881&amp;sp=point.32.3013_44.6881_Albu Fayadh","Maplink3")</f>
        <v>Maplink3</v>
      </c>
    </row>
    <row r="457" spans="1:49" ht="15" customHeight="1" x14ac:dyDescent="0.25">
      <c r="A457" s="21">
        <v>24268</v>
      </c>
      <c r="B457" s="22" t="s">
        <v>10</v>
      </c>
      <c r="C457" s="22" t="s">
        <v>1037</v>
      </c>
      <c r="D457" s="22" t="s">
        <v>1107</v>
      </c>
      <c r="E457" s="22" t="s">
        <v>1108</v>
      </c>
      <c r="F457" s="22">
        <v>32.373659000000004</v>
      </c>
      <c r="G457" s="22">
        <v>44.645901000000002</v>
      </c>
      <c r="H457" s="21" t="s">
        <v>802</v>
      </c>
      <c r="I457" s="21" t="s">
        <v>1039</v>
      </c>
      <c r="J457" s="21" t="s">
        <v>1109</v>
      </c>
      <c r="K457" s="24">
        <v>47</v>
      </c>
      <c r="L457" s="24">
        <v>282</v>
      </c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47</v>
      </c>
      <c r="Z457" s="23"/>
      <c r="AA457" s="23"/>
      <c r="AB457" s="23"/>
      <c r="AC457" s="23"/>
      <c r="AD457" s="23"/>
      <c r="AE457" s="23"/>
      <c r="AF457" s="23">
        <v>19</v>
      </c>
      <c r="AG457" s="23"/>
      <c r="AH457" s="23"/>
      <c r="AI457" s="23"/>
      <c r="AJ457" s="23">
        <v>5</v>
      </c>
      <c r="AK457" s="23">
        <v>10</v>
      </c>
      <c r="AL457" s="23"/>
      <c r="AM457" s="23">
        <v>13</v>
      </c>
      <c r="AN457" s="23"/>
      <c r="AO457" s="23"/>
      <c r="AP457" s="23">
        <v>47</v>
      </c>
      <c r="AQ457" s="23"/>
      <c r="AR457" s="23"/>
      <c r="AS457" s="23"/>
      <c r="AT457" s="23"/>
      <c r="AU457" s="14" t="str">
        <f>HYPERLINK("http://www.openstreetmap.org/?mlat=32.3737&amp;mlon=44.6459&amp;zoom=12#map=12/32.3737/44.6459","Maplink1")</f>
        <v>Maplink1</v>
      </c>
      <c r="AV457" s="14" t="str">
        <f>HYPERLINK("https://www.google.iq/maps/search/+32.3737,44.6459/@32.3737,44.6459,14z?hl=en","Maplink2")</f>
        <v>Maplink2</v>
      </c>
      <c r="AW457" s="14" t="str">
        <f>HYPERLINK("http://www.bing.com/maps/?lvl=14&amp;sty=h&amp;cp=32.3737~44.6459&amp;sp=point.32.3737_44.6459_Albu Saabar","Maplink3")</f>
        <v>Maplink3</v>
      </c>
    </row>
    <row r="458" spans="1:49" ht="15" customHeight="1" x14ac:dyDescent="0.25">
      <c r="A458" s="21">
        <v>25448</v>
      </c>
      <c r="B458" s="22" t="s">
        <v>10</v>
      </c>
      <c r="C458" s="22" t="s">
        <v>1037</v>
      </c>
      <c r="D458" s="22" t="s">
        <v>1110</v>
      </c>
      <c r="E458" s="22" t="s">
        <v>1111</v>
      </c>
      <c r="F458" s="22">
        <v>32.317050000000002</v>
      </c>
      <c r="G458" s="22">
        <v>44.871642000000001</v>
      </c>
      <c r="H458" s="21" t="s">
        <v>802</v>
      </c>
      <c r="I458" s="21" t="s">
        <v>1039</v>
      </c>
      <c r="J458" s="21"/>
      <c r="K458" s="24">
        <v>19</v>
      </c>
      <c r="L458" s="24">
        <v>114</v>
      </c>
      <c r="M458" s="23">
        <v>6</v>
      </c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>
        <v>13</v>
      </c>
      <c r="Z458" s="23"/>
      <c r="AA458" s="23"/>
      <c r="AB458" s="23"/>
      <c r="AC458" s="23"/>
      <c r="AD458" s="23"/>
      <c r="AE458" s="23"/>
      <c r="AF458" s="23">
        <v>2</v>
      </c>
      <c r="AG458" s="23"/>
      <c r="AH458" s="23"/>
      <c r="AI458" s="23"/>
      <c r="AJ458" s="23">
        <v>4</v>
      </c>
      <c r="AK458" s="23">
        <v>13</v>
      </c>
      <c r="AL458" s="23"/>
      <c r="AM458" s="23"/>
      <c r="AN458" s="23"/>
      <c r="AO458" s="23"/>
      <c r="AP458" s="23">
        <v>12</v>
      </c>
      <c r="AQ458" s="23">
        <v>3</v>
      </c>
      <c r="AR458" s="23">
        <v>2</v>
      </c>
      <c r="AS458" s="23">
        <v>2</v>
      </c>
      <c r="AT458" s="23"/>
      <c r="AU458" s="14" t="str">
        <f>HYPERLINK("http://www.openstreetmap.org/?mlat=32.3171&amp;mlon=44.8716&amp;zoom=12#map=12/32.3171/44.8716","Maplink1")</f>
        <v>Maplink1</v>
      </c>
      <c r="AV458" s="14" t="str">
        <f>HYPERLINK("https://www.google.iq/maps/search/+32.3171,44.8716/@32.3171,44.8716,14z?hl=en","Maplink2")</f>
        <v>Maplink2</v>
      </c>
      <c r="AW458" s="14" t="str">
        <f>HYPERLINK("http://www.bing.com/maps/?lvl=14&amp;sty=h&amp;cp=32.3171~44.8716&amp;sp=point.32.3171_44.8716_Bakkan village","Maplink3")</f>
        <v>Maplink3</v>
      </c>
    </row>
    <row r="459" spans="1:49" ht="15" customHeight="1" x14ac:dyDescent="0.25">
      <c r="A459" s="21">
        <v>24340</v>
      </c>
      <c r="B459" s="22" t="s">
        <v>10</v>
      </c>
      <c r="C459" s="22" t="s">
        <v>1037</v>
      </c>
      <c r="D459" s="22" t="s">
        <v>1112</v>
      </c>
      <c r="E459" s="22" t="s">
        <v>1113</v>
      </c>
      <c r="F459" s="22">
        <v>32.398766000000002</v>
      </c>
      <c r="G459" s="22">
        <v>44.527464000000002</v>
      </c>
      <c r="H459" s="21" t="s">
        <v>802</v>
      </c>
      <c r="I459" s="21" t="s">
        <v>1039</v>
      </c>
      <c r="J459" s="21"/>
      <c r="K459" s="24">
        <v>12</v>
      </c>
      <c r="L459" s="24">
        <v>72</v>
      </c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12</v>
      </c>
      <c r="Z459" s="23"/>
      <c r="AA459" s="23"/>
      <c r="AB459" s="23"/>
      <c r="AC459" s="23"/>
      <c r="AD459" s="23"/>
      <c r="AE459" s="23"/>
      <c r="AF459" s="23">
        <v>12</v>
      </c>
      <c r="AG459" s="23"/>
      <c r="AH459" s="23"/>
      <c r="AI459" s="23"/>
      <c r="AJ459" s="23"/>
      <c r="AK459" s="23"/>
      <c r="AL459" s="23"/>
      <c r="AM459" s="23"/>
      <c r="AN459" s="23"/>
      <c r="AO459" s="23"/>
      <c r="AP459" s="23">
        <v>12</v>
      </c>
      <c r="AQ459" s="23"/>
      <c r="AR459" s="23"/>
      <c r="AS459" s="23"/>
      <c r="AT459" s="23"/>
      <c r="AU459" s="14" t="str">
        <f>HYPERLINK("http://www.openstreetmap.org/?mlat=32.3988&amp;mlon=44.5275&amp;zoom=12#map=12/32.3988/44.5275","Maplink1")</f>
        <v>Maplink1</v>
      </c>
      <c r="AV459" s="14" t="str">
        <f>HYPERLINK("https://www.google.iq/maps/search/+32.3988,44.5275/@32.3988,44.5275,14z?hl=en","Maplink2")</f>
        <v>Maplink2</v>
      </c>
      <c r="AW459" s="14" t="str">
        <f>HYPERLINK("http://www.bing.com/maps/?lvl=14&amp;sty=h&amp;cp=32.3988~44.5275&amp;sp=point.32.3988_44.5275_Bermana villge","Maplink3")</f>
        <v>Maplink3</v>
      </c>
    </row>
    <row r="460" spans="1:49" ht="15" customHeight="1" x14ac:dyDescent="0.25">
      <c r="A460" s="21">
        <v>25986</v>
      </c>
      <c r="B460" s="22" t="s">
        <v>10</v>
      </c>
      <c r="C460" s="22" t="s">
        <v>1037</v>
      </c>
      <c r="D460" s="22" t="s">
        <v>7519</v>
      </c>
      <c r="E460" s="22" t="s">
        <v>1114</v>
      </c>
      <c r="F460" s="22">
        <v>32.396231999999998</v>
      </c>
      <c r="G460" s="22">
        <v>44.668329</v>
      </c>
      <c r="H460" s="21" t="s">
        <v>802</v>
      </c>
      <c r="I460" s="21" t="s">
        <v>1039</v>
      </c>
      <c r="J460" s="21"/>
      <c r="K460" s="24">
        <v>21</v>
      </c>
      <c r="L460" s="24">
        <v>126</v>
      </c>
      <c r="M460" s="23">
        <v>14</v>
      </c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7</v>
      </c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21</v>
      </c>
      <c r="AL460" s="23"/>
      <c r="AM460" s="23"/>
      <c r="AN460" s="23"/>
      <c r="AO460" s="23"/>
      <c r="AP460" s="23">
        <v>7</v>
      </c>
      <c r="AQ460" s="23"/>
      <c r="AR460" s="23">
        <v>8</v>
      </c>
      <c r="AS460" s="23">
        <v>6</v>
      </c>
      <c r="AT460" s="23"/>
      <c r="AU460" s="14" t="str">
        <f>HYPERLINK("http://www.openstreetmap.org/?mlat=32.3962&amp;mlon=44.6683&amp;zoom=12#map=12/32.3962/44.6683","Maplink1")</f>
        <v>Maplink1</v>
      </c>
      <c r="AV460" s="14" t="str">
        <f>HYPERLINK("https://www.google.iq/maps/search/+32.3962,44.6683/@32.3962,44.6683,14z?hl=en","Maplink2")</f>
        <v>Maplink2</v>
      </c>
      <c r="AW460" s="14" t="str">
        <f>HYPERLINK("http://www.bing.com/maps/?lvl=14&amp;sty=h&amp;cp=32.3962~44.6683&amp;sp=point.32.3962_44.6683_Hay Al Ameer -1","Maplink3")</f>
        <v>Maplink3</v>
      </c>
    </row>
    <row r="461" spans="1:49" ht="15" customHeight="1" x14ac:dyDescent="0.25">
      <c r="A461" s="21">
        <v>25987</v>
      </c>
      <c r="B461" s="22" t="s">
        <v>10</v>
      </c>
      <c r="C461" s="22" t="s">
        <v>1037</v>
      </c>
      <c r="D461" s="22" t="s">
        <v>7520</v>
      </c>
      <c r="E461" s="22" t="s">
        <v>1115</v>
      </c>
      <c r="F461" s="22">
        <v>32.394728000000001</v>
      </c>
      <c r="G461" s="22">
        <v>44.668531999999999</v>
      </c>
      <c r="H461" s="21" t="s">
        <v>802</v>
      </c>
      <c r="I461" s="21" t="s">
        <v>1039</v>
      </c>
      <c r="J461" s="21"/>
      <c r="K461" s="24">
        <v>2</v>
      </c>
      <c r="L461" s="24">
        <v>12</v>
      </c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>
        <v>2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>
        <v>2</v>
      </c>
      <c r="AL461" s="23"/>
      <c r="AM461" s="23"/>
      <c r="AN461" s="23"/>
      <c r="AO461" s="23"/>
      <c r="AP461" s="23">
        <v>2</v>
      </c>
      <c r="AQ461" s="23"/>
      <c r="AR461" s="23"/>
      <c r="AS461" s="23"/>
      <c r="AT461" s="23"/>
      <c r="AU461" s="14" t="str">
        <f>HYPERLINK("http://www.openstreetmap.org/?mlat=32.3947&amp;mlon=44.6685&amp;zoom=12#map=12/32.3947/44.6685","Maplink1")</f>
        <v>Maplink1</v>
      </c>
      <c r="AV461" s="14" t="str">
        <f>HYPERLINK("https://www.google.iq/maps/search/+32.3947,44.6685/@32.3947,44.6685,14z?hl=en","Maplink2")</f>
        <v>Maplink2</v>
      </c>
      <c r="AW461" s="14" t="str">
        <f>HYPERLINK("http://www.bing.com/maps/?lvl=14&amp;sty=h&amp;cp=32.3947~44.6685&amp;sp=point.32.3947_44.6685_Hay Al Ameer -2","Maplink3")</f>
        <v>Maplink3</v>
      </c>
    </row>
    <row r="462" spans="1:49" ht="15" customHeight="1" x14ac:dyDescent="0.25">
      <c r="A462" s="21">
        <v>25988</v>
      </c>
      <c r="B462" s="22" t="s">
        <v>10</v>
      </c>
      <c r="C462" s="22" t="s">
        <v>1037</v>
      </c>
      <c r="D462" s="22" t="s">
        <v>7521</v>
      </c>
      <c r="E462" s="22" t="s">
        <v>1116</v>
      </c>
      <c r="F462" s="22">
        <v>32.393039999999999</v>
      </c>
      <c r="G462" s="22">
        <v>44.668494000000003</v>
      </c>
      <c r="H462" s="21" t="s">
        <v>802</v>
      </c>
      <c r="I462" s="21" t="s">
        <v>1039</v>
      </c>
      <c r="J462" s="21"/>
      <c r="K462" s="24">
        <v>11</v>
      </c>
      <c r="L462" s="24">
        <v>66</v>
      </c>
      <c r="M462" s="23">
        <v>7</v>
      </c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>
        <v>4</v>
      </c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11</v>
      </c>
      <c r="AL462" s="23"/>
      <c r="AM462" s="23"/>
      <c r="AN462" s="23"/>
      <c r="AO462" s="23"/>
      <c r="AP462" s="23">
        <v>4</v>
      </c>
      <c r="AQ462" s="23"/>
      <c r="AR462" s="23">
        <v>5</v>
      </c>
      <c r="AS462" s="23">
        <v>2</v>
      </c>
      <c r="AT462" s="23"/>
      <c r="AU462" s="14" t="str">
        <f>HYPERLINK("http://www.openstreetmap.org/?mlat=32.393&amp;mlon=44.6685&amp;zoom=12#map=12/32.393/44.6685","Maplink1")</f>
        <v>Maplink1</v>
      </c>
      <c r="AV462" s="14" t="str">
        <f>HYPERLINK("https://www.google.iq/maps/search/+32.393,44.6685/@32.393,44.6685,14z?hl=en","Maplink2")</f>
        <v>Maplink2</v>
      </c>
      <c r="AW462" s="14" t="str">
        <f>HYPERLINK("http://www.bing.com/maps/?lvl=14&amp;sty=h&amp;cp=32.393~44.6685&amp;sp=point.32.393_44.6685_Hay Al Ameer -3","Maplink3")</f>
        <v>Maplink3</v>
      </c>
    </row>
    <row r="463" spans="1:49" ht="15" customHeight="1" x14ac:dyDescent="0.25">
      <c r="A463" s="21">
        <v>25989</v>
      </c>
      <c r="B463" s="22" t="s">
        <v>10</v>
      </c>
      <c r="C463" s="22" t="s">
        <v>1037</v>
      </c>
      <c r="D463" s="22" t="s">
        <v>7522</v>
      </c>
      <c r="E463" s="22" t="s">
        <v>1117</v>
      </c>
      <c r="F463" s="22">
        <v>32.394309999999997</v>
      </c>
      <c r="G463" s="22">
        <v>44.666156999999998</v>
      </c>
      <c r="H463" s="21" t="s">
        <v>802</v>
      </c>
      <c r="I463" s="21" t="s">
        <v>1039</v>
      </c>
      <c r="J463" s="21"/>
      <c r="K463" s="24">
        <v>6</v>
      </c>
      <c r="L463" s="24">
        <v>36</v>
      </c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6</v>
      </c>
      <c r="Z463" s="23"/>
      <c r="AA463" s="23"/>
      <c r="AB463" s="23"/>
      <c r="AC463" s="23"/>
      <c r="AD463" s="23"/>
      <c r="AE463" s="23"/>
      <c r="AF463" s="23">
        <v>2</v>
      </c>
      <c r="AG463" s="23"/>
      <c r="AH463" s="23"/>
      <c r="AI463" s="23"/>
      <c r="AJ463" s="23">
        <v>2</v>
      </c>
      <c r="AK463" s="23">
        <v>2</v>
      </c>
      <c r="AL463" s="23"/>
      <c r="AM463" s="23"/>
      <c r="AN463" s="23"/>
      <c r="AO463" s="23"/>
      <c r="AP463" s="23">
        <v>6</v>
      </c>
      <c r="AQ463" s="23"/>
      <c r="AR463" s="23"/>
      <c r="AS463" s="23"/>
      <c r="AT463" s="23"/>
      <c r="AU463" s="14" t="str">
        <f>HYPERLINK("http://www.openstreetmap.org/?mlat=32.3943&amp;mlon=44.6662&amp;zoom=12#map=12/32.3943/44.6662","Maplink1")</f>
        <v>Maplink1</v>
      </c>
      <c r="AV463" s="14" t="str">
        <f>HYPERLINK("https://www.google.iq/maps/search/+32.3943,44.6662/@32.3943,44.6662,14z?hl=en","Maplink2")</f>
        <v>Maplink2</v>
      </c>
      <c r="AW463" s="14" t="str">
        <f>HYPERLINK("http://www.bing.com/maps/?lvl=14&amp;sty=h&amp;cp=32.3943~44.6662&amp;sp=point.32.3943_44.6662_Hay Al Ameer -4","Maplink3")</f>
        <v>Maplink3</v>
      </c>
    </row>
    <row r="464" spans="1:49" ht="15" customHeight="1" x14ac:dyDescent="0.25">
      <c r="A464" s="21">
        <v>25990</v>
      </c>
      <c r="B464" s="22" t="s">
        <v>10</v>
      </c>
      <c r="C464" s="22" t="s">
        <v>1037</v>
      </c>
      <c r="D464" s="22" t="s">
        <v>7523</v>
      </c>
      <c r="E464" s="22" t="s">
        <v>1118</v>
      </c>
      <c r="F464" s="22">
        <v>32.391005</v>
      </c>
      <c r="G464" s="22">
        <v>44.668402</v>
      </c>
      <c r="H464" s="21" t="s">
        <v>802</v>
      </c>
      <c r="I464" s="21" t="s">
        <v>1039</v>
      </c>
      <c r="J464" s="21"/>
      <c r="K464" s="24">
        <v>9</v>
      </c>
      <c r="L464" s="24">
        <v>54</v>
      </c>
      <c r="M464" s="23">
        <v>4</v>
      </c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5</v>
      </c>
      <c r="Z464" s="23"/>
      <c r="AA464" s="23"/>
      <c r="AB464" s="23"/>
      <c r="AC464" s="23"/>
      <c r="AD464" s="23"/>
      <c r="AE464" s="23"/>
      <c r="AF464" s="23">
        <v>2</v>
      </c>
      <c r="AG464" s="23"/>
      <c r="AH464" s="23"/>
      <c r="AI464" s="23"/>
      <c r="AJ464" s="23">
        <v>3</v>
      </c>
      <c r="AK464" s="23">
        <v>4</v>
      </c>
      <c r="AL464" s="23"/>
      <c r="AM464" s="23"/>
      <c r="AN464" s="23"/>
      <c r="AO464" s="23"/>
      <c r="AP464" s="23">
        <v>5</v>
      </c>
      <c r="AQ464" s="23"/>
      <c r="AR464" s="23">
        <v>4</v>
      </c>
      <c r="AS464" s="23"/>
      <c r="AT464" s="23"/>
      <c r="AU464" s="14" t="str">
        <f>HYPERLINK("http://www.openstreetmap.org/?mlat=32.391&amp;mlon=44.6684&amp;zoom=12#map=12/32.391/44.6684","Maplink1")</f>
        <v>Maplink1</v>
      </c>
      <c r="AV464" s="14" t="str">
        <f>HYPERLINK("https://www.google.iq/maps/search/+32.391,44.6684/@32.391,44.6684,14z?hl=en","Maplink2")</f>
        <v>Maplink2</v>
      </c>
      <c r="AW464" s="14" t="str">
        <f>HYPERLINK("http://www.bing.com/maps/?lvl=14&amp;sty=h&amp;cp=32.391~44.6684&amp;sp=point.32.391_44.6684_Hay Al Ameer -5","Maplink3")</f>
        <v>Maplink3</v>
      </c>
    </row>
    <row r="465" spans="1:49" ht="15" customHeight="1" x14ac:dyDescent="0.25">
      <c r="A465" s="21">
        <v>24269</v>
      </c>
      <c r="B465" s="22" t="s">
        <v>10</v>
      </c>
      <c r="C465" s="22" t="s">
        <v>1037</v>
      </c>
      <c r="D465" s="22" t="s">
        <v>1119</v>
      </c>
      <c r="E465" s="22" t="s">
        <v>7609</v>
      </c>
      <c r="F465" s="22">
        <v>32.375031</v>
      </c>
      <c r="G465" s="22">
        <v>44.659412000000003</v>
      </c>
      <c r="H465" s="21" t="s">
        <v>802</v>
      </c>
      <c r="I465" s="21" t="s">
        <v>1039</v>
      </c>
      <c r="J465" s="21" t="s">
        <v>1120</v>
      </c>
      <c r="K465" s="24">
        <v>8</v>
      </c>
      <c r="L465" s="24">
        <v>48</v>
      </c>
      <c r="M465" s="23">
        <v>3</v>
      </c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4</v>
      </c>
      <c r="Z465" s="23"/>
      <c r="AA465" s="23">
        <v>1</v>
      </c>
      <c r="AB465" s="23"/>
      <c r="AC465" s="23"/>
      <c r="AD465" s="23"/>
      <c r="AE465" s="23"/>
      <c r="AF465" s="23"/>
      <c r="AG465" s="23"/>
      <c r="AH465" s="23"/>
      <c r="AI465" s="23"/>
      <c r="AJ465" s="23"/>
      <c r="AK465" s="23">
        <v>8</v>
      </c>
      <c r="AL465" s="23"/>
      <c r="AM465" s="23"/>
      <c r="AN465" s="23"/>
      <c r="AO465" s="23"/>
      <c r="AP465" s="23">
        <v>4</v>
      </c>
      <c r="AQ465" s="23">
        <v>1</v>
      </c>
      <c r="AR465" s="23"/>
      <c r="AS465" s="23">
        <v>3</v>
      </c>
      <c r="AT465" s="23"/>
      <c r="AU465" s="14" t="str">
        <f>HYPERLINK("http://www.openstreetmap.org/?mlat=32.375&amp;mlon=44.6594&amp;zoom=12#map=12/32.375/44.6594","Maplink1")</f>
        <v>Maplink1</v>
      </c>
      <c r="AV465" s="14" t="str">
        <f>HYPERLINK("https://www.google.iq/maps/search/+32.375,44.6594/@32.375,44.6594,14z?hl=en","Maplink2")</f>
        <v>Maplink2</v>
      </c>
      <c r="AW465" s="14" t="str">
        <f>HYPERLINK("http://www.bing.com/maps/?lvl=14&amp;sty=h&amp;cp=32.375~44.6594&amp;sp=point.32.375_44.6594_Hay Al Intifadheh","Maplink3")</f>
        <v>Maplink3</v>
      </c>
    </row>
    <row r="466" spans="1:49" ht="15" customHeight="1" x14ac:dyDescent="0.25">
      <c r="A466" s="21">
        <v>25879</v>
      </c>
      <c r="B466" s="22" t="s">
        <v>10</v>
      </c>
      <c r="C466" s="22" t="s">
        <v>1037</v>
      </c>
      <c r="D466" s="22" t="s">
        <v>1121</v>
      </c>
      <c r="E466" s="22" t="s">
        <v>881</v>
      </c>
      <c r="F466" s="22">
        <v>32.295608999999999</v>
      </c>
      <c r="G466" s="22">
        <v>44.691420000000001</v>
      </c>
      <c r="H466" s="21" t="s">
        <v>802</v>
      </c>
      <c r="I466" s="21" t="s">
        <v>1039</v>
      </c>
      <c r="J466" s="21"/>
      <c r="K466" s="24">
        <v>9</v>
      </c>
      <c r="L466" s="24">
        <v>54</v>
      </c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9</v>
      </c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>
        <v>1</v>
      </c>
      <c r="AK466" s="23">
        <v>8</v>
      </c>
      <c r="AL466" s="23"/>
      <c r="AM466" s="23"/>
      <c r="AN466" s="23"/>
      <c r="AO466" s="23"/>
      <c r="AP466" s="23">
        <v>9</v>
      </c>
      <c r="AQ466" s="23"/>
      <c r="AR466" s="23"/>
      <c r="AS466" s="23"/>
      <c r="AT466" s="23"/>
      <c r="AU466" s="14" t="str">
        <f>HYPERLINK("http://www.openstreetmap.org/?mlat=32.2956&amp;mlon=44.6914&amp;zoom=12#map=12/32.2956/44.6914","Maplink1")</f>
        <v>Maplink1</v>
      </c>
      <c r="AV466" s="14" t="str">
        <f>HYPERLINK("https://www.google.iq/maps/search/+32.2956,44.6914/@32.2956,44.6914,14z?hl=en","Maplink2")</f>
        <v>Maplink2</v>
      </c>
      <c r="AW466" s="14" t="str">
        <f>HYPERLINK("http://www.bing.com/maps/?lvl=14&amp;sty=h&amp;cp=32.2956~44.6914&amp;sp=point.32.2956_44.6914_Hay Al Jawadain","Maplink3")</f>
        <v>Maplink3</v>
      </c>
    </row>
    <row r="467" spans="1:49" ht="15" customHeight="1" x14ac:dyDescent="0.25">
      <c r="A467" s="21">
        <v>25449</v>
      </c>
      <c r="B467" s="22" t="s">
        <v>10</v>
      </c>
      <c r="C467" s="22" t="s">
        <v>1037</v>
      </c>
      <c r="D467" s="22" t="s">
        <v>1122</v>
      </c>
      <c r="E467" s="22" t="s">
        <v>1123</v>
      </c>
      <c r="F467" s="22">
        <v>32.326462999999997</v>
      </c>
      <c r="G467" s="22">
        <v>44.914648999999997</v>
      </c>
      <c r="H467" s="21" t="s">
        <v>802</v>
      </c>
      <c r="I467" s="21" t="s">
        <v>1039</v>
      </c>
      <c r="J467" s="21"/>
      <c r="K467" s="24">
        <v>6</v>
      </c>
      <c r="L467" s="24">
        <v>36</v>
      </c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6</v>
      </c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>
        <v>6</v>
      </c>
      <c r="AL467" s="23"/>
      <c r="AM467" s="23"/>
      <c r="AN467" s="23"/>
      <c r="AO467" s="23"/>
      <c r="AP467" s="23">
        <v>6</v>
      </c>
      <c r="AQ467" s="23"/>
      <c r="AR467" s="23"/>
      <c r="AS467" s="23"/>
      <c r="AT467" s="23"/>
      <c r="AU467" s="14" t="str">
        <f>HYPERLINK("http://www.openstreetmap.org/?mlat=32.3265&amp;mlon=44.9146&amp;zoom=12#map=12/32.3265/44.9146","Maplink1")</f>
        <v>Maplink1</v>
      </c>
      <c r="AV467" s="14" t="str">
        <f>HYPERLINK("https://www.google.iq/maps/search/+32.3265,44.9146/@32.3265,44.9146,14z?hl=en","Maplink2")</f>
        <v>Maplink2</v>
      </c>
      <c r="AW467" s="14" t="str">
        <f>HYPERLINK("http://www.bing.com/maps/?lvl=14&amp;sty=h&amp;cp=32.3265~44.9146&amp;sp=point.32.3265_44.9146_Hay Al Waily","Maplink3")</f>
        <v>Maplink3</v>
      </c>
    </row>
    <row r="468" spans="1:49" ht="15" customHeight="1" x14ac:dyDescent="0.25">
      <c r="A468" s="21">
        <v>25880</v>
      </c>
      <c r="B468" s="22" t="s">
        <v>10</v>
      </c>
      <c r="C468" s="22" t="s">
        <v>1037</v>
      </c>
      <c r="D468" s="22" t="s">
        <v>1124</v>
      </c>
      <c r="E468" s="22" t="s">
        <v>7610</v>
      </c>
      <c r="F468" s="22">
        <v>32.296064999999999</v>
      </c>
      <c r="G468" s="22">
        <v>44.704369</v>
      </c>
      <c r="H468" s="21" t="s">
        <v>802</v>
      </c>
      <c r="I468" s="21" t="s">
        <v>1039</v>
      </c>
      <c r="J468" s="21"/>
      <c r="K468" s="24">
        <v>31</v>
      </c>
      <c r="L468" s="24">
        <v>186</v>
      </c>
      <c r="M468" s="23">
        <v>4</v>
      </c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27</v>
      </c>
      <c r="Z468" s="23"/>
      <c r="AA468" s="23"/>
      <c r="AB468" s="23"/>
      <c r="AC468" s="23"/>
      <c r="AD468" s="23"/>
      <c r="AE468" s="23"/>
      <c r="AF468" s="23">
        <v>4</v>
      </c>
      <c r="AG468" s="23"/>
      <c r="AH468" s="23"/>
      <c r="AI468" s="23"/>
      <c r="AJ468" s="23"/>
      <c r="AK468" s="23">
        <v>27</v>
      </c>
      <c r="AL468" s="23"/>
      <c r="AM468" s="23"/>
      <c r="AN468" s="23"/>
      <c r="AO468" s="23"/>
      <c r="AP468" s="23">
        <v>19</v>
      </c>
      <c r="AQ468" s="23">
        <v>8</v>
      </c>
      <c r="AR468" s="23">
        <v>4</v>
      </c>
      <c r="AS468" s="23"/>
      <c r="AT468" s="23"/>
      <c r="AU468" s="14" t="str">
        <f>HYPERLINK("http://www.openstreetmap.org/?mlat=32.2961&amp;mlon=44.7044&amp;zoom=12#map=12/32.2961/44.7044","Maplink1")</f>
        <v>Maplink1</v>
      </c>
      <c r="AV468" s="14" t="str">
        <f>HYPERLINK("https://www.google.iq/maps/search/+32.2961,44.7044/@32.2961,44.7044,14z?hl=en","Maplink2")</f>
        <v>Maplink2</v>
      </c>
      <c r="AW468" s="14" t="str">
        <f>HYPERLINK("http://www.bing.com/maps/?lvl=14&amp;sty=h&amp;cp=32.2961~44.7044&amp;sp=point.32.2961_44.7044_Hay Al Zahraa-Qassim","Maplink3")</f>
        <v>Maplink3</v>
      </c>
    </row>
    <row r="469" spans="1:49" ht="15" customHeight="1" x14ac:dyDescent="0.25">
      <c r="A469" s="21">
        <v>7140</v>
      </c>
      <c r="B469" s="22" t="s">
        <v>10</v>
      </c>
      <c r="C469" s="22" t="s">
        <v>1037</v>
      </c>
      <c r="D469" s="22" t="s">
        <v>1125</v>
      </c>
      <c r="E469" s="22" t="s">
        <v>1126</v>
      </c>
      <c r="F469" s="22">
        <v>32.196959999999997</v>
      </c>
      <c r="G469" s="22">
        <v>44.712600000000002</v>
      </c>
      <c r="H469" s="21" t="s">
        <v>802</v>
      </c>
      <c r="I469" s="21" t="s">
        <v>1039</v>
      </c>
      <c r="J469" s="21" t="s">
        <v>1127</v>
      </c>
      <c r="K469" s="24">
        <v>11</v>
      </c>
      <c r="L469" s="24">
        <v>66</v>
      </c>
      <c r="M469" s="23">
        <v>7</v>
      </c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4</v>
      </c>
      <c r="Z469" s="23"/>
      <c r="AA469" s="23"/>
      <c r="AB469" s="23"/>
      <c r="AC469" s="23"/>
      <c r="AD469" s="23"/>
      <c r="AE469" s="23"/>
      <c r="AF469" s="23">
        <v>8</v>
      </c>
      <c r="AG469" s="23"/>
      <c r="AH469" s="23"/>
      <c r="AI469" s="23"/>
      <c r="AJ469" s="23"/>
      <c r="AK469" s="23">
        <v>3</v>
      </c>
      <c r="AL469" s="23"/>
      <c r="AM469" s="23"/>
      <c r="AN469" s="23"/>
      <c r="AO469" s="23">
        <v>3</v>
      </c>
      <c r="AP469" s="23">
        <v>5</v>
      </c>
      <c r="AQ469" s="23"/>
      <c r="AR469" s="23"/>
      <c r="AS469" s="23">
        <v>3</v>
      </c>
      <c r="AT469" s="23"/>
      <c r="AU469" s="14" t="str">
        <f>HYPERLINK("http://www.openstreetmap.org/?mlat=32.197&amp;mlon=44.7126&amp;zoom=12#map=12/32.197/44.7126","Maplink1")</f>
        <v>Maplink1</v>
      </c>
      <c r="AV469" s="14" t="str">
        <f>HYPERLINK("https://www.google.iq/maps/search/+32.197,44.7126/@32.197,44.7126,14z?hl=en","Maplink2")</f>
        <v>Maplink2</v>
      </c>
      <c r="AW469" s="14" t="str">
        <f>HYPERLINK("http://www.bing.com/maps/?lvl=14&amp;sty=h&amp;cp=32.197~44.7126&amp;sp=point.32.197_44.7126_Hay Al- Jamiea","Maplink3")</f>
        <v>Maplink3</v>
      </c>
    </row>
    <row r="470" spans="1:49" ht="15" customHeight="1" x14ac:dyDescent="0.25">
      <c r="A470" s="21">
        <v>6690</v>
      </c>
      <c r="B470" s="22" t="s">
        <v>10</v>
      </c>
      <c r="C470" s="22" t="s">
        <v>1037</v>
      </c>
      <c r="D470" s="22" t="s">
        <v>1128</v>
      </c>
      <c r="E470" s="22" t="s">
        <v>1129</v>
      </c>
      <c r="F470" s="22">
        <v>32.310277999999997</v>
      </c>
      <c r="G470" s="22">
        <v>44.677778000000004</v>
      </c>
      <c r="H470" s="21" t="s">
        <v>802</v>
      </c>
      <c r="I470" s="21" t="s">
        <v>1039</v>
      </c>
      <c r="J470" s="21" t="s">
        <v>1130</v>
      </c>
      <c r="K470" s="24">
        <v>13</v>
      </c>
      <c r="L470" s="24">
        <v>78</v>
      </c>
      <c r="M470" s="23">
        <v>1</v>
      </c>
      <c r="N470" s="23"/>
      <c r="O470" s="23"/>
      <c r="P470" s="23"/>
      <c r="Q470" s="23"/>
      <c r="R470" s="23"/>
      <c r="S470" s="23"/>
      <c r="T470" s="23"/>
      <c r="U470" s="23">
        <v>1</v>
      </c>
      <c r="V470" s="23"/>
      <c r="W470" s="23"/>
      <c r="X470" s="23"/>
      <c r="Y470" s="23">
        <v>11</v>
      </c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>
        <v>2</v>
      </c>
      <c r="AK470" s="23">
        <v>11</v>
      </c>
      <c r="AL470" s="23"/>
      <c r="AM470" s="23"/>
      <c r="AN470" s="23"/>
      <c r="AO470" s="23"/>
      <c r="AP470" s="23">
        <v>8</v>
      </c>
      <c r="AQ470" s="23">
        <v>4</v>
      </c>
      <c r="AR470" s="23"/>
      <c r="AS470" s="23">
        <v>1</v>
      </c>
      <c r="AT470" s="23"/>
      <c r="AU470" s="14" t="str">
        <f>HYPERLINK("http://www.openstreetmap.org/?mlat=32.3103&amp;mlon=44.6778&amp;zoom=12#map=12/32.3103/44.6778","Maplink1")</f>
        <v>Maplink1</v>
      </c>
      <c r="AV470" s="14" t="str">
        <f>HYPERLINK("https://www.google.iq/maps/search/+32.3103,44.6778/@32.3103,44.6778,14z?hl=en","Maplink2")</f>
        <v>Maplink2</v>
      </c>
      <c r="AW470" s="14" t="str">
        <f>HYPERLINK("http://www.bing.com/maps/?lvl=14&amp;sty=h&amp;cp=32.3103~44.6778&amp;sp=point.32.3103_44.6778_Hay al-humran","Maplink3")</f>
        <v>Maplink3</v>
      </c>
    </row>
    <row r="471" spans="1:49" ht="15" customHeight="1" x14ac:dyDescent="0.25">
      <c r="A471" s="21">
        <v>27406</v>
      </c>
      <c r="B471" s="22" t="s">
        <v>10</v>
      </c>
      <c r="C471" s="22" t="s">
        <v>1037</v>
      </c>
      <c r="D471" s="22" t="s">
        <v>1131</v>
      </c>
      <c r="E471" s="22" t="s">
        <v>1132</v>
      </c>
      <c r="F471" s="22">
        <v>32.397613</v>
      </c>
      <c r="G471" s="22">
        <v>44.681711999999997</v>
      </c>
      <c r="H471" s="21" t="s">
        <v>802</v>
      </c>
      <c r="I471" s="21" t="s">
        <v>1039</v>
      </c>
      <c r="J471" s="21"/>
      <c r="K471" s="24">
        <v>11</v>
      </c>
      <c r="L471" s="24">
        <v>66</v>
      </c>
      <c r="M471" s="23">
        <v>7</v>
      </c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4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>
        <v>11</v>
      </c>
      <c r="AL471" s="23"/>
      <c r="AM471" s="23"/>
      <c r="AN471" s="23"/>
      <c r="AO471" s="23"/>
      <c r="AP471" s="23">
        <v>4</v>
      </c>
      <c r="AQ471" s="23"/>
      <c r="AR471" s="23">
        <v>4</v>
      </c>
      <c r="AS471" s="23">
        <v>3</v>
      </c>
      <c r="AT471" s="23"/>
      <c r="AU471" s="14" t="str">
        <f>HYPERLINK("http://www.openstreetmap.org/?mlat=32.3976&amp;mlon=44.6817&amp;zoom=12#map=12/32.3976/44.6817","Maplink1")</f>
        <v>Maplink1</v>
      </c>
      <c r="AV471" s="14" t="str">
        <f>HYPERLINK("https://www.google.iq/maps/search/+32.3976,44.6817/@32.3976,44.6817,14z?hl=en","Maplink2")</f>
        <v>Maplink2</v>
      </c>
      <c r="AW471" s="14" t="str">
        <f>HYPERLINK("http://www.bing.com/maps/?lvl=14&amp;sty=h&amp;cp=32.3976~44.6817&amp;sp=point.32.3976_44.6817_Hay Al-Hussein-1","Maplink3")</f>
        <v>Maplink3</v>
      </c>
    </row>
    <row r="472" spans="1:49" ht="15" customHeight="1" x14ac:dyDescent="0.25">
      <c r="A472" s="21">
        <v>25964</v>
      </c>
      <c r="B472" s="22" t="s">
        <v>10</v>
      </c>
      <c r="C472" s="22" t="s">
        <v>1037</v>
      </c>
      <c r="D472" s="22" t="s">
        <v>1133</v>
      </c>
      <c r="E472" s="22" t="s">
        <v>1134</v>
      </c>
      <c r="F472" s="22">
        <v>32.395477</v>
      </c>
      <c r="G472" s="22">
        <v>44.678997000000003</v>
      </c>
      <c r="H472" s="21" t="s">
        <v>802</v>
      </c>
      <c r="I472" s="21" t="s">
        <v>1039</v>
      </c>
      <c r="J472" s="21"/>
      <c r="K472" s="24">
        <v>12</v>
      </c>
      <c r="L472" s="24">
        <v>72</v>
      </c>
      <c r="M472" s="23">
        <v>6</v>
      </c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6</v>
      </c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>
        <v>12</v>
      </c>
      <c r="AL472" s="23"/>
      <c r="AM472" s="23"/>
      <c r="AN472" s="23"/>
      <c r="AO472" s="23"/>
      <c r="AP472" s="23">
        <v>6</v>
      </c>
      <c r="AQ472" s="23"/>
      <c r="AR472" s="23">
        <v>4</v>
      </c>
      <c r="AS472" s="23">
        <v>2</v>
      </c>
      <c r="AT472" s="23"/>
      <c r="AU472" s="14" t="str">
        <f>HYPERLINK("http://www.openstreetmap.org/?mlat=32.3955&amp;mlon=44.679&amp;zoom=12#map=12/32.3955/44.679","Maplink1")</f>
        <v>Maplink1</v>
      </c>
      <c r="AV472" s="14" t="str">
        <f>HYPERLINK("https://www.google.iq/maps/search/+32.3955,44.679/@32.3955,44.679,14z?hl=en","Maplink2")</f>
        <v>Maplink2</v>
      </c>
      <c r="AW472" s="14" t="str">
        <f>HYPERLINK("http://www.bing.com/maps/?lvl=14&amp;sty=h&amp;cp=32.3955~44.679&amp;sp=point.32.3955_44.679_Hay Al-Hussein-2","Maplink3")</f>
        <v>Maplink3</v>
      </c>
    </row>
    <row r="473" spans="1:49" ht="15" customHeight="1" x14ac:dyDescent="0.25">
      <c r="A473" s="21">
        <v>25965</v>
      </c>
      <c r="B473" s="22" t="s">
        <v>10</v>
      </c>
      <c r="C473" s="22" t="s">
        <v>1037</v>
      </c>
      <c r="D473" s="22" t="s">
        <v>1135</v>
      </c>
      <c r="E473" s="22" t="s">
        <v>1136</v>
      </c>
      <c r="F473" s="22">
        <v>32.392142999999997</v>
      </c>
      <c r="G473" s="22">
        <v>44.679028000000002</v>
      </c>
      <c r="H473" s="21" t="s">
        <v>802</v>
      </c>
      <c r="I473" s="21" t="s">
        <v>1039</v>
      </c>
      <c r="J473" s="21"/>
      <c r="K473" s="24">
        <v>13</v>
      </c>
      <c r="L473" s="24">
        <v>78</v>
      </c>
      <c r="M473" s="23">
        <v>6</v>
      </c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7</v>
      </c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>
        <v>13</v>
      </c>
      <c r="AL473" s="23"/>
      <c r="AM473" s="23"/>
      <c r="AN473" s="23"/>
      <c r="AO473" s="23"/>
      <c r="AP473" s="23">
        <v>5</v>
      </c>
      <c r="AQ473" s="23">
        <v>2</v>
      </c>
      <c r="AR473" s="23">
        <v>6</v>
      </c>
      <c r="AS473" s="23"/>
      <c r="AT473" s="23"/>
      <c r="AU473" s="14" t="str">
        <f>HYPERLINK("http://www.openstreetmap.org/?mlat=32.3921&amp;mlon=44.679&amp;zoom=12#map=12/32.3921/44.679","Maplink1")</f>
        <v>Maplink1</v>
      </c>
      <c r="AV473" s="14" t="str">
        <f>HYPERLINK("https://www.google.iq/maps/search/+32.3921,44.679/@32.3921,44.679,14z?hl=en","Maplink2")</f>
        <v>Maplink2</v>
      </c>
      <c r="AW473" s="14" t="str">
        <f>HYPERLINK("http://www.bing.com/maps/?lvl=14&amp;sty=h&amp;cp=32.3921~44.679&amp;sp=point.32.3921_44.679_Hay Al-Hussein-3","Maplink3")</f>
        <v>Maplink3</v>
      </c>
    </row>
    <row r="474" spans="1:49" ht="15" customHeight="1" x14ac:dyDescent="0.25">
      <c r="A474" s="21">
        <v>25966</v>
      </c>
      <c r="B474" s="22" t="s">
        <v>10</v>
      </c>
      <c r="C474" s="22" t="s">
        <v>1037</v>
      </c>
      <c r="D474" s="22" t="s">
        <v>1137</v>
      </c>
      <c r="E474" s="22" t="s">
        <v>1138</v>
      </c>
      <c r="F474" s="22">
        <v>32.388890000000004</v>
      </c>
      <c r="G474" s="22">
        <v>44.676025000000003</v>
      </c>
      <c r="H474" s="21" t="s">
        <v>802</v>
      </c>
      <c r="I474" s="21" t="s">
        <v>1039</v>
      </c>
      <c r="J474" s="21"/>
      <c r="K474" s="24">
        <v>17</v>
      </c>
      <c r="L474" s="24">
        <v>102</v>
      </c>
      <c r="M474" s="23">
        <v>17</v>
      </c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>
        <v>17</v>
      </c>
      <c r="AL474" s="23"/>
      <c r="AM474" s="23"/>
      <c r="AN474" s="23"/>
      <c r="AO474" s="23"/>
      <c r="AP474" s="23"/>
      <c r="AQ474" s="23"/>
      <c r="AR474" s="23">
        <v>17</v>
      </c>
      <c r="AS474" s="23"/>
      <c r="AT474" s="23"/>
      <c r="AU474" s="14" t="str">
        <f>HYPERLINK("http://www.openstreetmap.org/?mlat=32.3889&amp;mlon=44.676&amp;zoom=12#map=12/32.3889/44.676","Maplink1")</f>
        <v>Maplink1</v>
      </c>
      <c r="AV474" s="14" t="str">
        <f>HYPERLINK("https://www.google.iq/maps/search/+32.3889,44.676/@32.3889,44.676,14z?hl=en","Maplink2")</f>
        <v>Maplink2</v>
      </c>
      <c r="AW474" s="14" t="str">
        <f>HYPERLINK("http://www.bing.com/maps/?lvl=14&amp;sty=h&amp;cp=32.3889~44.676&amp;sp=point.32.3889_44.676_Hay Al-Hussein-4","Maplink3")</f>
        <v>Maplink3</v>
      </c>
    </row>
    <row r="475" spans="1:49" ht="15" customHeight="1" x14ac:dyDescent="0.25">
      <c r="A475" s="21">
        <v>25967</v>
      </c>
      <c r="B475" s="22" t="s">
        <v>10</v>
      </c>
      <c r="C475" s="22" t="s">
        <v>1037</v>
      </c>
      <c r="D475" s="22" t="s">
        <v>1139</v>
      </c>
      <c r="E475" s="22" t="s">
        <v>1140</v>
      </c>
      <c r="F475" s="22">
        <v>32.385874000000001</v>
      </c>
      <c r="G475" s="22">
        <v>44.676498000000002</v>
      </c>
      <c r="H475" s="21" t="s">
        <v>802</v>
      </c>
      <c r="I475" s="21" t="s">
        <v>1039</v>
      </c>
      <c r="J475" s="21"/>
      <c r="K475" s="24">
        <v>16</v>
      </c>
      <c r="L475" s="24">
        <v>96</v>
      </c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>
        <v>16</v>
      </c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>
        <v>6</v>
      </c>
      <c r="AL475" s="23"/>
      <c r="AM475" s="23">
        <v>10</v>
      </c>
      <c r="AN475" s="23"/>
      <c r="AO475" s="23"/>
      <c r="AP475" s="23">
        <v>16</v>
      </c>
      <c r="AQ475" s="23"/>
      <c r="AR475" s="23"/>
      <c r="AS475" s="23"/>
      <c r="AT475" s="23"/>
      <c r="AU475" s="14" t="str">
        <f>HYPERLINK("http://www.openstreetmap.org/?mlat=32.3859&amp;mlon=44.6765&amp;zoom=12#map=12/32.3859/44.6765","Maplink1")</f>
        <v>Maplink1</v>
      </c>
      <c r="AV475" s="14" t="str">
        <f>HYPERLINK("https://www.google.iq/maps/search/+32.3859,44.6765/@32.3859,44.6765,14z?hl=en","Maplink2")</f>
        <v>Maplink2</v>
      </c>
      <c r="AW475" s="14" t="str">
        <f>HYPERLINK("http://www.bing.com/maps/?lvl=14&amp;sty=h&amp;cp=32.3859~44.6765&amp;sp=point.32.3859_44.6765_Hay Al-Hussein-5","Maplink3")</f>
        <v>Maplink3</v>
      </c>
    </row>
    <row r="476" spans="1:49" ht="15" customHeight="1" x14ac:dyDescent="0.25">
      <c r="A476" s="21">
        <v>6661</v>
      </c>
      <c r="B476" s="22" t="s">
        <v>10</v>
      </c>
      <c r="C476" s="22" t="s">
        <v>1037</v>
      </c>
      <c r="D476" s="22" t="s">
        <v>1141</v>
      </c>
      <c r="E476" s="22" t="s">
        <v>1142</v>
      </c>
      <c r="F476" s="22">
        <v>32.294443999999999</v>
      </c>
      <c r="G476" s="22">
        <v>44.677222</v>
      </c>
      <c r="H476" s="21" t="s">
        <v>802</v>
      </c>
      <c r="I476" s="21" t="s">
        <v>1039</v>
      </c>
      <c r="J476" s="21" t="s">
        <v>1143</v>
      </c>
      <c r="K476" s="24">
        <v>19</v>
      </c>
      <c r="L476" s="24">
        <v>114</v>
      </c>
      <c r="M476" s="23">
        <v>10</v>
      </c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9</v>
      </c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>
        <v>19</v>
      </c>
      <c r="AL476" s="23"/>
      <c r="AM476" s="23"/>
      <c r="AN476" s="23"/>
      <c r="AO476" s="23"/>
      <c r="AP476" s="23">
        <v>9</v>
      </c>
      <c r="AQ476" s="23"/>
      <c r="AR476" s="23">
        <v>10</v>
      </c>
      <c r="AS476" s="23"/>
      <c r="AT476" s="23"/>
      <c r="AU476" s="14" t="str">
        <f>HYPERLINK("http://www.openstreetmap.org/?mlat=32.2944&amp;mlon=44.6772&amp;zoom=12#map=12/32.2944/44.6772","Maplink1")</f>
        <v>Maplink1</v>
      </c>
      <c r="AV476" s="14" t="str">
        <f>HYPERLINK("https://www.google.iq/maps/search/+32.2944,44.6772/@32.2944,44.6772,14z?hl=en","Maplink2")</f>
        <v>Maplink2</v>
      </c>
      <c r="AW476" s="14" t="str">
        <f>HYPERLINK("http://www.bing.com/maps/?lvl=14&amp;sty=h&amp;cp=32.2944~44.6772&amp;sp=point.32.2944_44.6772_Hay al-jasmiyah","Maplink3")</f>
        <v>Maplink3</v>
      </c>
    </row>
    <row r="477" spans="1:49" ht="15" customHeight="1" x14ac:dyDescent="0.25">
      <c r="A477" s="21">
        <v>6660</v>
      </c>
      <c r="B477" s="22" t="s">
        <v>10</v>
      </c>
      <c r="C477" s="22" t="s">
        <v>1037</v>
      </c>
      <c r="D477" s="22" t="s">
        <v>1144</v>
      </c>
      <c r="E477" s="22" t="s">
        <v>1145</v>
      </c>
      <c r="F477" s="22">
        <v>32.294167000000002</v>
      </c>
      <c r="G477" s="22">
        <v>44.691110999999999</v>
      </c>
      <c r="H477" s="21" t="s">
        <v>802</v>
      </c>
      <c r="I477" s="21" t="s">
        <v>1039</v>
      </c>
      <c r="J477" s="21" t="s">
        <v>1146</v>
      </c>
      <c r="K477" s="24">
        <v>16</v>
      </c>
      <c r="L477" s="24">
        <v>96</v>
      </c>
      <c r="M477" s="23">
        <v>4</v>
      </c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12</v>
      </c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>
        <v>16</v>
      </c>
      <c r="AL477" s="23"/>
      <c r="AM477" s="23"/>
      <c r="AN477" s="23"/>
      <c r="AO477" s="23"/>
      <c r="AP477" s="23"/>
      <c r="AQ477" s="23">
        <v>12</v>
      </c>
      <c r="AR477" s="23">
        <v>2</v>
      </c>
      <c r="AS477" s="23">
        <v>2</v>
      </c>
      <c r="AT477" s="23"/>
      <c r="AU477" s="14" t="str">
        <f>HYPERLINK("http://www.openstreetmap.org/?mlat=32.2942&amp;mlon=44.6911&amp;zoom=12#map=12/32.2942/44.6911","Maplink1")</f>
        <v>Maplink1</v>
      </c>
      <c r="AV477" s="14" t="str">
        <f>HYPERLINK("https://www.google.iq/maps/search/+32.2942,44.6911/@32.2942,44.6911,14z?hl=en","Maplink2")</f>
        <v>Maplink2</v>
      </c>
      <c r="AW477" s="14" t="str">
        <f>HYPERLINK("http://www.bing.com/maps/?lvl=14&amp;sty=h&amp;cp=32.2942~44.6911&amp;sp=point.32.2942_44.6911_Hay al-jidedah","Maplink3")</f>
        <v>Maplink3</v>
      </c>
    </row>
    <row r="478" spans="1:49" ht="15" customHeight="1" x14ac:dyDescent="0.25">
      <c r="A478" s="21">
        <v>7234</v>
      </c>
      <c r="B478" s="22" t="s">
        <v>10</v>
      </c>
      <c r="C478" s="22" t="s">
        <v>1037</v>
      </c>
      <c r="D478" s="22" t="s">
        <v>999</v>
      </c>
      <c r="E478" s="22" t="s">
        <v>429</v>
      </c>
      <c r="F478" s="22">
        <v>32.36</v>
      </c>
      <c r="G478" s="22">
        <v>44.652000000000001</v>
      </c>
      <c r="H478" s="21" t="s">
        <v>802</v>
      </c>
      <c r="I478" s="21" t="s">
        <v>1039</v>
      </c>
      <c r="J478" s="21" t="s">
        <v>1147</v>
      </c>
      <c r="K478" s="24">
        <v>4</v>
      </c>
      <c r="L478" s="24">
        <v>24</v>
      </c>
      <c r="M478" s="23"/>
      <c r="N478" s="23"/>
      <c r="O478" s="23">
        <v>1</v>
      </c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3</v>
      </c>
      <c r="Z478" s="23"/>
      <c r="AA478" s="23"/>
      <c r="AB478" s="23"/>
      <c r="AC478" s="23"/>
      <c r="AD478" s="23"/>
      <c r="AE478" s="23"/>
      <c r="AF478" s="23"/>
      <c r="AG478" s="23"/>
      <c r="AH478" s="23">
        <v>3</v>
      </c>
      <c r="AI478" s="23"/>
      <c r="AJ478" s="23"/>
      <c r="AK478" s="23">
        <v>1</v>
      </c>
      <c r="AL478" s="23"/>
      <c r="AM478" s="23"/>
      <c r="AN478" s="23"/>
      <c r="AO478" s="23"/>
      <c r="AP478" s="23">
        <v>3</v>
      </c>
      <c r="AQ478" s="23">
        <v>1</v>
      </c>
      <c r="AR478" s="23"/>
      <c r="AS478" s="23"/>
      <c r="AT478" s="23"/>
      <c r="AU478" s="14" t="str">
        <f>HYPERLINK("http://www.openstreetmap.org/?mlat=32.36&amp;mlon=44.652&amp;zoom=12#map=12/32.36/44.652","Maplink1")</f>
        <v>Maplink1</v>
      </c>
      <c r="AV478" s="14" t="str">
        <f>HYPERLINK("https://www.google.iq/maps/search/+32.36,44.652/@32.36,44.652,14z?hl=en","Maplink2")</f>
        <v>Maplink2</v>
      </c>
      <c r="AW478" s="14" t="str">
        <f>HYPERLINK("http://www.bing.com/maps/?lvl=14&amp;sty=h&amp;cp=32.36~44.652&amp;sp=point.32.36_44.652_Hay Al-Mustafa","Maplink3")</f>
        <v>Maplink3</v>
      </c>
    </row>
    <row r="479" spans="1:49" ht="15" customHeight="1" x14ac:dyDescent="0.25">
      <c r="A479" s="21">
        <v>7235</v>
      </c>
      <c r="B479" s="22" t="s">
        <v>10</v>
      </c>
      <c r="C479" s="22" t="s">
        <v>1037</v>
      </c>
      <c r="D479" s="22" t="s">
        <v>647</v>
      </c>
      <c r="E479" s="22" t="s">
        <v>1148</v>
      </c>
      <c r="F479" s="22">
        <v>32.372</v>
      </c>
      <c r="G479" s="22">
        <v>44.652999999999999</v>
      </c>
      <c r="H479" s="21" t="s">
        <v>802</v>
      </c>
      <c r="I479" s="21" t="s">
        <v>1039</v>
      </c>
      <c r="J479" s="21" t="s">
        <v>1149</v>
      </c>
      <c r="K479" s="24">
        <v>10</v>
      </c>
      <c r="L479" s="24">
        <v>60</v>
      </c>
      <c r="M479" s="23">
        <v>4</v>
      </c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5</v>
      </c>
      <c r="Z479" s="23"/>
      <c r="AA479" s="23">
        <v>1</v>
      </c>
      <c r="AB479" s="23"/>
      <c r="AC479" s="23"/>
      <c r="AD479" s="23"/>
      <c r="AE479" s="23"/>
      <c r="AF479" s="23"/>
      <c r="AG479" s="23"/>
      <c r="AH479" s="23"/>
      <c r="AI479" s="23"/>
      <c r="AJ479" s="23"/>
      <c r="AK479" s="23">
        <v>10</v>
      </c>
      <c r="AL479" s="23"/>
      <c r="AM479" s="23"/>
      <c r="AN479" s="23"/>
      <c r="AO479" s="23"/>
      <c r="AP479" s="23">
        <v>5</v>
      </c>
      <c r="AQ479" s="23">
        <v>1</v>
      </c>
      <c r="AR479" s="23"/>
      <c r="AS479" s="23">
        <v>4</v>
      </c>
      <c r="AT479" s="23"/>
      <c r="AU479" s="14" t="str">
        <f>HYPERLINK("http://www.openstreetmap.org/?mlat=32.372&amp;mlon=44.653&amp;zoom=12#map=12/32.372/44.653","Maplink1")</f>
        <v>Maplink1</v>
      </c>
      <c r="AV479" s="14" t="str">
        <f>HYPERLINK("https://www.google.iq/maps/search/+32.372,44.653/@32.372,44.653,14z?hl=en","Maplink2")</f>
        <v>Maplink2</v>
      </c>
      <c r="AW479" s="14" t="str">
        <f>HYPERLINK("http://www.bing.com/maps/?lvl=14&amp;sty=h&amp;cp=32.372~44.653&amp;sp=point.32.372_44.653_Hay Al-Sadiq","Maplink3")</f>
        <v>Maplink3</v>
      </c>
    </row>
    <row r="480" spans="1:49" ht="15" customHeight="1" x14ac:dyDescent="0.25">
      <c r="A480" s="21">
        <v>6664</v>
      </c>
      <c r="B480" s="22" t="s">
        <v>10</v>
      </c>
      <c r="C480" s="22" t="s">
        <v>1037</v>
      </c>
      <c r="D480" s="22" t="s">
        <v>1009</v>
      </c>
      <c r="E480" s="22" t="s">
        <v>129</v>
      </c>
      <c r="F480" s="22">
        <v>32.327627</v>
      </c>
      <c r="G480" s="22">
        <v>44.915953000000002</v>
      </c>
      <c r="H480" s="21" t="s">
        <v>802</v>
      </c>
      <c r="I480" s="21" t="s">
        <v>1039</v>
      </c>
      <c r="J480" s="21" t="s">
        <v>1150</v>
      </c>
      <c r="K480" s="24">
        <v>5</v>
      </c>
      <c r="L480" s="24">
        <v>30</v>
      </c>
      <c r="M480" s="23">
        <v>5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>
        <v>5</v>
      </c>
      <c r="AL480" s="23"/>
      <c r="AM480" s="23"/>
      <c r="AN480" s="23"/>
      <c r="AO480" s="23"/>
      <c r="AP480" s="23"/>
      <c r="AQ480" s="23"/>
      <c r="AR480" s="23"/>
      <c r="AS480" s="23">
        <v>5</v>
      </c>
      <c r="AT480" s="23"/>
      <c r="AU480" s="14" t="str">
        <f>HYPERLINK("http://www.openstreetmap.org/?mlat=32.3276&amp;mlon=44.916&amp;zoom=12#map=12/32.3276/44.916","Maplink1")</f>
        <v>Maplink1</v>
      </c>
      <c r="AV480" s="14" t="str">
        <f>HYPERLINK("https://www.google.iq/maps/search/+32.3276,44.916/@32.3276,44.916,14z?hl=en","Maplink2")</f>
        <v>Maplink2</v>
      </c>
      <c r="AW480" s="14" t="str">
        <f>HYPERLINK("http://www.bing.com/maps/?lvl=14&amp;sty=h&amp;cp=32.3276~44.916&amp;sp=point.32.3276_44.916_Hay Al-Shuhadaa","Maplink3")</f>
        <v>Maplink3</v>
      </c>
    </row>
    <row r="481" spans="1:49" ht="15" customHeight="1" x14ac:dyDescent="0.25">
      <c r="A481" s="21">
        <v>6711</v>
      </c>
      <c r="B481" s="22" t="s">
        <v>10</v>
      </c>
      <c r="C481" s="22" t="s">
        <v>1037</v>
      </c>
      <c r="D481" s="22" t="s">
        <v>1151</v>
      </c>
      <c r="E481" s="22" t="s">
        <v>7611</v>
      </c>
      <c r="F481" s="22">
        <v>32.327778000000002</v>
      </c>
      <c r="G481" s="22">
        <v>44.918332999999997</v>
      </c>
      <c r="H481" s="21" t="s">
        <v>802</v>
      </c>
      <c r="I481" s="21" t="s">
        <v>1039</v>
      </c>
      <c r="J481" s="21" t="s">
        <v>1152</v>
      </c>
      <c r="K481" s="24">
        <v>35</v>
      </c>
      <c r="L481" s="24">
        <v>210</v>
      </c>
      <c r="M481" s="23">
        <v>35</v>
      </c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>
        <v>35</v>
      </c>
      <c r="AL481" s="23"/>
      <c r="AM481" s="23"/>
      <c r="AN481" s="23"/>
      <c r="AO481" s="23"/>
      <c r="AP481" s="23"/>
      <c r="AQ481" s="23"/>
      <c r="AR481" s="23">
        <v>22</v>
      </c>
      <c r="AS481" s="23">
        <v>13</v>
      </c>
      <c r="AT481" s="23"/>
      <c r="AU481" s="14" t="str">
        <f>HYPERLINK("http://www.openstreetmap.org/?mlat=32.3278&amp;mlon=44.9183&amp;zoom=12#map=12/32.3278/44.9183","Maplink1")</f>
        <v>Maplink1</v>
      </c>
      <c r="AV481" s="14" t="str">
        <f>HYPERLINK("https://www.google.iq/maps/search/+32.3278,44.9183/@32.3278,44.9183,14z?hl=en","Maplink2")</f>
        <v>Maplink2</v>
      </c>
      <c r="AW481" s="14" t="str">
        <f>HYPERLINK("http://www.bing.com/maps/?lvl=14&amp;sty=h&amp;cp=32.3278~44.9183&amp;sp=point.32.3278_44.9183_Hay al-tahady","Maplink3")</f>
        <v>Maplink3</v>
      </c>
    </row>
    <row r="482" spans="1:49" ht="15" customHeight="1" x14ac:dyDescent="0.25">
      <c r="A482" s="21">
        <v>6694</v>
      </c>
      <c r="B482" s="22" t="s">
        <v>10</v>
      </c>
      <c r="C482" s="22" t="s">
        <v>1037</v>
      </c>
      <c r="D482" s="22" t="s">
        <v>1153</v>
      </c>
      <c r="E482" s="22" t="s">
        <v>1154</v>
      </c>
      <c r="F482" s="22">
        <v>32.311943999999997</v>
      </c>
      <c r="G482" s="22">
        <v>44.678333000000002</v>
      </c>
      <c r="H482" s="21" t="s">
        <v>802</v>
      </c>
      <c r="I482" s="21" t="s">
        <v>1039</v>
      </c>
      <c r="J482" s="21" t="s">
        <v>1155</v>
      </c>
      <c r="K482" s="24">
        <v>11</v>
      </c>
      <c r="L482" s="24">
        <v>66</v>
      </c>
      <c r="M482" s="23">
        <v>3</v>
      </c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8</v>
      </c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>
        <v>11</v>
      </c>
      <c r="AL482" s="23"/>
      <c r="AM482" s="23"/>
      <c r="AN482" s="23"/>
      <c r="AO482" s="23"/>
      <c r="AP482" s="23">
        <v>8</v>
      </c>
      <c r="AQ482" s="23"/>
      <c r="AR482" s="23"/>
      <c r="AS482" s="23">
        <v>3</v>
      </c>
      <c r="AT482" s="23"/>
      <c r="AU482" s="14" t="str">
        <f>HYPERLINK("http://www.openstreetmap.org/?mlat=32.3119&amp;mlon=44.6783&amp;zoom=12#map=12/32.3119/44.6783","Maplink1")</f>
        <v>Maplink1</v>
      </c>
      <c r="AV482" s="14" t="str">
        <f>HYPERLINK("https://www.google.iq/maps/search/+32.3119,44.6783/@32.3119,44.6783,14z?hl=en","Maplink2")</f>
        <v>Maplink2</v>
      </c>
      <c r="AW482" s="14" t="str">
        <f>HYPERLINK("http://www.bing.com/maps/?lvl=14&amp;sty=h&amp;cp=32.3119~44.6783&amp;sp=point.32.3119_44.6783_Hay al-wihdah","Maplink3")</f>
        <v>Maplink3</v>
      </c>
    </row>
    <row r="483" spans="1:49" ht="15" customHeight="1" x14ac:dyDescent="0.25">
      <c r="A483" s="21">
        <v>7160</v>
      </c>
      <c r="B483" s="22" t="s">
        <v>10</v>
      </c>
      <c r="C483" s="22" t="s">
        <v>1037</v>
      </c>
      <c r="D483" s="22" t="s">
        <v>1156</v>
      </c>
      <c r="E483" s="22" t="s">
        <v>7612</v>
      </c>
      <c r="F483" s="22">
        <v>32.299444440000002</v>
      </c>
      <c r="G483" s="22">
        <v>44.677500000000002</v>
      </c>
      <c r="H483" s="21" t="s">
        <v>802</v>
      </c>
      <c r="I483" s="21" t="s">
        <v>1039</v>
      </c>
      <c r="J483" s="21" t="s">
        <v>1157</v>
      </c>
      <c r="K483" s="24">
        <v>13</v>
      </c>
      <c r="L483" s="24">
        <v>78</v>
      </c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13</v>
      </c>
      <c r="Z483" s="23"/>
      <c r="AA483" s="23"/>
      <c r="AB483" s="23"/>
      <c r="AC483" s="23"/>
      <c r="AD483" s="23"/>
      <c r="AE483" s="23"/>
      <c r="AF483" s="23">
        <v>6</v>
      </c>
      <c r="AG483" s="23"/>
      <c r="AH483" s="23"/>
      <c r="AI483" s="23"/>
      <c r="AJ483" s="23"/>
      <c r="AK483" s="23">
        <v>7</v>
      </c>
      <c r="AL483" s="23"/>
      <c r="AM483" s="23"/>
      <c r="AN483" s="23"/>
      <c r="AO483" s="23"/>
      <c r="AP483" s="23">
        <v>10</v>
      </c>
      <c r="AQ483" s="23">
        <v>3</v>
      </c>
      <c r="AR483" s="23"/>
      <c r="AS483" s="23"/>
      <c r="AT483" s="23"/>
      <c r="AU483" s="14" t="str">
        <f>HYPERLINK("http://www.openstreetmap.org/?mlat=32.2994&amp;mlon=44.6775&amp;zoom=12#map=12/32.2994/44.6775","Maplink1")</f>
        <v>Maplink1</v>
      </c>
      <c r="AV483" s="14" t="str">
        <f>HYPERLINK("https://www.google.iq/maps/search/+32.2994,44.6775/@32.2994,44.6775,14z?hl=en","Maplink2")</f>
        <v>Maplink2</v>
      </c>
      <c r="AW483" s="14" t="str">
        <f>HYPERLINK("http://www.bing.com/maps/?lvl=14&amp;sty=h&amp;cp=32.2994~44.6775&amp;sp=point.32.2994_44.6775_Hay Al-Zahraa","Maplink3")</f>
        <v>Maplink3</v>
      </c>
    </row>
    <row r="484" spans="1:49" ht="15" customHeight="1" x14ac:dyDescent="0.25">
      <c r="A484" s="21">
        <v>6669</v>
      </c>
      <c r="B484" s="22" t="s">
        <v>10</v>
      </c>
      <c r="C484" s="22" t="s">
        <v>1037</v>
      </c>
      <c r="D484" s="22" t="s">
        <v>1158</v>
      </c>
      <c r="E484" s="22" t="s">
        <v>1159</v>
      </c>
      <c r="F484" s="22">
        <v>32.296944000000003</v>
      </c>
      <c r="G484" s="22">
        <v>44.686667</v>
      </c>
      <c r="H484" s="21" t="s">
        <v>802</v>
      </c>
      <c r="I484" s="21" t="s">
        <v>1039</v>
      </c>
      <c r="J484" s="21" t="s">
        <v>1160</v>
      </c>
      <c r="K484" s="24">
        <v>25</v>
      </c>
      <c r="L484" s="24">
        <v>150</v>
      </c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25</v>
      </c>
      <c r="Z484" s="23"/>
      <c r="AA484" s="23"/>
      <c r="AB484" s="23"/>
      <c r="AC484" s="23"/>
      <c r="AD484" s="23"/>
      <c r="AE484" s="23"/>
      <c r="AF484" s="23">
        <v>3</v>
      </c>
      <c r="AG484" s="23"/>
      <c r="AH484" s="23"/>
      <c r="AI484" s="23"/>
      <c r="AJ484" s="23"/>
      <c r="AK484" s="23">
        <v>22</v>
      </c>
      <c r="AL484" s="23"/>
      <c r="AM484" s="23"/>
      <c r="AN484" s="23"/>
      <c r="AO484" s="23"/>
      <c r="AP484" s="23">
        <v>9</v>
      </c>
      <c r="AQ484" s="23">
        <v>16</v>
      </c>
      <c r="AR484" s="23"/>
      <c r="AS484" s="23"/>
      <c r="AT484" s="23"/>
      <c r="AU484" s="14" t="str">
        <f>HYPERLINK("http://www.openstreetmap.org/?mlat=32.2969&amp;mlon=44.6867&amp;zoom=12#map=12/32.2969/44.6867","Maplink1")</f>
        <v>Maplink1</v>
      </c>
      <c r="AV484" s="14" t="str">
        <f>HYPERLINK("https://www.google.iq/maps/search/+32.2969,44.6867/@32.2969,44.6867,14z?hl=en","Maplink2")</f>
        <v>Maplink2</v>
      </c>
      <c r="AW484" s="14" t="str">
        <f>HYPERLINK("http://www.bing.com/maps/?lvl=14&amp;sty=h&amp;cp=32.2969~44.6867&amp;sp=point.32.2969_44.6867_Hay alosh","Maplink3")</f>
        <v>Maplink3</v>
      </c>
    </row>
    <row r="485" spans="1:49" ht="15" customHeight="1" x14ac:dyDescent="0.25">
      <c r="A485" s="21">
        <v>6663</v>
      </c>
      <c r="B485" s="22" t="s">
        <v>10</v>
      </c>
      <c r="C485" s="22" t="s">
        <v>1037</v>
      </c>
      <c r="D485" s="22" t="s">
        <v>1161</v>
      </c>
      <c r="E485" s="22" t="s">
        <v>7613</v>
      </c>
      <c r="F485" s="22">
        <v>32.295000000000002</v>
      </c>
      <c r="G485" s="22">
        <v>44.681389000000003</v>
      </c>
      <c r="H485" s="21" t="s">
        <v>802</v>
      </c>
      <c r="I485" s="21" t="s">
        <v>1039</v>
      </c>
      <c r="J485" s="21" t="s">
        <v>1162</v>
      </c>
      <c r="K485" s="24">
        <v>27</v>
      </c>
      <c r="L485" s="24">
        <v>162</v>
      </c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27</v>
      </c>
      <c r="Z485" s="23"/>
      <c r="AA485" s="23"/>
      <c r="AB485" s="23"/>
      <c r="AC485" s="23"/>
      <c r="AD485" s="23"/>
      <c r="AE485" s="23"/>
      <c r="AF485" s="23">
        <v>5</v>
      </c>
      <c r="AG485" s="23"/>
      <c r="AH485" s="23"/>
      <c r="AI485" s="23"/>
      <c r="AJ485" s="23"/>
      <c r="AK485" s="23">
        <v>22</v>
      </c>
      <c r="AL485" s="23"/>
      <c r="AM485" s="23"/>
      <c r="AN485" s="23"/>
      <c r="AO485" s="23"/>
      <c r="AP485" s="23">
        <v>23</v>
      </c>
      <c r="AQ485" s="23">
        <v>4</v>
      </c>
      <c r="AR485" s="23"/>
      <c r="AS485" s="23"/>
      <c r="AT485" s="23"/>
      <c r="AU485" s="14" t="str">
        <f>HYPERLINK("http://www.openstreetmap.org/?mlat=32.295&amp;mlon=44.6814&amp;zoom=12#map=12/32.295/44.6814","Maplink1")</f>
        <v>Maplink1</v>
      </c>
      <c r="AV485" s="14" t="str">
        <f>HYPERLINK("https://www.google.iq/maps/search/+32.295,44.6814/@32.295,44.6814,14z?hl=en","Maplink2")</f>
        <v>Maplink2</v>
      </c>
      <c r="AW485" s="14" t="str">
        <f>HYPERLINK("http://www.bing.com/maps/?lvl=14&amp;sty=h&amp;cp=32.295~44.6814&amp;sp=point.32.295_44.6814_Hay khirbatt","Maplink3")</f>
        <v>Maplink3</v>
      </c>
    </row>
    <row r="486" spans="1:49" ht="15" customHeight="1" x14ac:dyDescent="0.25">
      <c r="A486" s="21">
        <v>7213</v>
      </c>
      <c r="B486" s="22" t="s">
        <v>10</v>
      </c>
      <c r="C486" s="22" t="s">
        <v>1037</v>
      </c>
      <c r="D486" s="22" t="s">
        <v>1163</v>
      </c>
      <c r="E486" s="22" t="s">
        <v>7614</v>
      </c>
      <c r="F486" s="22">
        <v>32.29</v>
      </c>
      <c r="G486" s="22">
        <v>44.68</v>
      </c>
      <c r="H486" s="21" t="s">
        <v>802</v>
      </c>
      <c r="I486" s="21" t="s">
        <v>1039</v>
      </c>
      <c r="J486" s="21" t="s">
        <v>1164</v>
      </c>
      <c r="K486" s="24">
        <v>16</v>
      </c>
      <c r="L486" s="24">
        <v>96</v>
      </c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16</v>
      </c>
      <c r="Z486" s="23"/>
      <c r="AA486" s="23"/>
      <c r="AB486" s="23"/>
      <c r="AC486" s="23"/>
      <c r="AD486" s="23"/>
      <c r="AE486" s="23"/>
      <c r="AF486" s="23">
        <v>12</v>
      </c>
      <c r="AG486" s="23"/>
      <c r="AH486" s="23"/>
      <c r="AI486" s="23"/>
      <c r="AJ486" s="23"/>
      <c r="AK486" s="23">
        <v>4</v>
      </c>
      <c r="AL486" s="23"/>
      <c r="AM486" s="23"/>
      <c r="AN486" s="23"/>
      <c r="AO486" s="23"/>
      <c r="AP486" s="23">
        <v>16</v>
      </c>
      <c r="AQ486" s="23"/>
      <c r="AR486" s="23"/>
      <c r="AS486" s="23"/>
      <c r="AT486" s="23"/>
      <c r="AU486" s="14" t="str">
        <f>HYPERLINK("http://www.openstreetmap.org/?mlat=32.29&amp;mlon=44.68&amp;zoom=12#map=12/32.29/44.68","Maplink1")</f>
        <v>Maplink1</v>
      </c>
      <c r="AV486" s="14" t="str">
        <f>HYPERLINK("https://www.google.iq/maps/search/+32.29,44.68/@32.29,44.68,14z?hl=en","Maplink2")</f>
        <v>Maplink2</v>
      </c>
      <c r="AW486" s="14" t="str">
        <f>HYPERLINK("http://www.bing.com/maps/?lvl=14&amp;sty=h&amp;cp=32.29~44.68&amp;sp=point.32.29_44.68_Hay Um Ayash","Maplink3")</f>
        <v>Maplink3</v>
      </c>
    </row>
    <row r="487" spans="1:49" ht="15" customHeight="1" x14ac:dyDescent="0.25">
      <c r="A487" s="21">
        <v>6673</v>
      </c>
      <c r="B487" s="22" t="s">
        <v>10</v>
      </c>
      <c r="C487" s="22" t="s">
        <v>1037</v>
      </c>
      <c r="D487" s="22" t="s">
        <v>1165</v>
      </c>
      <c r="E487" s="22" t="s">
        <v>1166</v>
      </c>
      <c r="F487" s="22">
        <v>32.299166999999997</v>
      </c>
      <c r="G487" s="22">
        <v>44.686388999999998</v>
      </c>
      <c r="H487" s="21" t="s">
        <v>802</v>
      </c>
      <c r="I487" s="21" t="s">
        <v>1039</v>
      </c>
      <c r="J487" s="21" t="s">
        <v>1167</v>
      </c>
      <c r="K487" s="24">
        <v>50</v>
      </c>
      <c r="L487" s="24">
        <v>300</v>
      </c>
      <c r="M487" s="23">
        <v>1</v>
      </c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49</v>
      </c>
      <c r="Z487" s="23"/>
      <c r="AA487" s="23"/>
      <c r="AB487" s="23"/>
      <c r="AC487" s="23"/>
      <c r="AD487" s="23"/>
      <c r="AE487" s="23"/>
      <c r="AF487" s="23">
        <v>44</v>
      </c>
      <c r="AG487" s="23"/>
      <c r="AH487" s="23"/>
      <c r="AI487" s="23"/>
      <c r="AJ487" s="23"/>
      <c r="AK487" s="23">
        <v>6</v>
      </c>
      <c r="AL487" s="23"/>
      <c r="AM487" s="23"/>
      <c r="AN487" s="23"/>
      <c r="AO487" s="23"/>
      <c r="AP487" s="23">
        <v>35</v>
      </c>
      <c r="AQ487" s="23">
        <v>14</v>
      </c>
      <c r="AR487" s="23">
        <v>1</v>
      </c>
      <c r="AS487" s="23"/>
      <c r="AT487" s="23"/>
      <c r="AU487" s="14" t="str">
        <f>HYPERLINK("http://www.openstreetmap.org/?mlat=32.2992&amp;mlon=44.6864&amp;zoom=12#map=12/32.2992/44.6864","Maplink1")</f>
        <v>Maplink1</v>
      </c>
      <c r="AV487" s="14" t="str">
        <f>HYPERLINK("https://www.google.iq/maps/search/+32.2992,44.6864/@32.2992,44.6864,14z?hl=en","Maplink2")</f>
        <v>Maplink2</v>
      </c>
      <c r="AW487" s="14" t="str">
        <f>HYPERLINK("http://www.bing.com/maps/?lvl=14&amp;sty=h&amp;cp=32.2992~44.6864&amp;sp=point.32.2992_44.6864_Khalaf al-imam","Maplink3")</f>
        <v>Maplink3</v>
      </c>
    </row>
    <row r="488" spans="1:49" ht="15" customHeight="1" x14ac:dyDescent="0.25">
      <c r="A488" s="21">
        <v>25878</v>
      </c>
      <c r="B488" s="22" t="s">
        <v>10</v>
      </c>
      <c r="C488" s="22" t="s">
        <v>1037</v>
      </c>
      <c r="D488" s="22" t="s">
        <v>1168</v>
      </c>
      <c r="E488" s="22" t="s">
        <v>1169</v>
      </c>
      <c r="F488" s="22">
        <v>32.293317000000002</v>
      </c>
      <c r="G488" s="22">
        <v>44.694366000000002</v>
      </c>
      <c r="H488" s="21" t="s">
        <v>802</v>
      </c>
      <c r="I488" s="21" t="s">
        <v>1039</v>
      </c>
      <c r="J488" s="21"/>
      <c r="K488" s="24">
        <v>9</v>
      </c>
      <c r="L488" s="24">
        <v>54</v>
      </c>
      <c r="M488" s="23">
        <v>4</v>
      </c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5</v>
      </c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>
        <v>9</v>
      </c>
      <c r="AL488" s="23"/>
      <c r="AM488" s="23"/>
      <c r="AN488" s="23"/>
      <c r="AO488" s="23"/>
      <c r="AP488" s="23">
        <v>5</v>
      </c>
      <c r="AQ488" s="23"/>
      <c r="AR488" s="23"/>
      <c r="AS488" s="23">
        <v>4</v>
      </c>
      <c r="AT488" s="23"/>
      <c r="AU488" s="14" t="str">
        <f>HYPERLINK("http://www.openstreetmap.org/?mlat=32.2933&amp;mlon=44.6944&amp;zoom=12#map=12/32.2933/44.6944","Maplink1")</f>
        <v>Maplink1</v>
      </c>
      <c r="AV488" s="14" t="str">
        <f>HYPERLINK("https://www.google.iq/maps/search/+32.2933,44.6944/@32.2933,44.6944,14z?hl=en","Maplink2")</f>
        <v>Maplink2</v>
      </c>
      <c r="AW488" s="14" t="str">
        <f>HYPERLINK("http://www.bing.com/maps/?lvl=14&amp;sty=h&amp;cp=32.2933~44.6944&amp;sp=point.32.2933_44.6944_Musa Al Kadhum","Maplink3")</f>
        <v>Maplink3</v>
      </c>
    </row>
    <row r="489" spans="1:49" ht="15" customHeight="1" x14ac:dyDescent="0.25">
      <c r="A489" s="21">
        <v>22274</v>
      </c>
      <c r="B489" s="22" t="s">
        <v>10</v>
      </c>
      <c r="C489" s="22" t="s">
        <v>1037</v>
      </c>
      <c r="D489" s="22" t="s">
        <v>1170</v>
      </c>
      <c r="E489" s="22" t="s">
        <v>1171</v>
      </c>
      <c r="F489" s="22">
        <v>32.37753</v>
      </c>
      <c r="G489" s="22">
        <v>44.681280000000001</v>
      </c>
      <c r="H489" s="21" t="s">
        <v>802</v>
      </c>
      <c r="I489" s="21" t="s">
        <v>1039</v>
      </c>
      <c r="J489" s="21" t="s">
        <v>1172</v>
      </c>
      <c r="K489" s="24">
        <v>12</v>
      </c>
      <c r="L489" s="24">
        <v>72</v>
      </c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>
        <v>12</v>
      </c>
      <c r="Z489" s="23"/>
      <c r="AA489" s="23"/>
      <c r="AB489" s="23"/>
      <c r="AC489" s="23"/>
      <c r="AD489" s="23"/>
      <c r="AE489" s="23"/>
      <c r="AF489" s="23">
        <v>2</v>
      </c>
      <c r="AG489" s="23"/>
      <c r="AH489" s="23"/>
      <c r="AI489" s="23"/>
      <c r="AJ489" s="23">
        <v>10</v>
      </c>
      <c r="AK489" s="23"/>
      <c r="AL489" s="23"/>
      <c r="AM489" s="23"/>
      <c r="AN489" s="23"/>
      <c r="AO489" s="23"/>
      <c r="AP489" s="23">
        <v>10</v>
      </c>
      <c r="AQ489" s="23">
        <v>2</v>
      </c>
      <c r="AR489" s="23"/>
      <c r="AS489" s="23"/>
      <c r="AT489" s="23"/>
      <c r="AU489" s="14" t="str">
        <f>HYPERLINK("http://www.openstreetmap.org/?mlat=32.3775&amp;mlon=44.6813&amp;zoom=12#map=12/32.3775/44.6813","Maplink1")</f>
        <v>Maplink1</v>
      </c>
      <c r="AV489" s="14" t="str">
        <f>HYPERLINK("https://www.google.iq/maps/search/+32.3775,44.6813/@32.3775,44.6813,14z?hl=en","Maplink2")</f>
        <v>Maplink2</v>
      </c>
      <c r="AW489" s="14" t="str">
        <f>HYPERLINK("http://www.bing.com/maps/?lvl=14&amp;sty=h&amp;cp=32.3775~44.6813&amp;sp=point.32.3775_44.6813_Qaryat Al Tiyas","Maplink3")</f>
        <v>Maplink3</v>
      </c>
    </row>
    <row r="490" spans="1:49" ht="15" customHeight="1" x14ac:dyDescent="0.25">
      <c r="A490" s="21">
        <v>7011</v>
      </c>
      <c r="B490" s="22" t="s">
        <v>10</v>
      </c>
      <c r="C490" s="22" t="s">
        <v>1173</v>
      </c>
      <c r="D490" s="22" t="s">
        <v>1174</v>
      </c>
      <c r="E490" s="22" t="s">
        <v>1175</v>
      </c>
      <c r="F490" s="22">
        <v>32.481943999999999</v>
      </c>
      <c r="G490" s="22">
        <v>44.355832999999997</v>
      </c>
      <c r="H490" s="21" t="s">
        <v>802</v>
      </c>
      <c r="I490" s="21" t="s">
        <v>1176</v>
      </c>
      <c r="J490" s="21" t="s">
        <v>1177</v>
      </c>
      <c r="K490" s="24">
        <v>17</v>
      </c>
      <c r="L490" s="24">
        <v>102</v>
      </c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17</v>
      </c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>
        <v>7</v>
      </c>
      <c r="AK490" s="23">
        <v>10</v>
      </c>
      <c r="AL490" s="23"/>
      <c r="AM490" s="23"/>
      <c r="AN490" s="23"/>
      <c r="AO490" s="23"/>
      <c r="AP490" s="23">
        <v>17</v>
      </c>
      <c r="AQ490" s="23"/>
      <c r="AR490" s="23"/>
      <c r="AS490" s="23"/>
      <c r="AT490" s="23"/>
      <c r="AU490" s="14" t="str">
        <f>HYPERLINK("http://www.openstreetmap.org/?mlat=32.4819&amp;mlon=44.3558&amp;zoom=12#map=12/32.4819/44.3558","Maplink1")</f>
        <v>Maplink1</v>
      </c>
      <c r="AV490" s="14" t="str">
        <f>HYPERLINK("https://www.google.iq/maps/search/+32.4819,44.3558/@32.4819,44.3558,14z?hl=en","Maplink2")</f>
        <v>Maplink2</v>
      </c>
      <c r="AW490" s="14" t="str">
        <f>HYPERLINK("http://www.bing.com/maps/?lvl=14&amp;sty=h&amp;cp=32.4819~44.3558&amp;sp=point.32.4819_44.3558_Abi gharaq al-awsatt","Maplink3")</f>
        <v>Maplink3</v>
      </c>
    </row>
    <row r="491" spans="1:49" ht="15" customHeight="1" x14ac:dyDescent="0.25">
      <c r="A491" s="21">
        <v>25600</v>
      </c>
      <c r="B491" s="22" t="s">
        <v>10</v>
      </c>
      <c r="C491" s="22" t="s">
        <v>1173</v>
      </c>
      <c r="D491" s="22" t="s">
        <v>1178</v>
      </c>
      <c r="E491" s="22" t="s">
        <v>1179</v>
      </c>
      <c r="F491" s="22">
        <v>32.530866099999997</v>
      </c>
      <c r="G491" s="22">
        <v>44.323190199999999</v>
      </c>
      <c r="H491" s="21" t="s">
        <v>802</v>
      </c>
      <c r="I491" s="21" t="s">
        <v>1176</v>
      </c>
      <c r="J491" s="21"/>
      <c r="K491" s="24">
        <v>8</v>
      </c>
      <c r="L491" s="24">
        <v>48</v>
      </c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8</v>
      </c>
      <c r="Z491" s="23"/>
      <c r="AA491" s="23"/>
      <c r="AB491" s="23"/>
      <c r="AC491" s="23"/>
      <c r="AD491" s="23"/>
      <c r="AE491" s="23"/>
      <c r="AF491" s="23">
        <v>6</v>
      </c>
      <c r="AG491" s="23"/>
      <c r="AH491" s="23"/>
      <c r="AI491" s="23"/>
      <c r="AJ491" s="23"/>
      <c r="AK491" s="23">
        <v>2</v>
      </c>
      <c r="AL491" s="23"/>
      <c r="AM491" s="23"/>
      <c r="AN491" s="23"/>
      <c r="AO491" s="23"/>
      <c r="AP491" s="23">
        <v>8</v>
      </c>
      <c r="AQ491" s="23"/>
      <c r="AR491" s="23"/>
      <c r="AS491" s="23"/>
      <c r="AT491" s="23"/>
      <c r="AU491" s="14" t="str">
        <f>HYPERLINK("http://www.openstreetmap.org/?mlat=32.5309&amp;mlon=44.3232&amp;zoom=12#map=12/32.5309/44.3232","Maplink1")</f>
        <v>Maplink1</v>
      </c>
      <c r="AV491" s="14" t="str">
        <f>HYPERLINK("https://www.google.iq/maps/search/+32.5309,44.3232/@32.5309,44.3232,14z?hl=en","Maplink2")</f>
        <v>Maplink2</v>
      </c>
      <c r="AW491" s="14" t="str">
        <f>HYPERLINK("http://www.bing.com/maps/?lvl=14&amp;sty=h&amp;cp=32.5309~44.3232&amp;sp=point.32.5309_44.3232_Abi Gharaq-Ahmed Ben Kadhum","Maplink3")</f>
        <v>Maplink3</v>
      </c>
    </row>
    <row r="492" spans="1:49" ht="15" customHeight="1" x14ac:dyDescent="0.25">
      <c r="A492" s="21">
        <v>25601</v>
      </c>
      <c r="B492" s="22" t="s">
        <v>10</v>
      </c>
      <c r="C492" s="22" t="s">
        <v>1173</v>
      </c>
      <c r="D492" s="22" t="s">
        <v>1180</v>
      </c>
      <c r="E492" s="22" t="s">
        <v>1181</v>
      </c>
      <c r="F492" s="22">
        <v>32.529688299999997</v>
      </c>
      <c r="G492" s="22">
        <v>44.350537899999999</v>
      </c>
      <c r="H492" s="21" t="s">
        <v>802</v>
      </c>
      <c r="I492" s="21" t="s">
        <v>1176</v>
      </c>
      <c r="J492" s="21"/>
      <c r="K492" s="24">
        <v>10</v>
      </c>
      <c r="L492" s="24">
        <v>60</v>
      </c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10</v>
      </c>
      <c r="Z492" s="23"/>
      <c r="AA492" s="23"/>
      <c r="AB492" s="23"/>
      <c r="AC492" s="23"/>
      <c r="AD492" s="23"/>
      <c r="AE492" s="23"/>
      <c r="AF492" s="23">
        <v>2</v>
      </c>
      <c r="AG492" s="23"/>
      <c r="AH492" s="23"/>
      <c r="AI492" s="23"/>
      <c r="AJ492" s="23">
        <v>1</v>
      </c>
      <c r="AK492" s="23">
        <v>7</v>
      </c>
      <c r="AL492" s="23"/>
      <c r="AM492" s="23"/>
      <c r="AN492" s="23"/>
      <c r="AO492" s="23"/>
      <c r="AP492" s="23">
        <v>10</v>
      </c>
      <c r="AQ492" s="23"/>
      <c r="AR492" s="23"/>
      <c r="AS492" s="23"/>
      <c r="AT492" s="23"/>
      <c r="AU492" s="14" t="str">
        <f>HYPERLINK("http://www.openstreetmap.org/?mlat=32.5297&amp;mlon=44.3505&amp;zoom=12#map=12/32.5297/44.3505","Maplink1")</f>
        <v>Maplink1</v>
      </c>
      <c r="AV492" s="14" t="str">
        <f>HYPERLINK("https://www.google.iq/maps/search/+32.5297,44.3505/@32.5297,44.3505,14z?hl=en","Maplink2")</f>
        <v>Maplink2</v>
      </c>
      <c r="AW492" s="14" t="str">
        <f>HYPERLINK("http://www.bing.com/maps/?lvl=14&amp;sty=h&amp;cp=32.5297~44.3505&amp;sp=point.32.5297_44.3505_Abi Gharaq-Al Shurta","Maplink3")</f>
        <v>Maplink3</v>
      </c>
    </row>
    <row r="493" spans="1:49" ht="15" customHeight="1" x14ac:dyDescent="0.25">
      <c r="A493" s="21">
        <v>6824</v>
      </c>
      <c r="B493" s="22" t="s">
        <v>10</v>
      </c>
      <c r="C493" s="22" t="s">
        <v>1173</v>
      </c>
      <c r="D493" s="22" t="s">
        <v>1182</v>
      </c>
      <c r="E493" s="22" t="s">
        <v>1183</v>
      </c>
      <c r="F493" s="22">
        <v>32.504876000000003</v>
      </c>
      <c r="G493" s="22">
        <v>44.282620000000001</v>
      </c>
      <c r="H493" s="21" t="s">
        <v>802</v>
      </c>
      <c r="I493" s="21" t="s">
        <v>1176</v>
      </c>
      <c r="J493" s="21" t="s">
        <v>1184</v>
      </c>
      <c r="K493" s="24">
        <v>8</v>
      </c>
      <c r="L493" s="24">
        <v>48</v>
      </c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6</v>
      </c>
      <c r="Z493" s="23"/>
      <c r="AA493" s="23">
        <v>2</v>
      </c>
      <c r="AB493" s="23"/>
      <c r="AC493" s="23"/>
      <c r="AD493" s="23"/>
      <c r="AE493" s="23"/>
      <c r="AF493" s="23">
        <v>2</v>
      </c>
      <c r="AG493" s="23"/>
      <c r="AH493" s="23"/>
      <c r="AI493" s="23"/>
      <c r="AJ493" s="23">
        <v>4</v>
      </c>
      <c r="AK493" s="23">
        <v>2</v>
      </c>
      <c r="AL493" s="23"/>
      <c r="AM493" s="23"/>
      <c r="AN493" s="23"/>
      <c r="AO493" s="23"/>
      <c r="AP493" s="23">
        <v>8</v>
      </c>
      <c r="AQ493" s="23"/>
      <c r="AR493" s="23"/>
      <c r="AS493" s="23"/>
      <c r="AT493" s="23"/>
      <c r="AU493" s="14" t="str">
        <f>HYPERLINK("http://www.openstreetmap.org/?mlat=32.5049&amp;mlon=44.2826&amp;zoom=12#map=12/32.5049/44.2826","Maplink1")</f>
        <v>Maplink1</v>
      </c>
      <c r="AV493" s="14" t="str">
        <f>HYPERLINK("https://www.google.iq/maps/search/+32.5049,44.2826/@32.5049,44.2826,14z?hl=en","Maplink2")</f>
        <v>Maplink2</v>
      </c>
      <c r="AW493" s="14" t="str">
        <f>HYPERLINK("http://www.bing.com/maps/?lvl=14&amp;sty=h&amp;cp=32.5049~44.2826&amp;sp=point.32.5049_44.2826_Abi Gharaq-Albu Hamdan","Maplink3")</f>
        <v>Maplink3</v>
      </c>
    </row>
    <row r="494" spans="1:49" ht="15" customHeight="1" x14ac:dyDescent="0.25">
      <c r="A494" s="21">
        <v>25599</v>
      </c>
      <c r="B494" s="22" t="s">
        <v>10</v>
      </c>
      <c r="C494" s="22" t="s">
        <v>1173</v>
      </c>
      <c r="D494" s="22" t="s">
        <v>1185</v>
      </c>
      <c r="E494" s="22" t="s">
        <v>1186</v>
      </c>
      <c r="F494" s="22">
        <v>32.532766100000003</v>
      </c>
      <c r="G494" s="22">
        <v>44.344511400000002</v>
      </c>
      <c r="H494" s="21" t="s">
        <v>802</v>
      </c>
      <c r="I494" s="21" t="s">
        <v>1176</v>
      </c>
      <c r="J494" s="21"/>
      <c r="K494" s="24">
        <v>21</v>
      </c>
      <c r="L494" s="24">
        <v>126</v>
      </c>
      <c r="M494" s="23">
        <v>1</v>
      </c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20</v>
      </c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>
        <v>20</v>
      </c>
      <c r="AL494" s="23"/>
      <c r="AM494" s="23">
        <v>1</v>
      </c>
      <c r="AN494" s="23"/>
      <c r="AO494" s="23"/>
      <c r="AP494" s="23">
        <v>20</v>
      </c>
      <c r="AQ494" s="23"/>
      <c r="AR494" s="23">
        <v>1</v>
      </c>
      <c r="AS494" s="23"/>
      <c r="AT494" s="23"/>
      <c r="AU494" s="14" t="str">
        <f>HYPERLINK("http://www.openstreetmap.org/?mlat=32.5328&amp;mlon=44.3445&amp;zoom=12#map=12/32.5328/44.3445","Maplink1")</f>
        <v>Maplink1</v>
      </c>
      <c r="AV494" s="14" t="str">
        <f>HYPERLINK("https://www.google.iq/maps/search/+32.5328,44.3445/@32.5328,44.3445,14z?hl=en","Maplink2")</f>
        <v>Maplink2</v>
      </c>
      <c r="AW494" s="14" t="str">
        <f>HYPERLINK("http://www.bing.com/maps/?lvl=14&amp;sty=h&amp;cp=32.5328~44.3445&amp;sp=point.32.5328_44.3445_Abi Gharaq-Hay Al Ahrar","Maplink3")</f>
        <v>Maplink3</v>
      </c>
    </row>
    <row r="495" spans="1:49" ht="15" customHeight="1" x14ac:dyDescent="0.25">
      <c r="A495" s="21">
        <v>25602</v>
      </c>
      <c r="B495" s="22" t="s">
        <v>10</v>
      </c>
      <c r="C495" s="22" t="s">
        <v>1173</v>
      </c>
      <c r="D495" s="22" t="s">
        <v>1187</v>
      </c>
      <c r="E495" s="22" t="s">
        <v>1188</v>
      </c>
      <c r="F495" s="22">
        <v>32.523551400000002</v>
      </c>
      <c r="G495" s="22">
        <v>44.367951499999997</v>
      </c>
      <c r="H495" s="21" t="s">
        <v>802</v>
      </c>
      <c r="I495" s="21" t="s">
        <v>1176</v>
      </c>
      <c r="J495" s="21"/>
      <c r="K495" s="24">
        <v>5</v>
      </c>
      <c r="L495" s="24">
        <v>30</v>
      </c>
      <c r="M495" s="23">
        <v>2</v>
      </c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3</v>
      </c>
      <c r="Z495" s="23"/>
      <c r="AA495" s="23"/>
      <c r="AB495" s="23"/>
      <c r="AC495" s="23"/>
      <c r="AD495" s="23"/>
      <c r="AE495" s="23"/>
      <c r="AF495" s="23">
        <v>5</v>
      </c>
      <c r="AG495" s="23"/>
      <c r="AH495" s="23"/>
      <c r="AI495" s="23"/>
      <c r="AJ495" s="23"/>
      <c r="AK495" s="23"/>
      <c r="AL495" s="23"/>
      <c r="AM495" s="23"/>
      <c r="AN495" s="23"/>
      <c r="AO495" s="23"/>
      <c r="AP495" s="23">
        <v>3</v>
      </c>
      <c r="AQ495" s="23"/>
      <c r="AR495" s="23"/>
      <c r="AS495" s="23">
        <v>2</v>
      </c>
      <c r="AT495" s="23"/>
      <c r="AU495" s="14" t="str">
        <f>HYPERLINK("http://www.openstreetmap.org/?mlat=32.5236&amp;mlon=44.368&amp;zoom=12#map=12/32.5236/44.368","Maplink1")</f>
        <v>Maplink1</v>
      </c>
      <c r="AV495" s="14" t="str">
        <f>HYPERLINK("https://www.google.iq/maps/search/+32.5236,44.368/@32.5236,44.368,14z?hl=en","Maplink2")</f>
        <v>Maplink2</v>
      </c>
      <c r="AW495" s="14" t="str">
        <f>HYPERLINK("http://www.bing.com/maps/?lvl=14&amp;sty=h&amp;cp=32.5236~44.368&amp;sp=point.32.5236_44.368_Abi Gharaq-Musa Al Kadhum","Maplink3")</f>
        <v>Maplink3</v>
      </c>
    </row>
    <row r="496" spans="1:49" ht="15" customHeight="1" x14ac:dyDescent="0.25">
      <c r="A496" s="21">
        <v>25607</v>
      </c>
      <c r="B496" s="22" t="s">
        <v>10</v>
      </c>
      <c r="C496" s="22" t="s">
        <v>1173</v>
      </c>
      <c r="D496" s="22" t="s">
        <v>1189</v>
      </c>
      <c r="E496" s="22" t="s">
        <v>1190</v>
      </c>
      <c r="F496" s="22">
        <v>32.446544000000003</v>
      </c>
      <c r="G496" s="22">
        <v>44.365451999999998</v>
      </c>
      <c r="H496" s="21" t="s">
        <v>802</v>
      </c>
      <c r="I496" s="21" t="s">
        <v>1176</v>
      </c>
      <c r="J496" s="21"/>
      <c r="K496" s="24">
        <v>5</v>
      </c>
      <c r="L496" s="24">
        <v>30</v>
      </c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5</v>
      </c>
      <c r="Z496" s="23"/>
      <c r="AA496" s="23"/>
      <c r="AB496" s="23"/>
      <c r="AC496" s="23"/>
      <c r="AD496" s="23"/>
      <c r="AE496" s="23"/>
      <c r="AF496" s="23">
        <v>5</v>
      </c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>
        <v>5</v>
      </c>
      <c r="AR496" s="23"/>
      <c r="AS496" s="23"/>
      <c r="AT496" s="23"/>
      <c r="AU496" s="14" t="str">
        <f>HYPERLINK("http://www.openstreetmap.org/?mlat=32.4465&amp;mlon=44.3655&amp;zoom=12#map=12/32.4465/44.3655","Maplink1")</f>
        <v>Maplink1</v>
      </c>
      <c r="AV496" s="14" t="str">
        <f>HYPERLINK("https://www.google.iq/maps/search/+32.4465,44.3655/@32.4465,44.3655,14z?hl=en","Maplink2")</f>
        <v>Maplink2</v>
      </c>
      <c r="AW496" s="14" t="str">
        <f>HYPERLINK("http://www.bing.com/maps/?lvl=14&amp;sty=h&amp;cp=32.4465~44.3655&amp;sp=point.32.4465_44.3655_Abi Gharaq-Rack Sweelim","Maplink3")</f>
        <v>Maplink3</v>
      </c>
    </row>
    <row r="497" spans="1:49" ht="15" customHeight="1" x14ac:dyDescent="0.25">
      <c r="A497" s="21">
        <v>24459</v>
      </c>
      <c r="B497" s="22" t="s">
        <v>10</v>
      </c>
      <c r="C497" s="22" t="s">
        <v>1173</v>
      </c>
      <c r="D497" s="22" t="s">
        <v>1191</v>
      </c>
      <c r="E497" s="22" t="s">
        <v>1192</v>
      </c>
      <c r="F497" s="22">
        <v>32.538800000000002</v>
      </c>
      <c r="G497" s="22">
        <v>44.457779000000002</v>
      </c>
      <c r="H497" s="21" t="s">
        <v>802</v>
      </c>
      <c r="I497" s="21" t="s">
        <v>1176</v>
      </c>
      <c r="J497" s="21"/>
      <c r="K497" s="24">
        <v>17</v>
      </c>
      <c r="L497" s="24">
        <v>102</v>
      </c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17</v>
      </c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>
        <v>17</v>
      </c>
      <c r="AK497" s="23"/>
      <c r="AL497" s="23"/>
      <c r="AM497" s="23"/>
      <c r="AN497" s="23"/>
      <c r="AO497" s="23"/>
      <c r="AP497" s="23"/>
      <c r="AQ497" s="23">
        <v>17</v>
      </c>
      <c r="AR497" s="23"/>
      <c r="AS497" s="23"/>
      <c r="AT497" s="23"/>
      <c r="AU497" s="14" t="str">
        <f>HYPERLINK("http://www.openstreetmap.org/?mlat=32.5388&amp;mlon=44.4578&amp;zoom=12#map=12/32.5388/44.4578","Maplink1")</f>
        <v>Maplink1</v>
      </c>
      <c r="AV497" s="14" t="str">
        <f>HYPERLINK("https://www.google.iq/maps/search/+32.5388,44.4578/@32.5388,44.4578,14z?hl=en","Maplink2")</f>
        <v>Maplink2</v>
      </c>
      <c r="AW497" s="14" t="str">
        <f>HYPERLINK("http://www.bing.com/maps/?lvl=14&amp;sty=h&amp;cp=32.5388~44.4578&amp;sp=point.32.5388_44.4578_Abo Hadma","Maplink3")</f>
        <v>Maplink3</v>
      </c>
    </row>
    <row r="498" spans="1:49" ht="15" customHeight="1" x14ac:dyDescent="0.25">
      <c r="A498" s="21">
        <v>25121</v>
      </c>
      <c r="B498" s="22" t="s">
        <v>10</v>
      </c>
      <c r="C498" s="22" t="s">
        <v>1173</v>
      </c>
      <c r="D498" s="22" t="s">
        <v>1193</v>
      </c>
      <c r="E498" s="22" t="s">
        <v>1194</v>
      </c>
      <c r="F498" s="22">
        <v>32.251595000000002</v>
      </c>
      <c r="G498" s="22">
        <v>44.431099000000003</v>
      </c>
      <c r="H498" s="21" t="s">
        <v>802</v>
      </c>
      <c r="I498" s="21" t="s">
        <v>1176</v>
      </c>
      <c r="J498" s="21"/>
      <c r="K498" s="24">
        <v>10</v>
      </c>
      <c r="L498" s="24">
        <v>60</v>
      </c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10</v>
      </c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>
        <v>10</v>
      </c>
      <c r="AK498" s="23"/>
      <c r="AL498" s="23"/>
      <c r="AM498" s="23"/>
      <c r="AN498" s="23"/>
      <c r="AO498" s="23"/>
      <c r="AP498" s="23">
        <v>10</v>
      </c>
      <c r="AQ498" s="23"/>
      <c r="AR498" s="23"/>
      <c r="AS498" s="23"/>
      <c r="AT498" s="23"/>
      <c r="AU498" s="14" t="str">
        <f>HYPERLINK("http://www.openstreetmap.org/?mlat=32.2516&amp;mlon=44.4311&amp;zoom=12#map=12/32.2516/44.4311","Maplink1")</f>
        <v>Maplink1</v>
      </c>
      <c r="AV498" s="14" t="str">
        <f>HYPERLINK("https://www.google.iq/maps/search/+32.2516,44.4311/@32.2516,44.4311,14z?hl=en","Maplink2")</f>
        <v>Maplink2</v>
      </c>
      <c r="AW498" s="14" t="str">
        <f>HYPERLINK("http://www.bing.com/maps/?lvl=14&amp;sty=h&amp;cp=32.2516~44.4311&amp;sp=point.32.2516_44.4311_Abo Smeech","Maplink3")</f>
        <v>Maplink3</v>
      </c>
    </row>
    <row r="499" spans="1:49" ht="15" customHeight="1" x14ac:dyDescent="0.25">
      <c r="A499" s="21">
        <v>24274</v>
      </c>
      <c r="B499" s="22" t="s">
        <v>10</v>
      </c>
      <c r="C499" s="22" t="s">
        <v>1173</v>
      </c>
      <c r="D499" s="22" t="s">
        <v>1195</v>
      </c>
      <c r="E499" s="22" t="s">
        <v>1196</v>
      </c>
      <c r="F499" s="22">
        <v>32.527673999999998</v>
      </c>
      <c r="G499" s="22">
        <v>44.343245000000003</v>
      </c>
      <c r="H499" s="21" t="s">
        <v>802</v>
      </c>
      <c r="I499" s="21" t="s">
        <v>1176</v>
      </c>
      <c r="J499" s="21" t="s">
        <v>1197</v>
      </c>
      <c r="K499" s="24">
        <v>42</v>
      </c>
      <c r="L499" s="24">
        <v>252</v>
      </c>
      <c r="M499" s="23">
        <v>3</v>
      </c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39</v>
      </c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>
        <v>5</v>
      </c>
      <c r="AK499" s="23">
        <v>37</v>
      </c>
      <c r="AL499" s="23"/>
      <c r="AM499" s="23"/>
      <c r="AN499" s="23"/>
      <c r="AO499" s="23"/>
      <c r="AP499" s="23">
        <v>39</v>
      </c>
      <c r="AQ499" s="23"/>
      <c r="AR499" s="23">
        <v>3</v>
      </c>
      <c r="AS499" s="23"/>
      <c r="AT499" s="23"/>
      <c r="AU499" s="14" t="str">
        <f>HYPERLINK("http://www.openstreetmap.org/?mlat=32.5277&amp;mlon=44.3432&amp;zoom=12#map=12/32.5277/44.3432","Maplink1")</f>
        <v>Maplink1</v>
      </c>
      <c r="AV499" s="14" t="str">
        <f>HYPERLINK("https://www.google.iq/maps/search/+32.5277,44.3432/@32.5277,44.3432,14z?hl=en","Maplink2")</f>
        <v>Maplink2</v>
      </c>
      <c r="AW499" s="14" t="str">
        <f>HYPERLINK("http://www.bing.com/maps/?lvl=14&amp;sty=h&amp;cp=32.5277~44.3432&amp;sp=point.32.5277_44.3432_Abu Khastawi","Maplink3")</f>
        <v>Maplink3</v>
      </c>
    </row>
    <row r="500" spans="1:49" ht="15" customHeight="1" x14ac:dyDescent="0.25">
      <c r="A500" s="21">
        <v>25877</v>
      </c>
      <c r="B500" s="22" t="s">
        <v>10</v>
      </c>
      <c r="C500" s="22" t="s">
        <v>1173</v>
      </c>
      <c r="D500" s="22" t="s">
        <v>1198</v>
      </c>
      <c r="E500" s="22" t="s">
        <v>1199</v>
      </c>
      <c r="F500" s="22">
        <v>32.487479999999998</v>
      </c>
      <c r="G500" s="22">
        <v>44.456425000000003</v>
      </c>
      <c r="H500" s="21" t="s">
        <v>802</v>
      </c>
      <c r="I500" s="21" t="s">
        <v>1176</v>
      </c>
      <c r="J500" s="21"/>
      <c r="K500" s="24">
        <v>45</v>
      </c>
      <c r="L500" s="24">
        <v>270</v>
      </c>
      <c r="M500" s="23">
        <v>14</v>
      </c>
      <c r="N500" s="23"/>
      <c r="O500" s="23">
        <v>1</v>
      </c>
      <c r="P500" s="23"/>
      <c r="Q500" s="23"/>
      <c r="R500" s="23">
        <v>1</v>
      </c>
      <c r="S500" s="23"/>
      <c r="T500" s="23"/>
      <c r="U500" s="23"/>
      <c r="V500" s="23"/>
      <c r="W500" s="23"/>
      <c r="X500" s="23"/>
      <c r="Y500" s="23">
        <v>29</v>
      </c>
      <c r="Z500" s="23"/>
      <c r="AA500" s="23"/>
      <c r="AB500" s="23"/>
      <c r="AC500" s="23"/>
      <c r="AD500" s="23"/>
      <c r="AE500" s="23"/>
      <c r="AF500" s="23">
        <v>5</v>
      </c>
      <c r="AG500" s="23"/>
      <c r="AH500" s="23"/>
      <c r="AI500" s="23"/>
      <c r="AJ500" s="23">
        <v>15</v>
      </c>
      <c r="AK500" s="23">
        <v>25</v>
      </c>
      <c r="AL500" s="23"/>
      <c r="AM500" s="23"/>
      <c r="AN500" s="23"/>
      <c r="AO500" s="23"/>
      <c r="AP500" s="23">
        <v>28</v>
      </c>
      <c r="AQ500" s="23">
        <v>4</v>
      </c>
      <c r="AR500" s="23">
        <v>5</v>
      </c>
      <c r="AS500" s="23">
        <v>8</v>
      </c>
      <c r="AT500" s="23"/>
      <c r="AU500" s="14" t="str">
        <f>HYPERLINK("http://www.openstreetmap.org/?mlat=32.4875&amp;mlon=44.4564&amp;zoom=12#map=12/32.4875/44.4564","Maplink1")</f>
        <v>Maplink1</v>
      </c>
      <c r="AV500" s="14" t="str">
        <f>HYPERLINK("https://www.google.iq/maps/search/+32.4875,44.4564/@32.4875,44.4564,14z?hl=en","Maplink2")</f>
        <v>Maplink2</v>
      </c>
      <c r="AW500" s="14" t="str">
        <f>HYPERLINK("http://www.bing.com/maps/?lvl=14&amp;sty=h&amp;cp=32.4875~44.4564&amp;sp=point.32.4875_44.4564_Al Abodiya","Maplink3")</f>
        <v>Maplink3</v>
      </c>
    </row>
    <row r="501" spans="1:49" ht="15" customHeight="1" x14ac:dyDescent="0.25">
      <c r="A501" s="21">
        <v>24788</v>
      </c>
      <c r="B501" s="22" t="s">
        <v>10</v>
      </c>
      <c r="C501" s="22" t="s">
        <v>1173</v>
      </c>
      <c r="D501" s="22" t="s">
        <v>1200</v>
      </c>
      <c r="E501" s="22" t="s">
        <v>1201</v>
      </c>
      <c r="F501" s="22">
        <v>32.456854999999997</v>
      </c>
      <c r="G501" s="22">
        <v>44.395569999999999</v>
      </c>
      <c r="H501" s="21" t="s">
        <v>802</v>
      </c>
      <c r="I501" s="21" t="s">
        <v>1176</v>
      </c>
      <c r="J501" s="21"/>
      <c r="K501" s="24">
        <v>19</v>
      </c>
      <c r="L501" s="24">
        <v>114</v>
      </c>
      <c r="M501" s="23">
        <v>3</v>
      </c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11</v>
      </c>
      <c r="Z501" s="23"/>
      <c r="AA501" s="23">
        <v>5</v>
      </c>
      <c r="AB501" s="23"/>
      <c r="AC501" s="23"/>
      <c r="AD501" s="23"/>
      <c r="AE501" s="23"/>
      <c r="AF501" s="23"/>
      <c r="AG501" s="23"/>
      <c r="AH501" s="23"/>
      <c r="AI501" s="23"/>
      <c r="AJ501" s="23"/>
      <c r="AK501" s="23">
        <v>19</v>
      </c>
      <c r="AL501" s="23"/>
      <c r="AM501" s="23"/>
      <c r="AN501" s="23"/>
      <c r="AO501" s="23"/>
      <c r="AP501" s="23">
        <v>11</v>
      </c>
      <c r="AQ501" s="23">
        <v>5</v>
      </c>
      <c r="AR501" s="23"/>
      <c r="AS501" s="23">
        <v>3</v>
      </c>
      <c r="AT501" s="23"/>
      <c r="AU501" s="14" t="str">
        <f>HYPERLINK("http://www.openstreetmap.org/?mlat=32.4569&amp;mlon=44.3956&amp;zoom=12#map=12/32.4569/44.3956","Maplink1")</f>
        <v>Maplink1</v>
      </c>
      <c r="AV501" s="14" t="str">
        <f>HYPERLINK("https://www.google.iq/maps/search/+32.4569,44.3956/@32.4569,44.3956,14z?hl=en","Maplink2")</f>
        <v>Maplink2</v>
      </c>
      <c r="AW501" s="14" t="str">
        <f>HYPERLINK("http://www.bing.com/maps/?lvl=14&amp;sty=h&amp;cp=32.4569~44.3956&amp;sp=point.32.4569_44.3956_Al adel","Maplink3")</f>
        <v>Maplink3</v>
      </c>
    </row>
    <row r="502" spans="1:49" ht="15" customHeight="1" x14ac:dyDescent="0.25">
      <c r="A502" s="21">
        <v>24161</v>
      </c>
      <c r="B502" s="22" t="s">
        <v>10</v>
      </c>
      <c r="C502" s="22" t="s">
        <v>1173</v>
      </c>
      <c r="D502" s="22" t="s">
        <v>1202</v>
      </c>
      <c r="E502" s="22" t="s">
        <v>1203</v>
      </c>
      <c r="F502" s="22">
        <v>32.461331999999999</v>
      </c>
      <c r="G502" s="22">
        <v>44.401249</v>
      </c>
      <c r="H502" s="21" t="s">
        <v>802</v>
      </c>
      <c r="I502" s="21" t="s">
        <v>1176</v>
      </c>
      <c r="J502" s="21" t="s">
        <v>1204</v>
      </c>
      <c r="K502" s="24">
        <v>54</v>
      </c>
      <c r="L502" s="24">
        <v>324</v>
      </c>
      <c r="M502" s="23">
        <v>12</v>
      </c>
      <c r="N502" s="23">
        <v>2</v>
      </c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>
        <v>35</v>
      </c>
      <c r="Z502" s="23"/>
      <c r="AA502" s="23">
        <v>5</v>
      </c>
      <c r="AB502" s="23"/>
      <c r="AC502" s="23"/>
      <c r="AD502" s="23"/>
      <c r="AE502" s="23"/>
      <c r="AF502" s="23"/>
      <c r="AG502" s="23"/>
      <c r="AH502" s="23"/>
      <c r="AI502" s="23"/>
      <c r="AJ502" s="23"/>
      <c r="AK502" s="23">
        <v>54</v>
      </c>
      <c r="AL502" s="23"/>
      <c r="AM502" s="23"/>
      <c r="AN502" s="23"/>
      <c r="AO502" s="23"/>
      <c r="AP502" s="23">
        <v>37</v>
      </c>
      <c r="AQ502" s="23">
        <v>5</v>
      </c>
      <c r="AR502" s="23">
        <v>7</v>
      </c>
      <c r="AS502" s="23">
        <v>5</v>
      </c>
      <c r="AT502" s="23"/>
      <c r="AU502" s="14" t="str">
        <f>HYPERLINK("http://www.openstreetmap.org/?mlat=32.4613&amp;mlon=44.4012&amp;zoom=12#map=12/32.4613/44.4012","Maplink1")</f>
        <v>Maplink1</v>
      </c>
      <c r="AV502" s="14" t="str">
        <f>HYPERLINK("https://www.google.iq/maps/search/+32.4613,44.4012/@32.4613,44.4012,14z?hl=en","Maplink2")</f>
        <v>Maplink2</v>
      </c>
      <c r="AW502" s="14" t="str">
        <f>HYPERLINK("http://www.bing.com/maps/?lvl=14&amp;sty=h&amp;cp=32.4613~44.4012&amp;sp=point.32.4613_44.4012_Al Akrameen","Maplink3")</f>
        <v>Maplink3</v>
      </c>
    </row>
    <row r="503" spans="1:49" ht="15" customHeight="1" x14ac:dyDescent="0.25">
      <c r="A503" s="21">
        <v>25876</v>
      </c>
      <c r="B503" s="22" t="s">
        <v>10</v>
      </c>
      <c r="C503" s="22" t="s">
        <v>1173</v>
      </c>
      <c r="D503" s="22" t="s">
        <v>7524</v>
      </c>
      <c r="E503" s="22" t="s">
        <v>1205</v>
      </c>
      <c r="F503" s="22">
        <v>32.499066999999997</v>
      </c>
      <c r="G503" s="22">
        <v>44.446192000000003</v>
      </c>
      <c r="H503" s="21" t="s">
        <v>802</v>
      </c>
      <c r="I503" s="21" t="s">
        <v>1176</v>
      </c>
      <c r="J503" s="21"/>
      <c r="K503" s="24">
        <v>42</v>
      </c>
      <c r="L503" s="24">
        <v>252</v>
      </c>
      <c r="M503" s="23">
        <v>14</v>
      </c>
      <c r="N503" s="23"/>
      <c r="O503" s="23"/>
      <c r="P503" s="23"/>
      <c r="Q503" s="23"/>
      <c r="R503" s="23">
        <v>1</v>
      </c>
      <c r="S503" s="23"/>
      <c r="T503" s="23"/>
      <c r="U503" s="23"/>
      <c r="V503" s="23"/>
      <c r="W503" s="23"/>
      <c r="X503" s="23"/>
      <c r="Y503" s="23">
        <v>27</v>
      </c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>
        <v>42</v>
      </c>
      <c r="AL503" s="23"/>
      <c r="AM503" s="23"/>
      <c r="AN503" s="23"/>
      <c r="AO503" s="23"/>
      <c r="AP503" s="23">
        <v>28</v>
      </c>
      <c r="AQ503" s="23"/>
      <c r="AR503" s="23">
        <v>13</v>
      </c>
      <c r="AS503" s="23">
        <v>1</v>
      </c>
      <c r="AT503" s="23"/>
      <c r="AU503" s="14" t="str">
        <f>HYPERLINK("http://www.openstreetmap.org/?mlat=32.4991&amp;mlon=44.4462&amp;zoom=12#map=12/32.4991/44.4462","Maplink1")</f>
        <v>Maplink1</v>
      </c>
      <c r="AV503" s="14" t="str">
        <f>HYPERLINK("https://www.google.iq/maps/search/+32.4991,44.4462/@32.4991,44.4462,14z?hl=en","Maplink2")</f>
        <v>Maplink2</v>
      </c>
      <c r="AW503" s="14" t="str">
        <f>HYPERLINK("http://www.bing.com/maps/?lvl=14&amp;sty=h&amp;cp=32.4991~44.4462&amp;sp=point.32.4991_44.4462_Al Bakraly -1","Maplink3")</f>
        <v>Maplink3</v>
      </c>
    </row>
    <row r="504" spans="1:49" ht="15" customHeight="1" x14ac:dyDescent="0.25">
      <c r="A504" s="21">
        <v>25875</v>
      </c>
      <c r="B504" s="22" t="s">
        <v>10</v>
      </c>
      <c r="C504" s="22" t="s">
        <v>1173</v>
      </c>
      <c r="D504" s="22" t="s">
        <v>7525</v>
      </c>
      <c r="E504" s="22" t="s">
        <v>1206</v>
      </c>
      <c r="F504" s="22">
        <v>32.495120999999997</v>
      </c>
      <c r="G504" s="22">
        <v>44.450369000000002</v>
      </c>
      <c r="H504" s="21" t="s">
        <v>802</v>
      </c>
      <c r="I504" s="21" t="s">
        <v>1176</v>
      </c>
      <c r="J504" s="21"/>
      <c r="K504" s="24">
        <v>96</v>
      </c>
      <c r="L504" s="24">
        <v>576</v>
      </c>
      <c r="M504" s="23">
        <v>38</v>
      </c>
      <c r="N504" s="23"/>
      <c r="O504" s="23"/>
      <c r="P504" s="23"/>
      <c r="Q504" s="23"/>
      <c r="R504" s="23">
        <v>2</v>
      </c>
      <c r="S504" s="23"/>
      <c r="T504" s="23"/>
      <c r="U504" s="23">
        <v>1</v>
      </c>
      <c r="V504" s="23"/>
      <c r="W504" s="23"/>
      <c r="X504" s="23"/>
      <c r="Y504" s="23">
        <v>51</v>
      </c>
      <c r="Z504" s="23"/>
      <c r="AA504" s="23">
        <v>4</v>
      </c>
      <c r="AB504" s="23"/>
      <c r="AC504" s="23"/>
      <c r="AD504" s="23"/>
      <c r="AE504" s="23"/>
      <c r="AF504" s="23"/>
      <c r="AG504" s="23"/>
      <c r="AH504" s="23"/>
      <c r="AI504" s="23"/>
      <c r="AJ504" s="23"/>
      <c r="AK504" s="23">
        <v>96</v>
      </c>
      <c r="AL504" s="23"/>
      <c r="AM504" s="23"/>
      <c r="AN504" s="23"/>
      <c r="AO504" s="23"/>
      <c r="AP504" s="23">
        <v>36</v>
      </c>
      <c r="AQ504" s="23">
        <v>22</v>
      </c>
      <c r="AR504" s="23">
        <v>32</v>
      </c>
      <c r="AS504" s="23">
        <v>6</v>
      </c>
      <c r="AT504" s="23"/>
      <c r="AU504" s="14" t="str">
        <f>HYPERLINK("http://www.openstreetmap.org/?mlat=32.4951&amp;mlon=44.4504&amp;zoom=12#map=12/32.4951/44.4504","Maplink1")</f>
        <v>Maplink1</v>
      </c>
      <c r="AV504" s="14" t="str">
        <f>HYPERLINK("https://www.google.iq/maps/search/+32.4951,44.4504/@32.4951,44.4504,14z?hl=en","Maplink2")</f>
        <v>Maplink2</v>
      </c>
      <c r="AW504" s="14" t="str">
        <f>HYPERLINK("http://www.bing.com/maps/?lvl=14&amp;sty=h&amp;cp=32.4951~44.4504&amp;sp=point.32.4951_44.4504_Al Bakraly -3","Maplink3")</f>
        <v>Maplink3</v>
      </c>
    </row>
    <row r="505" spans="1:49" ht="15" customHeight="1" x14ac:dyDescent="0.25">
      <c r="A505" s="21">
        <v>22607</v>
      </c>
      <c r="B505" s="22" t="s">
        <v>10</v>
      </c>
      <c r="C505" s="22" t="s">
        <v>1173</v>
      </c>
      <c r="D505" s="22" t="s">
        <v>1207</v>
      </c>
      <c r="E505" s="22" t="s">
        <v>1208</v>
      </c>
      <c r="F505" s="22">
        <v>32.512720000000002</v>
      </c>
      <c r="G505" s="22">
        <v>44.371699999999997</v>
      </c>
      <c r="H505" s="21" t="s">
        <v>802</v>
      </c>
      <c r="I505" s="21" t="s">
        <v>1176</v>
      </c>
      <c r="J505" s="21" t="s">
        <v>1209</v>
      </c>
      <c r="K505" s="24">
        <v>52</v>
      </c>
      <c r="L505" s="24">
        <v>312</v>
      </c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52</v>
      </c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>
        <v>11</v>
      </c>
      <c r="AK505" s="23"/>
      <c r="AL505" s="23"/>
      <c r="AM505" s="23">
        <v>41</v>
      </c>
      <c r="AN505" s="23"/>
      <c r="AO505" s="23"/>
      <c r="AP505" s="23">
        <v>52</v>
      </c>
      <c r="AQ505" s="23"/>
      <c r="AR505" s="23"/>
      <c r="AS505" s="23"/>
      <c r="AT505" s="23"/>
      <c r="AU505" s="14" t="str">
        <f>HYPERLINK("http://www.openstreetmap.org/?mlat=32.5127&amp;mlon=44.3717&amp;zoom=12#map=12/32.5127/44.3717","Maplink1")</f>
        <v>Maplink1</v>
      </c>
      <c r="AV505" s="14" t="str">
        <f>HYPERLINK("https://www.google.iq/maps/search/+32.5127,44.3717/@32.5127,44.3717,14z?hl=en","Maplink2")</f>
        <v>Maplink2</v>
      </c>
      <c r="AW505" s="14" t="str">
        <f>HYPERLINK("http://www.bing.com/maps/?lvl=14&amp;sty=h&amp;cp=32.5127~44.3717&amp;sp=point.32.5127_44.3717_Al Baqer","Maplink3")</f>
        <v>Maplink3</v>
      </c>
    </row>
    <row r="506" spans="1:49" ht="15" customHeight="1" x14ac:dyDescent="0.25">
      <c r="A506" s="21">
        <v>24458</v>
      </c>
      <c r="B506" s="22" t="s">
        <v>10</v>
      </c>
      <c r="C506" s="22" t="s">
        <v>1173</v>
      </c>
      <c r="D506" s="22" t="s">
        <v>1210</v>
      </c>
      <c r="E506" s="22" t="s">
        <v>7615</v>
      </c>
      <c r="F506" s="22">
        <v>32.489632999999998</v>
      </c>
      <c r="G506" s="22">
        <v>44.319772</v>
      </c>
      <c r="H506" s="21" t="s">
        <v>802</v>
      </c>
      <c r="I506" s="21" t="s">
        <v>1176</v>
      </c>
      <c r="J506" s="21"/>
      <c r="K506" s="24">
        <v>3</v>
      </c>
      <c r="L506" s="24">
        <v>18</v>
      </c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3</v>
      </c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>
        <v>3</v>
      </c>
      <c r="AL506" s="23"/>
      <c r="AM506" s="23"/>
      <c r="AN506" s="23"/>
      <c r="AO506" s="23"/>
      <c r="AP506" s="23"/>
      <c r="AQ506" s="23">
        <v>3</v>
      </c>
      <c r="AR506" s="23"/>
      <c r="AS506" s="23"/>
      <c r="AT506" s="23"/>
      <c r="AU506" s="14" t="str">
        <f>HYPERLINK("http://www.openstreetmap.org/?mlat=32.4896&amp;mlon=44.3198&amp;zoom=12#map=12/32.4896/44.3198","Maplink1")</f>
        <v>Maplink1</v>
      </c>
      <c r="AV506" s="14" t="str">
        <f>HYPERLINK("https://www.google.iq/maps/search/+32.4896,44.3198/@32.4896,44.3198,14z?hl=en","Maplink2")</f>
        <v>Maplink2</v>
      </c>
      <c r="AW506" s="14" t="str">
        <f>HYPERLINK("http://www.bing.com/maps/?lvl=14&amp;sty=h&amp;cp=32.4896~44.3198&amp;sp=point.32.4896_44.3198_Al Daghaghla-Abu Gharaq","Maplink3")</f>
        <v>Maplink3</v>
      </c>
    </row>
    <row r="507" spans="1:49" ht="15" customHeight="1" x14ac:dyDescent="0.25">
      <c r="A507" s="21">
        <v>24973</v>
      </c>
      <c r="B507" s="22" t="s">
        <v>10</v>
      </c>
      <c r="C507" s="22" t="s">
        <v>1173</v>
      </c>
      <c r="D507" s="22" t="s">
        <v>1211</v>
      </c>
      <c r="E507" s="22" t="s">
        <v>1212</v>
      </c>
      <c r="F507" s="22">
        <v>32.205798000000001</v>
      </c>
      <c r="G507" s="22">
        <v>44.414990000000003</v>
      </c>
      <c r="H507" s="21" t="s">
        <v>802</v>
      </c>
      <c r="I507" s="21" t="s">
        <v>1176</v>
      </c>
      <c r="J507" s="21"/>
      <c r="K507" s="24">
        <v>15</v>
      </c>
      <c r="L507" s="24">
        <v>90</v>
      </c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15</v>
      </c>
      <c r="Z507" s="23"/>
      <c r="AA507" s="23"/>
      <c r="AB507" s="23"/>
      <c r="AC507" s="23"/>
      <c r="AD507" s="23"/>
      <c r="AE507" s="23"/>
      <c r="AF507" s="23">
        <v>3</v>
      </c>
      <c r="AG507" s="23"/>
      <c r="AH507" s="23"/>
      <c r="AI507" s="23"/>
      <c r="AJ507" s="23">
        <v>12</v>
      </c>
      <c r="AK507" s="23"/>
      <c r="AL507" s="23"/>
      <c r="AM507" s="23"/>
      <c r="AN507" s="23"/>
      <c r="AO507" s="23"/>
      <c r="AP507" s="23">
        <v>3</v>
      </c>
      <c r="AQ507" s="23">
        <v>12</v>
      </c>
      <c r="AR507" s="23"/>
      <c r="AS507" s="23"/>
      <c r="AT507" s="23"/>
      <c r="AU507" s="14" t="str">
        <f>HYPERLINK("http://www.openstreetmap.org/?mlat=32.2058&amp;mlon=44.415&amp;zoom=12#map=12/32.2058/44.415","Maplink1")</f>
        <v>Maplink1</v>
      </c>
      <c r="AV507" s="14" t="str">
        <f>HYPERLINK("https://www.google.iq/maps/search/+32.2058,44.415/@32.2058,44.415,14z?hl=en","Maplink2")</f>
        <v>Maplink2</v>
      </c>
      <c r="AW507" s="14" t="str">
        <f>HYPERLINK("http://www.bing.com/maps/?lvl=14&amp;sty=h&amp;cp=32.2058~44.415&amp;sp=point.32.2058_44.415_Al Dola","Maplink3")</f>
        <v>Maplink3</v>
      </c>
    </row>
    <row r="508" spans="1:49" ht="15" customHeight="1" x14ac:dyDescent="0.25">
      <c r="A508" s="21">
        <v>24647</v>
      </c>
      <c r="B508" s="22" t="s">
        <v>10</v>
      </c>
      <c r="C508" s="22" t="s">
        <v>1173</v>
      </c>
      <c r="D508" s="22" t="s">
        <v>1213</v>
      </c>
      <c r="E508" s="22" t="s">
        <v>1214</v>
      </c>
      <c r="F508" s="22">
        <v>32.440660999999999</v>
      </c>
      <c r="G508" s="22">
        <v>44.472526999999999</v>
      </c>
      <c r="H508" s="21" t="s">
        <v>802</v>
      </c>
      <c r="I508" s="21" t="s">
        <v>1176</v>
      </c>
      <c r="J508" s="21"/>
      <c r="K508" s="24">
        <v>64</v>
      </c>
      <c r="L508" s="24">
        <v>384</v>
      </c>
      <c r="M508" s="23">
        <v>20</v>
      </c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44</v>
      </c>
      <c r="Z508" s="23"/>
      <c r="AA508" s="23"/>
      <c r="AB508" s="23"/>
      <c r="AC508" s="23"/>
      <c r="AD508" s="23"/>
      <c r="AE508" s="23"/>
      <c r="AF508" s="23">
        <v>42</v>
      </c>
      <c r="AG508" s="23"/>
      <c r="AH508" s="23"/>
      <c r="AI508" s="23"/>
      <c r="AJ508" s="23"/>
      <c r="AK508" s="23">
        <v>22</v>
      </c>
      <c r="AL508" s="23"/>
      <c r="AM508" s="23"/>
      <c r="AN508" s="23"/>
      <c r="AO508" s="23"/>
      <c r="AP508" s="23">
        <v>44</v>
      </c>
      <c r="AQ508" s="23"/>
      <c r="AR508" s="23">
        <v>15</v>
      </c>
      <c r="AS508" s="23">
        <v>5</v>
      </c>
      <c r="AT508" s="23"/>
      <c r="AU508" s="14" t="str">
        <f>HYPERLINK("http://www.openstreetmap.org/?mlat=32.4407&amp;mlon=44.4725&amp;zoom=12#map=12/32.4407/44.4725","Maplink1")</f>
        <v>Maplink1</v>
      </c>
      <c r="AV508" s="14" t="str">
        <f>HYPERLINK("https://www.google.iq/maps/search/+32.4407,44.4725/@32.4407,44.4725,14z?hl=en","Maplink2")</f>
        <v>Maplink2</v>
      </c>
      <c r="AW508" s="14" t="str">
        <f>HYPERLINK("http://www.bing.com/maps/?lvl=14&amp;sty=h&amp;cp=32.4407~44.4725&amp;sp=point.32.4407_44.4725_Al Dolab villge","Maplink3")</f>
        <v>Maplink3</v>
      </c>
    </row>
    <row r="509" spans="1:49" ht="15" customHeight="1" x14ac:dyDescent="0.25">
      <c r="A509" s="21">
        <v>24689</v>
      </c>
      <c r="B509" s="22" t="s">
        <v>10</v>
      </c>
      <c r="C509" s="22" t="s">
        <v>1173</v>
      </c>
      <c r="D509" s="22" t="s">
        <v>1215</v>
      </c>
      <c r="E509" s="22" t="s">
        <v>1216</v>
      </c>
      <c r="F509" s="22">
        <v>32.438730999999997</v>
      </c>
      <c r="G509" s="22">
        <v>44.448301999999998</v>
      </c>
      <c r="H509" s="21" t="s">
        <v>802</v>
      </c>
      <c r="I509" s="21" t="s">
        <v>1176</v>
      </c>
      <c r="J509" s="21"/>
      <c r="K509" s="24">
        <v>11</v>
      </c>
      <c r="L509" s="24">
        <v>66</v>
      </c>
      <c r="M509" s="23">
        <v>5</v>
      </c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6</v>
      </c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>
        <v>11</v>
      </c>
      <c r="AL509" s="23"/>
      <c r="AM509" s="23"/>
      <c r="AN509" s="23"/>
      <c r="AO509" s="23"/>
      <c r="AP509" s="23">
        <v>3</v>
      </c>
      <c r="AQ509" s="23">
        <v>3</v>
      </c>
      <c r="AR509" s="23">
        <v>5</v>
      </c>
      <c r="AS509" s="23"/>
      <c r="AT509" s="23"/>
      <c r="AU509" s="14" t="str">
        <f>HYPERLINK("http://www.openstreetmap.org/?mlat=32.4387&amp;mlon=44.4483&amp;zoom=12#map=12/32.4387/44.4483","Maplink1")</f>
        <v>Maplink1</v>
      </c>
      <c r="AV509" s="14" t="str">
        <f>HYPERLINK("https://www.google.iq/maps/search/+32.4387,44.4483/@32.4387,44.4483,14z?hl=en","Maplink2")</f>
        <v>Maplink2</v>
      </c>
      <c r="AW509" s="14" t="str">
        <f>HYPERLINK("http://www.bing.com/maps/?lvl=14&amp;sty=h&amp;cp=32.4387~44.4483&amp;sp=point.32.4387_44.4483_Al Ghales","Maplink3")</f>
        <v>Maplink3</v>
      </c>
    </row>
    <row r="510" spans="1:49" ht="15" customHeight="1" x14ac:dyDescent="0.25">
      <c r="A510" s="21">
        <v>21616</v>
      </c>
      <c r="B510" s="22" t="s">
        <v>10</v>
      </c>
      <c r="C510" s="22" t="s">
        <v>1173</v>
      </c>
      <c r="D510" s="22" t="s">
        <v>1217</v>
      </c>
      <c r="E510" s="22" t="s">
        <v>7616</v>
      </c>
      <c r="F510" s="22">
        <v>32.540999999999997</v>
      </c>
      <c r="G510" s="22">
        <v>44.325000000000003</v>
      </c>
      <c r="H510" s="21" t="s">
        <v>802</v>
      </c>
      <c r="I510" s="21" t="s">
        <v>1176</v>
      </c>
      <c r="J510" s="21" t="s">
        <v>1218</v>
      </c>
      <c r="K510" s="24">
        <v>20</v>
      </c>
      <c r="L510" s="24">
        <v>120</v>
      </c>
      <c r="M510" s="23">
        <v>4</v>
      </c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3</v>
      </c>
      <c r="Z510" s="23"/>
      <c r="AA510" s="23">
        <v>13</v>
      </c>
      <c r="AB510" s="23"/>
      <c r="AC510" s="23"/>
      <c r="AD510" s="23"/>
      <c r="AE510" s="23"/>
      <c r="AF510" s="23">
        <v>13</v>
      </c>
      <c r="AG510" s="23"/>
      <c r="AH510" s="23"/>
      <c r="AI510" s="23"/>
      <c r="AJ510" s="23"/>
      <c r="AK510" s="23">
        <v>7</v>
      </c>
      <c r="AL510" s="23"/>
      <c r="AM510" s="23"/>
      <c r="AN510" s="23"/>
      <c r="AO510" s="23"/>
      <c r="AP510" s="23">
        <v>3</v>
      </c>
      <c r="AQ510" s="23">
        <v>13</v>
      </c>
      <c r="AR510" s="23">
        <v>2</v>
      </c>
      <c r="AS510" s="23">
        <v>2</v>
      </c>
      <c r="AT510" s="23"/>
      <c r="AU510" s="14" t="str">
        <f>HYPERLINK("http://www.openstreetmap.org/?mlat=32.541&amp;mlon=44.325&amp;zoom=12#map=12/32.541/44.325","Maplink1")</f>
        <v>Maplink1</v>
      </c>
      <c r="AV510" s="14" t="str">
        <f>HYPERLINK("https://www.google.iq/maps/search/+32.541,44.325/@32.541,44.325,14z?hl=en","Maplink2")</f>
        <v>Maplink2</v>
      </c>
      <c r="AW510" s="14" t="str">
        <f>HYPERLINK("http://www.bing.com/maps/?lvl=14&amp;sty=h&amp;cp=32.541~44.325&amp;sp=point.32.541_44.325_Al Hamam","Maplink3")</f>
        <v>Maplink3</v>
      </c>
    </row>
    <row r="511" spans="1:49" ht="15" customHeight="1" x14ac:dyDescent="0.25">
      <c r="A511" s="21">
        <v>22136</v>
      </c>
      <c r="B511" s="22" t="s">
        <v>10</v>
      </c>
      <c r="C511" s="22" t="s">
        <v>1173</v>
      </c>
      <c r="D511" s="22" t="s">
        <v>1219</v>
      </c>
      <c r="E511" s="22" t="s">
        <v>1220</v>
      </c>
      <c r="F511" s="22">
        <v>32.442388999999999</v>
      </c>
      <c r="G511" s="22">
        <v>44.392499999999998</v>
      </c>
      <c r="H511" s="21" t="s">
        <v>802</v>
      </c>
      <c r="I511" s="21" t="s">
        <v>1176</v>
      </c>
      <c r="J511" s="21" t="s">
        <v>1221</v>
      </c>
      <c r="K511" s="24">
        <v>86</v>
      </c>
      <c r="L511" s="24">
        <v>516</v>
      </c>
      <c r="M511" s="23">
        <v>31</v>
      </c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52</v>
      </c>
      <c r="Z511" s="23"/>
      <c r="AA511" s="23">
        <v>3</v>
      </c>
      <c r="AB511" s="23"/>
      <c r="AC511" s="23"/>
      <c r="AD511" s="23"/>
      <c r="AE511" s="23"/>
      <c r="AF511" s="23">
        <v>8</v>
      </c>
      <c r="AG511" s="23"/>
      <c r="AH511" s="23"/>
      <c r="AI511" s="23"/>
      <c r="AJ511" s="23"/>
      <c r="AK511" s="23">
        <v>78</v>
      </c>
      <c r="AL511" s="23"/>
      <c r="AM511" s="23"/>
      <c r="AN511" s="23"/>
      <c r="AO511" s="23"/>
      <c r="AP511" s="23">
        <v>37</v>
      </c>
      <c r="AQ511" s="23">
        <v>18</v>
      </c>
      <c r="AR511" s="23">
        <v>23</v>
      </c>
      <c r="AS511" s="23">
        <v>8</v>
      </c>
      <c r="AT511" s="23"/>
      <c r="AU511" s="14" t="str">
        <f>HYPERLINK("http://www.openstreetmap.org/?mlat=32.4424&amp;mlon=44.3925&amp;zoom=12#map=12/32.4424/44.3925","Maplink1")</f>
        <v>Maplink1</v>
      </c>
      <c r="AV511" s="14" t="str">
        <f>HYPERLINK("https://www.google.iq/maps/search/+32.4424,44.3925/@32.4424,44.3925,14z?hl=en","Maplink2")</f>
        <v>Maplink2</v>
      </c>
      <c r="AW511" s="14" t="str">
        <f>HYPERLINK("http://www.bing.com/maps/?lvl=14&amp;sty=h&amp;cp=32.4424~44.3925&amp;sp=point.32.4424_44.3925_Al Hay Al Askary-Street 80","Maplink3")</f>
        <v>Maplink3</v>
      </c>
    </row>
    <row r="512" spans="1:49" ht="15" customHeight="1" x14ac:dyDescent="0.25">
      <c r="A512" s="21">
        <v>23948</v>
      </c>
      <c r="B512" s="22" t="s">
        <v>10</v>
      </c>
      <c r="C512" s="22" t="s">
        <v>1173</v>
      </c>
      <c r="D512" s="22" t="s">
        <v>1222</v>
      </c>
      <c r="E512" s="22" t="s">
        <v>1223</v>
      </c>
      <c r="F512" s="22">
        <v>32.493037000000001</v>
      </c>
      <c r="G512" s="22">
        <v>44.427377</v>
      </c>
      <c r="H512" s="21" t="s">
        <v>802</v>
      </c>
      <c r="I512" s="21" t="s">
        <v>1176</v>
      </c>
      <c r="J512" s="21" t="s">
        <v>1224</v>
      </c>
      <c r="K512" s="24">
        <v>22</v>
      </c>
      <c r="L512" s="24">
        <v>132</v>
      </c>
      <c r="M512" s="23">
        <v>12</v>
      </c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>
        <v>10</v>
      </c>
      <c r="Z512" s="23"/>
      <c r="AA512" s="23"/>
      <c r="AB512" s="23"/>
      <c r="AC512" s="23"/>
      <c r="AD512" s="23"/>
      <c r="AE512" s="23"/>
      <c r="AF512" s="23">
        <v>4</v>
      </c>
      <c r="AG512" s="23"/>
      <c r="AH512" s="23"/>
      <c r="AI512" s="23"/>
      <c r="AJ512" s="23"/>
      <c r="AK512" s="23">
        <v>18</v>
      </c>
      <c r="AL512" s="23"/>
      <c r="AM512" s="23"/>
      <c r="AN512" s="23"/>
      <c r="AO512" s="23">
        <v>4</v>
      </c>
      <c r="AP512" s="23">
        <v>9</v>
      </c>
      <c r="AQ512" s="23">
        <v>5</v>
      </c>
      <c r="AR512" s="23">
        <v>3</v>
      </c>
      <c r="AS512" s="23">
        <v>1</v>
      </c>
      <c r="AT512" s="23"/>
      <c r="AU512" s="14" t="str">
        <f>HYPERLINK("http://www.openstreetmap.org/?mlat=32.493&amp;mlon=44.4274&amp;zoom=12#map=12/32.493/44.4274","Maplink1")</f>
        <v>Maplink1</v>
      </c>
      <c r="AV512" s="14" t="str">
        <f>HYPERLINK("https://www.google.iq/maps/search/+32.493,44.4274/@32.493,44.4274,14z?hl=en","Maplink2")</f>
        <v>Maplink2</v>
      </c>
      <c r="AW512" s="14" t="str">
        <f>HYPERLINK("http://www.bing.com/maps/?lvl=14&amp;sty=h&amp;cp=32.493~44.4274&amp;sp=point.32.493_44.4274_Al Hukam Al Rafdeen","Maplink3")</f>
        <v>Maplink3</v>
      </c>
    </row>
    <row r="513" spans="1:49" ht="15" customHeight="1" x14ac:dyDescent="0.25">
      <c r="A513" s="21">
        <v>21666</v>
      </c>
      <c r="B513" s="22" t="s">
        <v>10</v>
      </c>
      <c r="C513" s="22" t="s">
        <v>1173</v>
      </c>
      <c r="D513" s="22" t="s">
        <v>1225</v>
      </c>
      <c r="E513" s="22" t="s">
        <v>1226</v>
      </c>
      <c r="F513" s="22">
        <v>32.473531999999999</v>
      </c>
      <c r="G513" s="22">
        <v>44.429214000000002</v>
      </c>
      <c r="H513" s="21" t="s">
        <v>802</v>
      </c>
      <c r="I513" s="21" t="s">
        <v>1176</v>
      </c>
      <c r="J513" s="21" t="s">
        <v>1227</v>
      </c>
      <c r="K513" s="24">
        <v>15</v>
      </c>
      <c r="L513" s="24">
        <v>90</v>
      </c>
      <c r="M513" s="23">
        <v>6</v>
      </c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9</v>
      </c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>
        <v>15</v>
      </c>
      <c r="AL513" s="23"/>
      <c r="AM513" s="23"/>
      <c r="AN513" s="23"/>
      <c r="AO513" s="23"/>
      <c r="AP513" s="23">
        <v>9</v>
      </c>
      <c r="AQ513" s="23"/>
      <c r="AR513" s="23">
        <v>6</v>
      </c>
      <c r="AS513" s="23"/>
      <c r="AT513" s="23"/>
      <c r="AU513" s="14" t="str">
        <f>HYPERLINK("http://www.openstreetmap.org/?mlat=32.4735&amp;mlon=44.4292&amp;zoom=12#map=12/32.4735/44.4292","Maplink1")</f>
        <v>Maplink1</v>
      </c>
      <c r="AV513" s="14" t="str">
        <f>HYPERLINK("https://www.google.iq/maps/search/+32.4735,44.4292/@32.4735,44.4292,14z?hl=en","Maplink2")</f>
        <v>Maplink2</v>
      </c>
      <c r="AW513" s="14" t="str">
        <f>HYPERLINK("http://www.bing.com/maps/?lvl=14&amp;sty=h&amp;cp=32.4735~44.4292&amp;sp=point.32.4735_44.4292_Al Ibrahimiyah-Al Mashtah","Maplink3")</f>
        <v>Maplink3</v>
      </c>
    </row>
    <row r="514" spans="1:49" ht="15" customHeight="1" x14ac:dyDescent="0.25">
      <c r="A514" s="21">
        <v>25122</v>
      </c>
      <c r="B514" s="22" t="s">
        <v>10</v>
      </c>
      <c r="C514" s="22" t="s">
        <v>1173</v>
      </c>
      <c r="D514" s="22" t="s">
        <v>1228</v>
      </c>
      <c r="E514" s="22" t="s">
        <v>1229</v>
      </c>
      <c r="F514" s="22">
        <v>32.216161</v>
      </c>
      <c r="G514" s="22">
        <v>44.444529000000003</v>
      </c>
      <c r="H514" s="21" t="s">
        <v>802</v>
      </c>
      <c r="I514" s="21" t="s">
        <v>1176</v>
      </c>
      <c r="J514" s="21"/>
      <c r="K514" s="24">
        <v>13</v>
      </c>
      <c r="L514" s="24">
        <v>78</v>
      </c>
      <c r="M514" s="23">
        <v>1</v>
      </c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>
        <v>12</v>
      </c>
      <c r="Z514" s="23"/>
      <c r="AA514" s="23"/>
      <c r="AB514" s="23"/>
      <c r="AC514" s="23"/>
      <c r="AD514" s="23"/>
      <c r="AE514" s="23"/>
      <c r="AF514" s="23">
        <v>1</v>
      </c>
      <c r="AG514" s="23"/>
      <c r="AH514" s="23"/>
      <c r="AI514" s="23"/>
      <c r="AJ514" s="23">
        <v>12</v>
      </c>
      <c r="AK514" s="23"/>
      <c r="AL514" s="23"/>
      <c r="AM514" s="23"/>
      <c r="AN514" s="23"/>
      <c r="AO514" s="23"/>
      <c r="AP514" s="23"/>
      <c r="AQ514" s="23">
        <v>12</v>
      </c>
      <c r="AR514" s="23"/>
      <c r="AS514" s="23">
        <v>1</v>
      </c>
      <c r="AT514" s="23"/>
      <c r="AU514" s="14" t="str">
        <f>HYPERLINK("http://www.openstreetmap.org/?mlat=32.2162&amp;mlon=44.4445&amp;zoom=12#map=12/32.2162/44.4445","Maplink1")</f>
        <v>Maplink1</v>
      </c>
      <c r="AV514" s="14" t="str">
        <f>HYPERLINK("https://www.google.iq/maps/search/+32.2162,44.4445/@32.2162,44.4445,14z?hl=en","Maplink2")</f>
        <v>Maplink2</v>
      </c>
      <c r="AW514" s="14" t="str">
        <f>HYPERLINK("http://www.bing.com/maps/?lvl=14&amp;sty=h&amp;cp=32.2162~44.4445&amp;sp=point.32.2162_44.4445_Al Imam Zaid","Maplink3")</f>
        <v>Maplink3</v>
      </c>
    </row>
    <row r="515" spans="1:49" ht="15" customHeight="1" x14ac:dyDescent="0.25">
      <c r="A515" s="21">
        <v>23954</v>
      </c>
      <c r="B515" s="22" t="s">
        <v>10</v>
      </c>
      <c r="C515" s="22" t="s">
        <v>1173</v>
      </c>
      <c r="D515" s="22" t="s">
        <v>1230</v>
      </c>
      <c r="E515" s="22" t="s">
        <v>1231</v>
      </c>
      <c r="F515" s="22">
        <v>32.464517999999998</v>
      </c>
      <c r="G515" s="22">
        <v>44.417059999999999</v>
      </c>
      <c r="H515" s="21" t="s">
        <v>802</v>
      </c>
      <c r="I515" s="21" t="s">
        <v>1176</v>
      </c>
      <c r="J515" s="21" t="s">
        <v>1232</v>
      </c>
      <c r="K515" s="24">
        <v>13</v>
      </c>
      <c r="L515" s="24">
        <v>78</v>
      </c>
      <c r="M515" s="23">
        <v>10</v>
      </c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>
        <v>1</v>
      </c>
      <c r="Z515" s="23"/>
      <c r="AA515" s="23">
        <v>2</v>
      </c>
      <c r="AB515" s="23"/>
      <c r="AC515" s="23"/>
      <c r="AD515" s="23"/>
      <c r="AE515" s="23"/>
      <c r="AF515" s="23"/>
      <c r="AG515" s="23"/>
      <c r="AH515" s="23"/>
      <c r="AI515" s="23"/>
      <c r="AJ515" s="23"/>
      <c r="AK515" s="23">
        <v>13</v>
      </c>
      <c r="AL515" s="23"/>
      <c r="AM515" s="23"/>
      <c r="AN515" s="23"/>
      <c r="AO515" s="23"/>
      <c r="AP515" s="23">
        <v>1</v>
      </c>
      <c r="AQ515" s="23">
        <v>1</v>
      </c>
      <c r="AR515" s="23">
        <v>6</v>
      </c>
      <c r="AS515" s="23">
        <v>5</v>
      </c>
      <c r="AT515" s="23"/>
      <c r="AU515" s="14" t="str">
        <f>HYPERLINK("http://www.openstreetmap.org/?mlat=32.4645&amp;mlon=44.4171&amp;zoom=12#map=12/32.4645/44.4171","Maplink1")</f>
        <v>Maplink1</v>
      </c>
      <c r="AV515" s="14" t="str">
        <f>HYPERLINK("https://www.google.iq/maps/search/+32.4645,44.4171/@32.4645,44.4171,14z?hl=en","Maplink2")</f>
        <v>Maplink2</v>
      </c>
      <c r="AW515" s="14" t="str">
        <f>HYPERLINK("http://www.bing.com/maps/?lvl=14&amp;sty=h&amp;cp=32.4645~44.4171&amp;sp=point.32.4645_44.4171_Al Iskan","Maplink3")</f>
        <v>Maplink3</v>
      </c>
    </row>
    <row r="516" spans="1:49" ht="15" customHeight="1" x14ac:dyDescent="0.25">
      <c r="A516" s="21">
        <v>21678</v>
      </c>
      <c r="B516" s="22" t="s">
        <v>10</v>
      </c>
      <c r="C516" s="22" t="s">
        <v>1173</v>
      </c>
      <c r="D516" s="22" t="s">
        <v>1233</v>
      </c>
      <c r="E516" s="22" t="s">
        <v>1234</v>
      </c>
      <c r="F516" s="22">
        <v>32.475324000000001</v>
      </c>
      <c r="G516" s="22">
        <v>44.437494000000001</v>
      </c>
      <c r="H516" s="21" t="s">
        <v>802</v>
      </c>
      <c r="I516" s="21" t="s">
        <v>1176</v>
      </c>
      <c r="J516" s="21" t="s">
        <v>1235</v>
      </c>
      <c r="K516" s="24">
        <v>40</v>
      </c>
      <c r="L516" s="24">
        <v>240</v>
      </c>
      <c r="M516" s="23">
        <v>1</v>
      </c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39</v>
      </c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>
        <v>26</v>
      </c>
      <c r="AL516" s="23"/>
      <c r="AM516" s="23">
        <v>14</v>
      </c>
      <c r="AN516" s="23"/>
      <c r="AO516" s="23"/>
      <c r="AP516" s="23">
        <v>39</v>
      </c>
      <c r="AQ516" s="23"/>
      <c r="AR516" s="23">
        <v>1</v>
      </c>
      <c r="AS516" s="23"/>
      <c r="AT516" s="23"/>
      <c r="AU516" s="14" t="str">
        <f>HYPERLINK("http://www.openstreetmap.org/?mlat=32.4753&amp;mlon=44.4375&amp;zoom=12#map=12/32.4753/44.4375","Maplink1")</f>
        <v>Maplink1</v>
      </c>
      <c r="AV516" s="14" t="str">
        <f>HYPERLINK("https://www.google.iq/maps/search/+32.4753,44.4375/@32.4753,44.4375,14z?hl=en","Maplink2")</f>
        <v>Maplink2</v>
      </c>
      <c r="AW516" s="14" t="str">
        <f>HYPERLINK("http://www.bing.com/maps/?lvl=14&amp;sty=h&amp;cp=32.4753~44.4375&amp;sp=point.32.4753_44.4375_Al Jamieen","Maplink3")</f>
        <v>Maplink3</v>
      </c>
    </row>
    <row r="517" spans="1:49" ht="15" customHeight="1" x14ac:dyDescent="0.25">
      <c r="A517" s="21">
        <v>24273</v>
      </c>
      <c r="B517" s="22" t="s">
        <v>10</v>
      </c>
      <c r="C517" s="22" t="s">
        <v>1173</v>
      </c>
      <c r="D517" s="22" t="s">
        <v>1236</v>
      </c>
      <c r="E517" s="22" t="s">
        <v>1237</v>
      </c>
      <c r="F517" s="22">
        <v>32.526527999999999</v>
      </c>
      <c r="G517" s="22">
        <v>44.433086000000003</v>
      </c>
      <c r="H517" s="21" t="s">
        <v>802</v>
      </c>
      <c r="I517" s="21" t="s">
        <v>1176</v>
      </c>
      <c r="J517" s="21" t="s">
        <v>1238</v>
      </c>
      <c r="K517" s="24">
        <v>34</v>
      </c>
      <c r="L517" s="24">
        <v>204</v>
      </c>
      <c r="M517" s="23">
        <v>5</v>
      </c>
      <c r="N517" s="23"/>
      <c r="O517" s="23"/>
      <c r="P517" s="23"/>
      <c r="Q517" s="23"/>
      <c r="R517" s="23">
        <v>1</v>
      </c>
      <c r="S517" s="23"/>
      <c r="T517" s="23"/>
      <c r="U517" s="23"/>
      <c r="V517" s="23"/>
      <c r="W517" s="23"/>
      <c r="X517" s="23"/>
      <c r="Y517" s="23">
        <v>27</v>
      </c>
      <c r="Z517" s="23"/>
      <c r="AA517" s="23">
        <v>1</v>
      </c>
      <c r="AB517" s="23"/>
      <c r="AC517" s="23"/>
      <c r="AD517" s="23"/>
      <c r="AE517" s="23"/>
      <c r="AF517" s="23">
        <v>10</v>
      </c>
      <c r="AG517" s="23"/>
      <c r="AH517" s="23"/>
      <c r="AI517" s="23"/>
      <c r="AJ517" s="23"/>
      <c r="AK517" s="23">
        <v>24</v>
      </c>
      <c r="AL517" s="23"/>
      <c r="AM517" s="23"/>
      <c r="AN517" s="23"/>
      <c r="AO517" s="23"/>
      <c r="AP517" s="23">
        <v>28</v>
      </c>
      <c r="AQ517" s="23">
        <v>2</v>
      </c>
      <c r="AR517" s="23">
        <v>2</v>
      </c>
      <c r="AS517" s="23">
        <v>2</v>
      </c>
      <c r="AT517" s="23"/>
      <c r="AU517" s="14" t="str">
        <f>HYPERLINK("http://www.openstreetmap.org/?mlat=32.5265&amp;mlon=44.4331&amp;zoom=12#map=12/32.5265/44.4331","Maplink1")</f>
        <v>Maplink1</v>
      </c>
      <c r="AV517" s="14" t="str">
        <f>HYPERLINK("https://www.google.iq/maps/search/+32.5265,44.4331/@32.5265,44.4331,14z?hl=en","Maplink2")</f>
        <v>Maplink2</v>
      </c>
      <c r="AW517" s="14" t="str">
        <f>HYPERLINK("http://www.bing.com/maps/?lvl=14&amp;sty=h&amp;cp=32.5265~44.4331&amp;sp=point.32.5265_44.4331_Al Jamjamah","Maplink3")</f>
        <v>Maplink3</v>
      </c>
    </row>
    <row r="518" spans="1:49" ht="15" customHeight="1" x14ac:dyDescent="0.25">
      <c r="A518" s="21">
        <v>24162</v>
      </c>
      <c r="B518" s="22" t="s">
        <v>10</v>
      </c>
      <c r="C518" s="22" t="s">
        <v>1173</v>
      </c>
      <c r="D518" s="22" t="s">
        <v>1239</v>
      </c>
      <c r="E518" s="22" t="s">
        <v>1240</v>
      </c>
      <c r="F518" s="22">
        <v>32.514487000000003</v>
      </c>
      <c r="G518" s="22">
        <v>44.443320999999997</v>
      </c>
      <c r="H518" s="21" t="s">
        <v>802</v>
      </c>
      <c r="I518" s="21" t="s">
        <v>1176</v>
      </c>
      <c r="J518" s="21" t="s">
        <v>1241</v>
      </c>
      <c r="K518" s="24">
        <v>10</v>
      </c>
      <c r="L518" s="24">
        <v>60</v>
      </c>
      <c r="M518" s="23">
        <v>7</v>
      </c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>
        <v>3</v>
      </c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>
        <v>10</v>
      </c>
      <c r="AL518" s="23"/>
      <c r="AM518" s="23"/>
      <c r="AN518" s="23"/>
      <c r="AO518" s="23"/>
      <c r="AP518" s="23">
        <v>3</v>
      </c>
      <c r="AQ518" s="23"/>
      <c r="AR518" s="23">
        <v>7</v>
      </c>
      <c r="AS518" s="23"/>
      <c r="AT518" s="23"/>
      <c r="AU518" s="14" t="str">
        <f>HYPERLINK("http://www.openstreetmap.org/?mlat=32.5145&amp;mlon=44.4433&amp;zoom=12#map=12/32.5145/44.4433","Maplink1")</f>
        <v>Maplink1</v>
      </c>
      <c r="AV518" s="14" t="str">
        <f>HYPERLINK("https://www.google.iq/maps/search/+32.5145,44.4433/@32.5145,44.4433,14z?hl=en","Maplink2")</f>
        <v>Maplink2</v>
      </c>
      <c r="AW518" s="14" t="str">
        <f>HYPERLINK("http://www.bing.com/maps/?lvl=14&amp;sty=h&amp;cp=32.5145~44.4433&amp;sp=point.32.5145_44.4433_Al jazaer","Maplink3")</f>
        <v>Maplink3</v>
      </c>
    </row>
    <row r="519" spans="1:49" ht="15" customHeight="1" x14ac:dyDescent="0.25">
      <c r="A519" s="21">
        <v>23956</v>
      </c>
      <c r="B519" s="22" t="s">
        <v>10</v>
      </c>
      <c r="C519" s="22" t="s">
        <v>1173</v>
      </c>
      <c r="D519" s="22" t="s">
        <v>1242</v>
      </c>
      <c r="E519" s="22" t="s">
        <v>1243</v>
      </c>
      <c r="F519" s="22">
        <v>32.503481999999998</v>
      </c>
      <c r="G519" s="22">
        <v>44.417059999999999</v>
      </c>
      <c r="H519" s="21" t="s">
        <v>802</v>
      </c>
      <c r="I519" s="21" t="s">
        <v>1176</v>
      </c>
      <c r="J519" s="21" t="s">
        <v>1244</v>
      </c>
      <c r="K519" s="24">
        <v>107</v>
      </c>
      <c r="L519" s="24">
        <v>642</v>
      </c>
      <c r="M519" s="23">
        <v>11</v>
      </c>
      <c r="N519" s="23"/>
      <c r="O519" s="23">
        <v>1</v>
      </c>
      <c r="P519" s="23"/>
      <c r="Q519" s="23"/>
      <c r="R519" s="23">
        <v>2</v>
      </c>
      <c r="S519" s="23"/>
      <c r="T519" s="23"/>
      <c r="U519" s="23"/>
      <c r="V519" s="23"/>
      <c r="W519" s="23"/>
      <c r="X519" s="23"/>
      <c r="Y519" s="23">
        <v>93</v>
      </c>
      <c r="Z519" s="23"/>
      <c r="AA519" s="23"/>
      <c r="AB519" s="23"/>
      <c r="AC519" s="23"/>
      <c r="AD519" s="23"/>
      <c r="AE519" s="23"/>
      <c r="AF519" s="23"/>
      <c r="AG519" s="23">
        <v>88</v>
      </c>
      <c r="AH519" s="23"/>
      <c r="AI519" s="23"/>
      <c r="AJ519" s="23"/>
      <c r="AK519" s="23">
        <v>19</v>
      </c>
      <c r="AL519" s="23"/>
      <c r="AM519" s="23"/>
      <c r="AN519" s="23"/>
      <c r="AO519" s="23">
        <v>1</v>
      </c>
      <c r="AP519" s="23">
        <v>93</v>
      </c>
      <c r="AQ519" s="23">
        <v>2</v>
      </c>
      <c r="AR519" s="23">
        <v>8</v>
      </c>
      <c r="AS519" s="23">
        <v>3</v>
      </c>
      <c r="AT519" s="23"/>
      <c r="AU519" s="14" t="str">
        <f>HYPERLINK("http://www.openstreetmap.org/?mlat=32.5035&amp;mlon=44.4171&amp;zoom=12#map=12/32.5035/44.4171","Maplink1")</f>
        <v>Maplink1</v>
      </c>
      <c r="AV519" s="14" t="str">
        <f>HYPERLINK("https://www.google.iq/maps/search/+32.5035,44.4171/@32.5035,44.4171,14z?hl=en","Maplink2")</f>
        <v>Maplink2</v>
      </c>
      <c r="AW519" s="14" t="str">
        <f>HYPERLINK("http://www.bing.com/maps/?lvl=14&amp;sty=h&amp;cp=32.5035~44.4171&amp;sp=point.32.5035_44.4171_Al Jazrah-Siha","Maplink3")</f>
        <v>Maplink3</v>
      </c>
    </row>
    <row r="520" spans="1:49" ht="15" customHeight="1" x14ac:dyDescent="0.25">
      <c r="A520" s="21">
        <v>24295</v>
      </c>
      <c r="B520" s="22" t="s">
        <v>10</v>
      </c>
      <c r="C520" s="22" t="s">
        <v>1173</v>
      </c>
      <c r="D520" s="22" t="s">
        <v>1245</v>
      </c>
      <c r="E520" s="22" t="s">
        <v>7617</v>
      </c>
      <c r="F520" s="22">
        <v>32.231608000000001</v>
      </c>
      <c r="G520" s="22">
        <v>44.384419999999999</v>
      </c>
      <c r="H520" s="21" t="s">
        <v>802</v>
      </c>
      <c r="I520" s="21" t="s">
        <v>1176</v>
      </c>
      <c r="J520" s="21" t="s">
        <v>1246</v>
      </c>
      <c r="K520" s="24">
        <v>27</v>
      </c>
      <c r="L520" s="24">
        <v>162</v>
      </c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>
        <v>27</v>
      </c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>
        <v>21</v>
      </c>
      <c r="AK520" s="23">
        <v>6</v>
      </c>
      <c r="AL520" s="23"/>
      <c r="AM520" s="23"/>
      <c r="AN520" s="23"/>
      <c r="AO520" s="23"/>
      <c r="AP520" s="23">
        <v>27</v>
      </c>
      <c r="AQ520" s="23"/>
      <c r="AR520" s="23"/>
      <c r="AS520" s="23"/>
      <c r="AT520" s="23"/>
      <c r="AU520" s="14" t="str">
        <f>HYPERLINK("http://www.openstreetmap.org/?mlat=32.2316&amp;mlon=44.3844&amp;zoom=12#map=12/32.2316/44.3844","Maplink1")</f>
        <v>Maplink1</v>
      </c>
      <c r="AV520" s="14" t="str">
        <f>HYPERLINK("https://www.google.iq/maps/search/+32.2316,44.3844/@32.2316,44.3844,14z?hl=en","Maplink2")</f>
        <v>Maplink2</v>
      </c>
      <c r="AW520" s="14" t="str">
        <f>HYPERLINK("http://www.bing.com/maps/?lvl=14&amp;sty=h&amp;cp=32.2316~44.3844&amp;sp=point.32.2316_44.3844_Al Kafal Area-Al Shahbiyah","Maplink3")</f>
        <v>Maplink3</v>
      </c>
    </row>
    <row r="521" spans="1:49" ht="15" customHeight="1" x14ac:dyDescent="0.25">
      <c r="A521" s="21">
        <v>24563</v>
      </c>
      <c r="B521" s="22" t="s">
        <v>10</v>
      </c>
      <c r="C521" s="22" t="s">
        <v>1173</v>
      </c>
      <c r="D521" s="22" t="s">
        <v>1247</v>
      </c>
      <c r="E521" s="22" t="s">
        <v>7618</v>
      </c>
      <c r="F521" s="22">
        <v>32.232799999999997</v>
      </c>
      <c r="G521" s="22">
        <v>44.355499999999999</v>
      </c>
      <c r="H521" s="21" t="s">
        <v>802</v>
      </c>
      <c r="I521" s="21" t="s">
        <v>1176</v>
      </c>
      <c r="J521" s="21"/>
      <c r="K521" s="24">
        <v>23</v>
      </c>
      <c r="L521" s="24">
        <v>138</v>
      </c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23</v>
      </c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>
        <v>20</v>
      </c>
      <c r="AK521" s="23">
        <v>3</v>
      </c>
      <c r="AL521" s="23"/>
      <c r="AM521" s="23"/>
      <c r="AN521" s="23"/>
      <c r="AO521" s="23"/>
      <c r="AP521" s="23">
        <v>18</v>
      </c>
      <c r="AQ521" s="23">
        <v>5</v>
      </c>
      <c r="AR521" s="23"/>
      <c r="AS521" s="23"/>
      <c r="AT521" s="23"/>
      <c r="AU521" s="14" t="str">
        <f>HYPERLINK("http://www.openstreetmap.org/?mlat=32.2328&amp;mlon=44.3555&amp;zoom=12#map=12/32.2328/44.3555","Maplink1")</f>
        <v>Maplink1</v>
      </c>
      <c r="AV521" s="14" t="str">
        <f>HYPERLINK("https://www.google.iq/maps/search/+32.2328,44.3555/@32.2328,44.3555,14z?hl=en","Maplink2")</f>
        <v>Maplink2</v>
      </c>
      <c r="AW521" s="14" t="str">
        <f>HYPERLINK("http://www.bing.com/maps/?lvl=14&amp;sty=h&amp;cp=32.2328~44.3555&amp;sp=point.32.2328_44.3555_Al Kafal-Khan Sayed Nour","Maplink3")</f>
        <v>Maplink3</v>
      </c>
    </row>
    <row r="522" spans="1:49" ht="15" customHeight="1" x14ac:dyDescent="0.25">
      <c r="A522" s="21">
        <v>24562</v>
      </c>
      <c r="B522" s="22" t="s">
        <v>10</v>
      </c>
      <c r="C522" s="22" t="s">
        <v>1173</v>
      </c>
      <c r="D522" s="22" t="s">
        <v>1248</v>
      </c>
      <c r="E522" s="22" t="s">
        <v>7619</v>
      </c>
      <c r="F522" s="22">
        <v>32.220399</v>
      </c>
      <c r="G522" s="22">
        <v>44.366945000000001</v>
      </c>
      <c r="H522" s="21" t="s">
        <v>802</v>
      </c>
      <c r="I522" s="21" t="s">
        <v>1176</v>
      </c>
      <c r="J522" s="21"/>
      <c r="K522" s="24">
        <v>12</v>
      </c>
      <c r="L522" s="24">
        <v>72</v>
      </c>
      <c r="M522" s="23">
        <v>4</v>
      </c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8</v>
      </c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>
        <v>7</v>
      </c>
      <c r="AL522" s="23"/>
      <c r="AM522" s="23">
        <v>5</v>
      </c>
      <c r="AN522" s="23"/>
      <c r="AO522" s="23"/>
      <c r="AP522" s="23">
        <v>8</v>
      </c>
      <c r="AQ522" s="23"/>
      <c r="AR522" s="23">
        <v>4</v>
      </c>
      <c r="AS522" s="23"/>
      <c r="AT522" s="23"/>
      <c r="AU522" s="14" t="str">
        <f>HYPERLINK("http://www.openstreetmap.org/?mlat=32.2204&amp;mlon=44.3669&amp;zoom=12#map=12/32.2204/44.3669","Maplink1")</f>
        <v>Maplink1</v>
      </c>
      <c r="AV522" s="14" t="str">
        <f>HYPERLINK("https://www.google.iq/maps/search/+32.2204,44.3669/@32.2204,44.3669,14z?hl=en","Maplink2")</f>
        <v>Maplink2</v>
      </c>
      <c r="AW522" s="14" t="str">
        <f>HYPERLINK("http://www.bing.com/maps/?lvl=14&amp;sty=h&amp;cp=32.2204~44.3669&amp;sp=point.32.2204_44.3669_Al Kafel-7 Nissan","Maplink3")</f>
        <v>Maplink3</v>
      </c>
    </row>
    <row r="523" spans="1:49" ht="15" customHeight="1" x14ac:dyDescent="0.25">
      <c r="A523" s="21">
        <v>24561</v>
      </c>
      <c r="B523" s="22" t="s">
        <v>10</v>
      </c>
      <c r="C523" s="22" t="s">
        <v>1173</v>
      </c>
      <c r="D523" s="22" t="s">
        <v>1249</v>
      </c>
      <c r="E523" s="22" t="s">
        <v>7620</v>
      </c>
      <c r="F523" s="22">
        <v>32.210057999999997</v>
      </c>
      <c r="G523" s="22">
        <v>44.371277999999997</v>
      </c>
      <c r="H523" s="21" t="s">
        <v>802</v>
      </c>
      <c r="I523" s="21" t="s">
        <v>1176</v>
      </c>
      <c r="J523" s="21"/>
      <c r="K523" s="24">
        <v>35</v>
      </c>
      <c r="L523" s="24">
        <v>210</v>
      </c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>
        <v>35</v>
      </c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>
        <v>35</v>
      </c>
      <c r="AL523" s="23"/>
      <c r="AM523" s="23"/>
      <c r="AN523" s="23"/>
      <c r="AO523" s="23"/>
      <c r="AP523" s="23">
        <v>5</v>
      </c>
      <c r="AQ523" s="23">
        <v>30</v>
      </c>
      <c r="AR523" s="23"/>
      <c r="AS523" s="23"/>
      <c r="AT523" s="23"/>
      <c r="AU523" s="14" t="str">
        <f>HYPERLINK("http://www.openstreetmap.org/?mlat=32.2101&amp;mlon=44.3713&amp;zoom=12#map=12/32.2101/44.3713","Maplink1")</f>
        <v>Maplink1</v>
      </c>
      <c r="AV523" s="14" t="str">
        <f>HYPERLINK("https://www.google.iq/maps/search/+32.2101,44.3713/@32.2101,44.3713,14z?hl=en","Maplink2")</f>
        <v>Maplink2</v>
      </c>
      <c r="AW523" s="14" t="str">
        <f>HYPERLINK("http://www.bing.com/maps/?lvl=14&amp;sty=h&amp;cp=32.2101~44.3713&amp;sp=point.32.2101_44.3713_Al Kefel-Al Qasaba Al Qadima","Maplink3")</f>
        <v>Maplink3</v>
      </c>
    </row>
    <row r="524" spans="1:49" ht="15" customHeight="1" x14ac:dyDescent="0.25">
      <c r="A524" s="21">
        <v>25605</v>
      </c>
      <c r="B524" s="22" t="s">
        <v>10</v>
      </c>
      <c r="C524" s="22" t="s">
        <v>1173</v>
      </c>
      <c r="D524" s="22" t="s">
        <v>1250</v>
      </c>
      <c r="E524" s="22" t="s">
        <v>7621</v>
      </c>
      <c r="F524" s="22">
        <v>32.30545</v>
      </c>
      <c r="G524" s="22">
        <v>44.454697000000003</v>
      </c>
      <c r="H524" s="21" t="s">
        <v>802</v>
      </c>
      <c r="I524" s="21" t="s">
        <v>1176</v>
      </c>
      <c r="J524" s="21"/>
      <c r="K524" s="24">
        <v>6</v>
      </c>
      <c r="L524" s="24">
        <v>36</v>
      </c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>
        <v>6</v>
      </c>
      <c r="Z524" s="23"/>
      <c r="AA524" s="23"/>
      <c r="AB524" s="23"/>
      <c r="AC524" s="23"/>
      <c r="AD524" s="23"/>
      <c r="AE524" s="23"/>
      <c r="AF524" s="23">
        <v>6</v>
      </c>
      <c r="AG524" s="23"/>
      <c r="AH524" s="23"/>
      <c r="AI524" s="23"/>
      <c r="AJ524" s="23"/>
      <c r="AK524" s="23"/>
      <c r="AL524" s="23"/>
      <c r="AM524" s="23"/>
      <c r="AN524" s="23"/>
      <c r="AO524" s="23"/>
      <c r="AP524" s="23">
        <v>6</v>
      </c>
      <c r="AQ524" s="23"/>
      <c r="AR524" s="23"/>
      <c r="AS524" s="23"/>
      <c r="AT524" s="23"/>
      <c r="AU524" s="14" t="str">
        <f>HYPERLINK("http://www.openstreetmap.org/?mlat=32.3055&amp;mlon=44.4547&amp;zoom=12#map=12/32.3055/44.4547","Maplink1")</f>
        <v>Maplink1</v>
      </c>
      <c r="AV524" s="14" t="str">
        <f>HYPERLINK("https://www.google.iq/maps/search/+32.3055,44.4547/@32.3055,44.4547,14z?hl=en","Maplink2")</f>
        <v>Maplink2</v>
      </c>
      <c r="AW524" s="14" t="str">
        <f>HYPERLINK("http://www.bing.com/maps/?lvl=14&amp;sty=h&amp;cp=32.3055~44.4547&amp;sp=point.32.3055_44.4547_Al Kifil-Al Emam Al Khidhir","Maplink3")</f>
        <v>Maplink3</v>
      </c>
    </row>
    <row r="525" spans="1:49" ht="15" customHeight="1" x14ac:dyDescent="0.25">
      <c r="A525" s="21">
        <v>25603</v>
      </c>
      <c r="B525" s="22" t="s">
        <v>10</v>
      </c>
      <c r="C525" s="22" t="s">
        <v>1173</v>
      </c>
      <c r="D525" s="22" t="s">
        <v>1251</v>
      </c>
      <c r="E525" s="22" t="s">
        <v>7622</v>
      </c>
      <c r="F525" s="22">
        <v>32.254576</v>
      </c>
      <c r="G525" s="22">
        <v>44.392484000000003</v>
      </c>
      <c r="H525" s="21" t="s">
        <v>802</v>
      </c>
      <c r="I525" s="21" t="s">
        <v>1176</v>
      </c>
      <c r="J525" s="21"/>
      <c r="K525" s="24">
        <v>11</v>
      </c>
      <c r="L525" s="24">
        <v>66</v>
      </c>
      <c r="M525" s="23">
        <v>1</v>
      </c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10</v>
      </c>
      <c r="Z525" s="23"/>
      <c r="AA525" s="23"/>
      <c r="AB525" s="23"/>
      <c r="AC525" s="23"/>
      <c r="AD525" s="23"/>
      <c r="AE525" s="23"/>
      <c r="AF525" s="23">
        <v>11</v>
      </c>
      <c r="AG525" s="23"/>
      <c r="AH525" s="23"/>
      <c r="AI525" s="23"/>
      <c r="AJ525" s="23"/>
      <c r="AK525" s="23"/>
      <c r="AL525" s="23"/>
      <c r="AM525" s="23"/>
      <c r="AN525" s="23"/>
      <c r="AO525" s="23"/>
      <c r="AP525" s="23">
        <v>10</v>
      </c>
      <c r="AQ525" s="23"/>
      <c r="AR525" s="23">
        <v>1</v>
      </c>
      <c r="AS525" s="23"/>
      <c r="AT525" s="23"/>
      <c r="AU525" s="14" t="str">
        <f>HYPERLINK("http://www.openstreetmap.org/?mlat=32.2546&amp;mlon=44.3925&amp;zoom=12#map=12/32.2546/44.3925","Maplink1")</f>
        <v>Maplink1</v>
      </c>
      <c r="AV525" s="14" t="str">
        <f>HYPERLINK("https://www.google.iq/maps/search/+32.2546,44.3925/@32.2546,44.3925,14z?hl=en","Maplink2")</f>
        <v>Maplink2</v>
      </c>
      <c r="AW525" s="14" t="str">
        <f>HYPERLINK("http://www.bing.com/maps/?lvl=14&amp;sty=h&amp;cp=32.2546~44.3925&amp;sp=point.32.2546_44.3925_Al Kifil-Al Meghadhbia","Maplink3")</f>
        <v>Maplink3</v>
      </c>
    </row>
    <row r="526" spans="1:49" ht="15" customHeight="1" x14ac:dyDescent="0.25">
      <c r="A526" s="21">
        <v>24564</v>
      </c>
      <c r="B526" s="22" t="s">
        <v>10</v>
      </c>
      <c r="C526" s="22" t="s">
        <v>1173</v>
      </c>
      <c r="D526" s="22" t="s">
        <v>8326</v>
      </c>
      <c r="E526" s="22" t="s">
        <v>8327</v>
      </c>
      <c r="F526" s="22">
        <v>32.2241</v>
      </c>
      <c r="G526" s="22">
        <v>44.344999999999999</v>
      </c>
      <c r="H526" s="21" t="s">
        <v>802</v>
      </c>
      <c r="I526" s="21" t="s">
        <v>1176</v>
      </c>
      <c r="J526" s="21"/>
      <c r="K526" s="24">
        <v>26</v>
      </c>
      <c r="L526" s="24">
        <v>156</v>
      </c>
      <c r="M526" s="23">
        <v>1</v>
      </c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>
        <v>25</v>
      </c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>
        <v>21</v>
      </c>
      <c r="AK526" s="23">
        <v>5</v>
      </c>
      <c r="AL526" s="23"/>
      <c r="AM526" s="23"/>
      <c r="AN526" s="23"/>
      <c r="AO526" s="23"/>
      <c r="AP526" s="23">
        <v>25</v>
      </c>
      <c r="AQ526" s="23"/>
      <c r="AR526" s="23"/>
      <c r="AS526" s="23">
        <v>1</v>
      </c>
      <c r="AT526" s="23"/>
      <c r="AU526" s="14" t="str">
        <f>HYPERLINK("http://www.openstreetmap.org/?mlat=32.2241&amp;mlon=44.345&amp;zoom=12#map=12/32.2241/44.345","Maplink1")</f>
        <v>Maplink1</v>
      </c>
      <c r="AV526" s="14" t="str">
        <f>HYPERLINK("https://www.google.iq/maps/search/+32.2241,44.345/@32.2241,44.345,14z?hl=en","Maplink2")</f>
        <v>Maplink2</v>
      </c>
      <c r="AW526" s="14" t="str">
        <f>HYPERLINK("http://www.bing.com/maps/?lvl=14&amp;sty=h&amp;cp=32.2241~44.345&amp;sp=point.32.2241_44.345_Al Kafal-Marthawil","Maplink3")</f>
        <v>Maplink3</v>
      </c>
    </row>
    <row r="527" spans="1:49" ht="15" customHeight="1" x14ac:dyDescent="0.25">
      <c r="A527" s="21">
        <v>24978</v>
      </c>
      <c r="B527" s="22" t="s">
        <v>10</v>
      </c>
      <c r="C527" s="22" t="s">
        <v>1173</v>
      </c>
      <c r="D527" s="22" t="s">
        <v>1252</v>
      </c>
      <c r="E527" s="22" t="s">
        <v>7623</v>
      </c>
      <c r="F527" s="22">
        <v>32.225380999999999</v>
      </c>
      <c r="G527" s="22">
        <v>44.372191000000001</v>
      </c>
      <c r="H527" s="21" t="s">
        <v>802</v>
      </c>
      <c r="I527" s="21" t="s">
        <v>1176</v>
      </c>
      <c r="J527" s="21"/>
      <c r="K527" s="24">
        <v>30</v>
      </c>
      <c r="L527" s="24">
        <v>180</v>
      </c>
      <c r="M527" s="23">
        <v>2</v>
      </c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>
        <v>28</v>
      </c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>
        <v>30</v>
      </c>
      <c r="AL527" s="23"/>
      <c r="AM527" s="23"/>
      <c r="AN527" s="23"/>
      <c r="AO527" s="23"/>
      <c r="AP527" s="23">
        <v>28</v>
      </c>
      <c r="AQ527" s="23"/>
      <c r="AR527" s="23">
        <v>2</v>
      </c>
      <c r="AS527" s="23"/>
      <c r="AT527" s="23"/>
      <c r="AU527" s="14" t="str">
        <f>HYPERLINK("http://www.openstreetmap.org/?mlat=32.2254&amp;mlon=44.3722&amp;zoom=12#map=12/32.2254/44.3722","Maplink1")</f>
        <v>Maplink1</v>
      </c>
      <c r="AV527" s="14" t="str">
        <f>HYPERLINK("https://www.google.iq/maps/search/+32.2254,44.3722/@32.2254,44.3722,14z?hl=en","Maplink2")</f>
        <v>Maplink2</v>
      </c>
      <c r="AW527" s="14" t="str">
        <f>HYPERLINK("http://www.bing.com/maps/?lvl=14&amp;sty=h&amp;cp=32.2254~44.3722&amp;sp=point.32.2254_44.3722_Al Kifil-Hay Al Zahraa","Maplink3")</f>
        <v>Maplink3</v>
      </c>
    </row>
    <row r="528" spans="1:49" ht="15" customHeight="1" x14ac:dyDescent="0.25">
      <c r="A528" s="21">
        <v>25123</v>
      </c>
      <c r="B528" s="22" t="s">
        <v>10</v>
      </c>
      <c r="C528" s="22" t="s">
        <v>1173</v>
      </c>
      <c r="D528" s="22" t="s">
        <v>1253</v>
      </c>
      <c r="E528" s="22" t="s">
        <v>1254</v>
      </c>
      <c r="F528" s="22">
        <v>32.245614000000003</v>
      </c>
      <c r="G528" s="22">
        <v>44.367759999999997</v>
      </c>
      <c r="H528" s="21" t="s">
        <v>802</v>
      </c>
      <c r="I528" s="21" t="s">
        <v>1176</v>
      </c>
      <c r="J528" s="21"/>
      <c r="K528" s="24">
        <v>9</v>
      </c>
      <c r="L528" s="24">
        <v>54</v>
      </c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>
        <v>9</v>
      </c>
      <c r="Z528" s="23"/>
      <c r="AA528" s="23"/>
      <c r="AB528" s="23"/>
      <c r="AC528" s="23"/>
      <c r="AD528" s="23"/>
      <c r="AE528" s="23"/>
      <c r="AF528" s="23">
        <v>5</v>
      </c>
      <c r="AG528" s="23"/>
      <c r="AH528" s="23"/>
      <c r="AI528" s="23"/>
      <c r="AJ528" s="23">
        <v>4</v>
      </c>
      <c r="AK528" s="23"/>
      <c r="AL528" s="23"/>
      <c r="AM528" s="23"/>
      <c r="AN528" s="23"/>
      <c r="AO528" s="23"/>
      <c r="AP528" s="23">
        <v>5</v>
      </c>
      <c r="AQ528" s="23">
        <v>4</v>
      </c>
      <c r="AR528" s="23"/>
      <c r="AS528" s="23"/>
      <c r="AT528" s="23"/>
      <c r="AU528" s="14" t="str">
        <f>HYPERLINK("http://www.openstreetmap.org/?mlat=32.2456&amp;mlon=44.3678&amp;zoom=12#map=12/32.2456/44.3678","Maplink1")</f>
        <v>Maplink1</v>
      </c>
      <c r="AV528" s="14" t="str">
        <f>HYPERLINK("https://www.google.iq/maps/search/+32.2456,44.3678/@32.2456,44.3678,14z?hl=en","Maplink2")</f>
        <v>Maplink2</v>
      </c>
      <c r="AW528" s="14" t="str">
        <f>HYPERLINK("http://www.bing.com/maps/?lvl=14&amp;sty=h&amp;cp=32.2456~44.3678&amp;sp=point.32.2456_44.3678_Al Maamra","Maplink3")</f>
        <v>Maplink3</v>
      </c>
    </row>
    <row r="529" spans="1:49" ht="15" customHeight="1" x14ac:dyDescent="0.25">
      <c r="A529" s="21">
        <v>24971</v>
      </c>
      <c r="B529" s="22" t="s">
        <v>10</v>
      </c>
      <c r="C529" s="22" t="s">
        <v>1173</v>
      </c>
      <c r="D529" s="22" t="s">
        <v>1255</v>
      </c>
      <c r="E529" s="22" t="s">
        <v>1256</v>
      </c>
      <c r="F529" s="22">
        <v>32.511857999999997</v>
      </c>
      <c r="G529" s="22">
        <v>44.428691999999998</v>
      </c>
      <c r="H529" s="21" t="s">
        <v>802</v>
      </c>
      <c r="I529" s="21" t="s">
        <v>1176</v>
      </c>
      <c r="J529" s="21"/>
      <c r="K529" s="24">
        <v>5</v>
      </c>
      <c r="L529" s="24">
        <v>30</v>
      </c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>
        <v>5</v>
      </c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>
        <v>5</v>
      </c>
      <c r="AL529" s="23"/>
      <c r="AM529" s="23"/>
      <c r="AN529" s="23"/>
      <c r="AO529" s="23"/>
      <c r="AP529" s="23">
        <v>5</v>
      </c>
      <c r="AQ529" s="23"/>
      <c r="AR529" s="23"/>
      <c r="AS529" s="23"/>
      <c r="AT529" s="23"/>
      <c r="AU529" s="14" t="str">
        <f>HYPERLINK("http://www.openstreetmap.org/?mlat=32.5119&amp;mlon=44.4287&amp;zoom=12#map=12/32.5119/44.4287","Maplink1")</f>
        <v>Maplink1</v>
      </c>
      <c r="AV529" s="14" t="str">
        <f>HYPERLINK("https://www.google.iq/maps/search/+32.5119,44.4287/@32.5119,44.4287,14z?hl=en","Maplink2")</f>
        <v>Maplink2</v>
      </c>
      <c r="AW529" s="14" t="str">
        <f>HYPERLINK("http://www.bing.com/maps/?lvl=14&amp;sty=h&amp;cp=32.5119~44.4287&amp;sp=point.32.5119_44.4287_Al Marana","Maplink3")</f>
        <v>Maplink3</v>
      </c>
    </row>
    <row r="530" spans="1:49" ht="15" customHeight="1" x14ac:dyDescent="0.25">
      <c r="A530" s="21">
        <v>24972</v>
      </c>
      <c r="B530" s="22" t="s">
        <v>10</v>
      </c>
      <c r="C530" s="22" t="s">
        <v>1173</v>
      </c>
      <c r="D530" s="22" t="s">
        <v>1257</v>
      </c>
      <c r="E530" s="22" t="s">
        <v>1258</v>
      </c>
      <c r="F530" s="22">
        <v>32.248317999999998</v>
      </c>
      <c r="G530" s="22">
        <v>44.349966999999999</v>
      </c>
      <c r="H530" s="21" t="s">
        <v>802</v>
      </c>
      <c r="I530" s="21" t="s">
        <v>1176</v>
      </c>
      <c r="J530" s="21"/>
      <c r="K530" s="24">
        <v>32</v>
      </c>
      <c r="L530" s="24">
        <v>192</v>
      </c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32</v>
      </c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>
        <v>32</v>
      </c>
      <c r="AK530" s="23"/>
      <c r="AL530" s="23"/>
      <c r="AM530" s="23"/>
      <c r="AN530" s="23"/>
      <c r="AO530" s="23"/>
      <c r="AP530" s="23">
        <v>25</v>
      </c>
      <c r="AQ530" s="23">
        <v>7</v>
      </c>
      <c r="AR530" s="23"/>
      <c r="AS530" s="23"/>
      <c r="AT530" s="23"/>
      <c r="AU530" s="14" t="str">
        <f>HYPERLINK("http://www.openstreetmap.org/?mlat=32.2483&amp;mlon=44.35&amp;zoom=12#map=12/32.2483/44.35","Maplink1")</f>
        <v>Maplink1</v>
      </c>
      <c r="AV530" s="14" t="str">
        <f>HYPERLINK("https://www.google.iq/maps/search/+32.2483,44.35/@32.2483,44.35,14z?hl=en","Maplink2")</f>
        <v>Maplink2</v>
      </c>
      <c r="AW530" s="14" t="str">
        <f>HYPERLINK("http://www.bing.com/maps/?lvl=14&amp;sty=h&amp;cp=32.2483~44.35&amp;sp=point.32.2483_44.35_Al Meleweia","Maplink3")</f>
        <v>Maplink3</v>
      </c>
    </row>
    <row r="531" spans="1:49" ht="15" customHeight="1" x14ac:dyDescent="0.25">
      <c r="A531" s="21">
        <v>23953</v>
      </c>
      <c r="B531" s="22" t="s">
        <v>10</v>
      </c>
      <c r="C531" s="22" t="s">
        <v>1173</v>
      </c>
      <c r="D531" s="22" t="s">
        <v>257</v>
      </c>
      <c r="E531" s="22" t="s">
        <v>464</v>
      </c>
      <c r="F531" s="22">
        <v>32.467601000000002</v>
      </c>
      <c r="G531" s="22">
        <v>44.401674</v>
      </c>
      <c r="H531" s="21" t="s">
        <v>802</v>
      </c>
      <c r="I531" s="21" t="s">
        <v>1176</v>
      </c>
      <c r="J531" s="21" t="s">
        <v>1259</v>
      </c>
      <c r="K531" s="24">
        <v>20</v>
      </c>
      <c r="L531" s="24">
        <v>120</v>
      </c>
      <c r="M531" s="23">
        <v>5</v>
      </c>
      <c r="N531" s="23"/>
      <c r="O531" s="23"/>
      <c r="P531" s="23"/>
      <c r="Q531" s="23"/>
      <c r="R531" s="23">
        <v>1</v>
      </c>
      <c r="S531" s="23"/>
      <c r="T531" s="23"/>
      <c r="U531" s="23"/>
      <c r="V531" s="23"/>
      <c r="W531" s="23"/>
      <c r="X531" s="23"/>
      <c r="Y531" s="23">
        <v>14</v>
      </c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>
        <v>20</v>
      </c>
      <c r="AL531" s="23"/>
      <c r="AM531" s="23"/>
      <c r="AN531" s="23"/>
      <c r="AO531" s="23"/>
      <c r="AP531" s="23">
        <v>14</v>
      </c>
      <c r="AQ531" s="23">
        <v>1</v>
      </c>
      <c r="AR531" s="23">
        <v>1</v>
      </c>
      <c r="AS531" s="23">
        <v>4</v>
      </c>
      <c r="AT531" s="23"/>
      <c r="AU531" s="14" t="str">
        <f>HYPERLINK("http://www.openstreetmap.org/?mlat=32.4676&amp;mlon=44.4017&amp;zoom=12#map=12/32.4676/44.4017","Maplink1")</f>
        <v>Maplink1</v>
      </c>
      <c r="AV531" s="14" t="str">
        <f>HYPERLINK("https://www.google.iq/maps/search/+32.4676,44.4017/@32.4676,44.4017,14z?hl=en","Maplink2")</f>
        <v>Maplink2</v>
      </c>
      <c r="AW531" s="14" t="str">
        <f>HYPERLINK("http://www.bing.com/maps/?lvl=14&amp;sty=h&amp;cp=32.4676~44.4017&amp;sp=point.32.4676_44.4017_Al Mualmeen","Maplink3")</f>
        <v>Maplink3</v>
      </c>
    </row>
    <row r="532" spans="1:49" ht="15" customHeight="1" x14ac:dyDescent="0.25">
      <c r="A532" s="21">
        <v>24772</v>
      </c>
      <c r="B532" s="22" t="s">
        <v>10</v>
      </c>
      <c r="C532" s="22" t="s">
        <v>1173</v>
      </c>
      <c r="D532" s="22" t="s">
        <v>1260</v>
      </c>
      <c r="E532" s="22" t="s">
        <v>1261</v>
      </c>
      <c r="F532" s="22">
        <v>32.222700000000003</v>
      </c>
      <c r="G532" s="22">
        <v>44.364660000000001</v>
      </c>
      <c r="H532" s="21" t="s">
        <v>802</v>
      </c>
      <c r="I532" s="21" t="s">
        <v>1176</v>
      </c>
      <c r="J532" s="21"/>
      <c r="K532" s="24">
        <v>30</v>
      </c>
      <c r="L532" s="24">
        <v>180</v>
      </c>
      <c r="M532" s="23">
        <v>3</v>
      </c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27</v>
      </c>
      <c r="Z532" s="23"/>
      <c r="AA532" s="23"/>
      <c r="AB532" s="23"/>
      <c r="AC532" s="23"/>
      <c r="AD532" s="23"/>
      <c r="AE532" s="23"/>
      <c r="AF532" s="23">
        <v>10</v>
      </c>
      <c r="AG532" s="23"/>
      <c r="AH532" s="23"/>
      <c r="AI532" s="23"/>
      <c r="AJ532" s="23">
        <v>3</v>
      </c>
      <c r="AK532" s="23">
        <v>17</v>
      </c>
      <c r="AL532" s="23"/>
      <c r="AM532" s="23"/>
      <c r="AN532" s="23"/>
      <c r="AO532" s="23"/>
      <c r="AP532" s="23">
        <v>27</v>
      </c>
      <c r="AQ532" s="23"/>
      <c r="AR532" s="23">
        <v>3</v>
      </c>
      <c r="AS532" s="23"/>
      <c r="AT532" s="23"/>
      <c r="AU532" s="14" t="str">
        <f>HYPERLINK("http://www.openstreetmap.org/?mlat=32.2227&amp;mlon=44.3647&amp;zoom=12#map=12/32.2227/44.3647","Maplink1")</f>
        <v>Maplink1</v>
      </c>
      <c r="AV532" s="14" t="str">
        <f>HYPERLINK("https://www.google.iq/maps/search/+32.2227,44.3647/@32.2227,44.3647,14z?hl=en","Maplink2")</f>
        <v>Maplink2</v>
      </c>
      <c r="AW532" s="14" t="str">
        <f>HYPERLINK("http://www.bing.com/maps/?lvl=14&amp;sty=h&amp;cp=32.2227~44.3647&amp;sp=point.32.2227_44.3647_Al Mulhaq","Maplink3")</f>
        <v>Maplink3</v>
      </c>
    </row>
    <row r="533" spans="1:49" ht="15" customHeight="1" x14ac:dyDescent="0.25">
      <c r="A533" s="21">
        <v>23952</v>
      </c>
      <c r="B533" s="22" t="s">
        <v>10</v>
      </c>
      <c r="C533" s="22" t="s">
        <v>1173</v>
      </c>
      <c r="D533" s="22" t="s">
        <v>1262</v>
      </c>
      <c r="E533" s="22" t="s">
        <v>1263</v>
      </c>
      <c r="F533" s="22">
        <v>32.469000000000001</v>
      </c>
      <c r="G533" s="22">
        <v>44.414230000000003</v>
      </c>
      <c r="H533" s="21" t="s">
        <v>802</v>
      </c>
      <c r="I533" s="21" t="s">
        <v>1176</v>
      </c>
      <c r="J533" s="21" t="s">
        <v>1264</v>
      </c>
      <c r="K533" s="24">
        <v>2</v>
      </c>
      <c r="L533" s="24">
        <v>12</v>
      </c>
      <c r="M533" s="23">
        <v>1</v>
      </c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1</v>
      </c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>
        <v>2</v>
      </c>
      <c r="AL533" s="23"/>
      <c r="AM533" s="23"/>
      <c r="AN533" s="23"/>
      <c r="AO533" s="23"/>
      <c r="AP533" s="23">
        <v>1</v>
      </c>
      <c r="AQ533" s="23"/>
      <c r="AR533" s="23"/>
      <c r="AS533" s="23">
        <v>1</v>
      </c>
      <c r="AT533" s="23"/>
      <c r="AU533" s="14" t="str">
        <f>HYPERLINK("http://www.openstreetmap.org/?mlat=32.469&amp;mlon=44.4142&amp;zoom=12#map=12/32.469/44.4142","Maplink1")</f>
        <v>Maplink1</v>
      </c>
      <c r="AV533" s="14" t="str">
        <f>HYPERLINK("https://www.google.iq/maps/search/+32.469,44.4142/@32.469,44.4142,14z?hl=en","Maplink2")</f>
        <v>Maplink2</v>
      </c>
      <c r="AW533" s="14" t="str">
        <f>HYPERLINK("http://www.bing.com/maps/?lvl=14&amp;sty=h&amp;cp=32.469~44.4142&amp;sp=point.32.469_44.4142_Al Murtada 2","Maplink3")</f>
        <v>Maplink3</v>
      </c>
    </row>
    <row r="534" spans="1:49" ht="15" customHeight="1" x14ac:dyDescent="0.25">
      <c r="A534" s="21">
        <v>24695</v>
      </c>
      <c r="B534" s="22" t="s">
        <v>10</v>
      </c>
      <c r="C534" s="22" t="s">
        <v>1173</v>
      </c>
      <c r="D534" s="22" t="s">
        <v>1265</v>
      </c>
      <c r="E534" s="22" t="s">
        <v>1266</v>
      </c>
      <c r="F534" s="22">
        <v>32.420121999999999</v>
      </c>
      <c r="G534" s="22">
        <v>44.493360000000003</v>
      </c>
      <c r="H534" s="21" t="s">
        <v>802</v>
      </c>
      <c r="I534" s="21" t="s">
        <v>1176</v>
      </c>
      <c r="J534" s="21"/>
      <c r="K534" s="24">
        <v>35</v>
      </c>
      <c r="L534" s="24">
        <v>210</v>
      </c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35</v>
      </c>
      <c r="Z534" s="23"/>
      <c r="AA534" s="23"/>
      <c r="AB534" s="23"/>
      <c r="AC534" s="23"/>
      <c r="AD534" s="23"/>
      <c r="AE534" s="23"/>
      <c r="AF534" s="23">
        <v>23</v>
      </c>
      <c r="AG534" s="23"/>
      <c r="AH534" s="23"/>
      <c r="AI534" s="23"/>
      <c r="AJ534" s="23"/>
      <c r="AK534" s="23">
        <v>3</v>
      </c>
      <c r="AL534" s="23"/>
      <c r="AM534" s="23">
        <v>9</v>
      </c>
      <c r="AN534" s="23"/>
      <c r="AO534" s="23"/>
      <c r="AP534" s="23">
        <v>35</v>
      </c>
      <c r="AQ534" s="23"/>
      <c r="AR534" s="23"/>
      <c r="AS534" s="23"/>
      <c r="AT534" s="23"/>
      <c r="AU534" s="14" t="str">
        <f>HYPERLINK("http://www.openstreetmap.org/?mlat=32.4201&amp;mlon=44.4934&amp;zoom=12#map=12/32.4201/44.4934","Maplink1")</f>
        <v>Maplink1</v>
      </c>
      <c r="AV534" s="14" t="str">
        <f>HYPERLINK("https://www.google.iq/maps/search/+32.4201,44.4934/@32.4201,44.4934,14z?hl=en","Maplink2")</f>
        <v>Maplink2</v>
      </c>
      <c r="AW534" s="14" t="str">
        <f>HYPERLINK("http://www.bing.com/maps/?lvl=14&amp;sty=h&amp;cp=32.4201~44.4934&amp;sp=point.32.4201_44.4934_Al Nakhilah Al Sharqiyah","Maplink3")</f>
        <v>Maplink3</v>
      </c>
    </row>
    <row r="535" spans="1:49" ht="15" customHeight="1" x14ac:dyDescent="0.25">
      <c r="A535" s="21">
        <v>24974</v>
      </c>
      <c r="B535" s="22" t="s">
        <v>10</v>
      </c>
      <c r="C535" s="22" t="s">
        <v>1173</v>
      </c>
      <c r="D535" s="22" t="s">
        <v>1267</v>
      </c>
      <c r="E535" s="22" t="s">
        <v>1268</v>
      </c>
      <c r="F535" s="22">
        <v>32.276902999999997</v>
      </c>
      <c r="G535" s="22">
        <v>44.348716000000003</v>
      </c>
      <c r="H535" s="21" t="s">
        <v>802</v>
      </c>
      <c r="I535" s="21" t="s">
        <v>1176</v>
      </c>
      <c r="J535" s="21"/>
      <c r="K535" s="24">
        <v>10</v>
      </c>
      <c r="L535" s="24">
        <v>60</v>
      </c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10</v>
      </c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>
        <v>10</v>
      </c>
      <c r="AK535" s="23"/>
      <c r="AL535" s="23"/>
      <c r="AM535" s="23"/>
      <c r="AN535" s="23"/>
      <c r="AO535" s="23"/>
      <c r="AP535" s="23">
        <v>10</v>
      </c>
      <c r="AQ535" s="23"/>
      <c r="AR535" s="23"/>
      <c r="AS535" s="23"/>
      <c r="AT535" s="23"/>
      <c r="AU535" s="14" t="str">
        <f>HYPERLINK("http://www.openstreetmap.org/?mlat=32.2769&amp;mlon=44.3487&amp;zoom=12#map=12/32.2769/44.3487","Maplink1")</f>
        <v>Maplink1</v>
      </c>
      <c r="AV535" s="14" t="str">
        <f>HYPERLINK("https://www.google.iq/maps/search/+32.2769,44.3487/@32.2769,44.3487,14z?hl=en","Maplink2")</f>
        <v>Maplink2</v>
      </c>
      <c r="AW535" s="14" t="str">
        <f>HYPERLINK("http://www.bing.com/maps/?lvl=14&amp;sty=h&amp;cp=32.2769~44.3487&amp;sp=point.32.2769_44.3487_Al Neaamya","Maplink3")</f>
        <v>Maplink3</v>
      </c>
    </row>
    <row r="536" spans="1:49" ht="15" customHeight="1" x14ac:dyDescent="0.25">
      <c r="A536" s="21">
        <v>25124</v>
      </c>
      <c r="B536" s="22" t="s">
        <v>10</v>
      </c>
      <c r="C536" s="22" t="s">
        <v>1173</v>
      </c>
      <c r="D536" s="22" t="s">
        <v>1269</v>
      </c>
      <c r="E536" s="22" t="s">
        <v>1270</v>
      </c>
      <c r="F536" s="22">
        <v>32.479061999999999</v>
      </c>
      <c r="G536" s="22">
        <v>44.496563999999999</v>
      </c>
      <c r="H536" s="21" t="s">
        <v>802</v>
      </c>
      <c r="I536" s="21" t="s">
        <v>1176</v>
      </c>
      <c r="J536" s="21"/>
      <c r="K536" s="24">
        <v>22</v>
      </c>
      <c r="L536" s="24">
        <v>132</v>
      </c>
      <c r="M536" s="23"/>
      <c r="N536" s="23"/>
      <c r="O536" s="23">
        <v>21</v>
      </c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1</v>
      </c>
      <c r="Z536" s="23"/>
      <c r="AA536" s="23"/>
      <c r="AB536" s="23"/>
      <c r="AC536" s="23"/>
      <c r="AD536" s="23"/>
      <c r="AE536" s="23"/>
      <c r="AF536" s="23">
        <v>21</v>
      </c>
      <c r="AG536" s="23"/>
      <c r="AH536" s="23"/>
      <c r="AI536" s="23"/>
      <c r="AJ536" s="23"/>
      <c r="AK536" s="23">
        <v>1</v>
      </c>
      <c r="AL536" s="23"/>
      <c r="AM536" s="23"/>
      <c r="AN536" s="23"/>
      <c r="AO536" s="23"/>
      <c r="AP536" s="23">
        <v>1</v>
      </c>
      <c r="AQ536" s="23">
        <v>21</v>
      </c>
      <c r="AR536" s="23"/>
      <c r="AS536" s="23"/>
      <c r="AT536" s="23"/>
      <c r="AU536" s="14" t="str">
        <f>HYPERLINK("http://www.openstreetmap.org/?mlat=32.4791&amp;mlon=44.4966&amp;zoom=12#map=12/32.4791/44.4966","Maplink1")</f>
        <v>Maplink1</v>
      </c>
      <c r="AV536" s="14" t="str">
        <f>HYPERLINK("https://www.google.iq/maps/search/+32.4791,44.4966/@32.4791,44.4966,14z?hl=en","Maplink2")</f>
        <v>Maplink2</v>
      </c>
      <c r="AW536" s="14" t="str">
        <f>HYPERLINK("http://www.bing.com/maps/?lvl=14&amp;sty=h&amp;cp=32.4791~44.4966&amp;sp=point.32.4791_44.4966_Al Neshaish","Maplink3")</f>
        <v>Maplink3</v>
      </c>
    </row>
    <row r="537" spans="1:49" ht="15" customHeight="1" x14ac:dyDescent="0.25">
      <c r="A537" s="21">
        <v>24671</v>
      </c>
      <c r="B537" s="22" t="s">
        <v>10</v>
      </c>
      <c r="C537" s="22" t="s">
        <v>1173</v>
      </c>
      <c r="D537" s="22" t="s">
        <v>1271</v>
      </c>
      <c r="E537" s="22" t="s">
        <v>7624</v>
      </c>
      <c r="F537" s="22">
        <v>32.432386000000001</v>
      </c>
      <c r="G537" s="22">
        <v>44.319611000000002</v>
      </c>
      <c r="H537" s="21" t="s">
        <v>802</v>
      </c>
      <c r="I537" s="21" t="s">
        <v>1176</v>
      </c>
      <c r="J537" s="21"/>
      <c r="K537" s="24">
        <v>16</v>
      </c>
      <c r="L537" s="24">
        <v>96</v>
      </c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16</v>
      </c>
      <c r="Z537" s="23"/>
      <c r="AA537" s="23"/>
      <c r="AB537" s="23"/>
      <c r="AC537" s="23"/>
      <c r="AD537" s="23"/>
      <c r="AE537" s="23"/>
      <c r="AF537" s="23">
        <v>16</v>
      </c>
      <c r="AG537" s="23"/>
      <c r="AH537" s="23"/>
      <c r="AI537" s="23"/>
      <c r="AJ537" s="23"/>
      <c r="AK537" s="23"/>
      <c r="AL537" s="23"/>
      <c r="AM537" s="23"/>
      <c r="AN537" s="23"/>
      <c r="AO537" s="23"/>
      <c r="AP537" s="23">
        <v>16</v>
      </c>
      <c r="AQ537" s="23"/>
      <c r="AR537" s="23"/>
      <c r="AS537" s="23"/>
      <c r="AT537" s="23"/>
      <c r="AU537" s="14" t="str">
        <f>HYPERLINK("http://www.openstreetmap.org/?mlat=32.4324&amp;mlon=44.3196&amp;zoom=12#map=12/32.4324/44.3196","Maplink1")</f>
        <v>Maplink1</v>
      </c>
      <c r="AV537" s="14" t="str">
        <f>HYPERLINK("https://www.google.iq/maps/search/+32.4324,44.3196/@32.4324,44.3196,14z?hl=en","Maplink2")</f>
        <v>Maplink2</v>
      </c>
      <c r="AW537" s="14" t="str">
        <f>HYPERLINK("http://www.bing.com/maps/?lvl=14&amp;sty=h&amp;cp=32.4324~44.3196&amp;sp=point.32.4324_44.3196_Al Oufy village","Maplink3")</f>
        <v>Maplink3</v>
      </c>
    </row>
    <row r="538" spans="1:49" ht="15" customHeight="1" x14ac:dyDescent="0.25">
      <c r="A538" s="21">
        <v>24696</v>
      </c>
      <c r="B538" s="22" t="s">
        <v>10</v>
      </c>
      <c r="C538" s="22" t="s">
        <v>1173</v>
      </c>
      <c r="D538" s="22" t="s">
        <v>1272</v>
      </c>
      <c r="E538" s="22" t="s">
        <v>1273</v>
      </c>
      <c r="F538" s="22">
        <v>32.407266999999997</v>
      </c>
      <c r="G538" s="22">
        <v>44.488021000000003</v>
      </c>
      <c r="H538" s="21" t="s">
        <v>802</v>
      </c>
      <c r="I538" s="21" t="s">
        <v>1176</v>
      </c>
      <c r="J538" s="21"/>
      <c r="K538" s="24">
        <v>8</v>
      </c>
      <c r="L538" s="24">
        <v>48</v>
      </c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8</v>
      </c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>
        <v>8</v>
      </c>
      <c r="AK538" s="23"/>
      <c r="AL538" s="23"/>
      <c r="AM538" s="23"/>
      <c r="AN538" s="23"/>
      <c r="AO538" s="23"/>
      <c r="AP538" s="23">
        <v>8</v>
      </c>
      <c r="AQ538" s="23"/>
      <c r="AR538" s="23"/>
      <c r="AS538" s="23"/>
      <c r="AT538" s="23"/>
      <c r="AU538" s="14" t="str">
        <f>HYPERLINK("http://www.openstreetmap.org/?mlat=32.4073&amp;mlon=44.488&amp;zoom=12#map=12/32.4073/44.488","Maplink1")</f>
        <v>Maplink1</v>
      </c>
      <c r="AV538" s="14" t="str">
        <f>HYPERLINK("https://www.google.iq/maps/search/+32.4073,44.488/@32.4073,44.488,14z?hl=en","Maplink2")</f>
        <v>Maplink2</v>
      </c>
      <c r="AW538" s="14" t="str">
        <f>HYPERLINK("http://www.bing.com/maps/?lvl=14&amp;sty=h&amp;cp=32.4073~44.488&amp;sp=point.32.4073_44.488_Al Rashediyah","Maplink3")</f>
        <v>Maplink3</v>
      </c>
    </row>
    <row r="539" spans="1:49" ht="15" customHeight="1" x14ac:dyDescent="0.25">
      <c r="A539" s="21">
        <v>25450</v>
      </c>
      <c r="B539" s="22" t="s">
        <v>10</v>
      </c>
      <c r="C539" s="22" t="s">
        <v>1173</v>
      </c>
      <c r="D539" s="22" t="s">
        <v>1274</v>
      </c>
      <c r="E539" s="22" t="s">
        <v>1275</v>
      </c>
      <c r="F539" s="22">
        <v>32.437553000000001</v>
      </c>
      <c r="G539" s="22">
        <v>44.429242000000002</v>
      </c>
      <c r="H539" s="21" t="s">
        <v>802</v>
      </c>
      <c r="I539" s="21" t="s">
        <v>1176</v>
      </c>
      <c r="J539" s="21"/>
      <c r="K539" s="24">
        <v>9</v>
      </c>
      <c r="L539" s="24">
        <v>54</v>
      </c>
      <c r="M539" s="23">
        <v>2</v>
      </c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>
        <v>7</v>
      </c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>
        <v>5</v>
      </c>
      <c r="AL539" s="23"/>
      <c r="AM539" s="23">
        <v>4</v>
      </c>
      <c r="AN539" s="23"/>
      <c r="AO539" s="23"/>
      <c r="AP539" s="23"/>
      <c r="AQ539" s="23">
        <v>7</v>
      </c>
      <c r="AR539" s="23"/>
      <c r="AS539" s="23">
        <v>2</v>
      </c>
      <c r="AT539" s="23"/>
      <c r="AU539" s="14" t="str">
        <f>HYPERLINK("http://www.openstreetmap.org/?mlat=32.4376&amp;mlon=44.4292&amp;zoom=12#map=12/32.4376/44.4292","Maplink1")</f>
        <v>Maplink1</v>
      </c>
      <c r="AV539" s="14" t="str">
        <f>HYPERLINK("https://www.google.iq/maps/search/+32.4376,44.4292/@32.4376,44.4292,14z?hl=en","Maplink2")</f>
        <v>Maplink2</v>
      </c>
      <c r="AW539" s="14" t="str">
        <f>HYPERLINK("http://www.bing.com/maps/?lvl=14&amp;sty=h&amp;cp=32.4376~44.4292&amp;sp=point.32.4376_44.4292_Al Sajad Alshimaly","Maplink3")</f>
        <v>Maplink3</v>
      </c>
    </row>
    <row r="540" spans="1:49" ht="15" customHeight="1" x14ac:dyDescent="0.25">
      <c r="A540" s="21">
        <v>24693</v>
      </c>
      <c r="B540" s="22" t="s">
        <v>10</v>
      </c>
      <c r="C540" s="22" t="s">
        <v>1173</v>
      </c>
      <c r="D540" s="22" t="s">
        <v>1276</v>
      </c>
      <c r="E540" s="22" t="s">
        <v>7625</v>
      </c>
      <c r="F540" s="22">
        <v>32.569678000000003</v>
      </c>
      <c r="G540" s="22">
        <v>44.366042999999998</v>
      </c>
      <c r="H540" s="21" t="s">
        <v>802</v>
      </c>
      <c r="I540" s="21" t="s">
        <v>1176</v>
      </c>
      <c r="J540" s="21"/>
      <c r="K540" s="24">
        <v>24</v>
      </c>
      <c r="L540" s="24">
        <v>144</v>
      </c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24</v>
      </c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>
        <v>24</v>
      </c>
      <c r="AN540" s="23"/>
      <c r="AO540" s="23"/>
      <c r="AP540" s="23">
        <v>24</v>
      </c>
      <c r="AQ540" s="23"/>
      <c r="AR540" s="23"/>
      <c r="AS540" s="23"/>
      <c r="AT540" s="23"/>
      <c r="AU540" s="14" t="str">
        <f>HYPERLINK("http://www.openstreetmap.org/?mlat=32.5697&amp;mlon=44.366&amp;zoom=12#map=12/32.5697/44.366","Maplink1")</f>
        <v>Maplink1</v>
      </c>
      <c r="AV540" s="14" t="str">
        <f>HYPERLINK("https://www.google.iq/maps/search/+32.5697,44.366/@32.5697,44.366,14z?hl=en","Maplink2")</f>
        <v>Maplink2</v>
      </c>
      <c r="AW540" s="14" t="str">
        <f>HYPERLINK("http://www.bing.com/maps/?lvl=14&amp;sty=h&amp;cp=32.5697~44.366&amp;sp=point.32.5697_44.366_Al Sayih","Maplink3")</f>
        <v>Maplink3</v>
      </c>
    </row>
    <row r="541" spans="1:49" ht="15" customHeight="1" x14ac:dyDescent="0.25">
      <c r="A541" s="21">
        <v>24593</v>
      </c>
      <c r="B541" s="22" t="s">
        <v>10</v>
      </c>
      <c r="C541" s="22" t="s">
        <v>1173</v>
      </c>
      <c r="D541" s="22" t="s">
        <v>1277</v>
      </c>
      <c r="E541" s="22" t="s">
        <v>129</v>
      </c>
      <c r="F541" s="22">
        <v>32.473602</v>
      </c>
      <c r="G541" s="22">
        <v>44.401822000000003</v>
      </c>
      <c r="H541" s="21" t="s">
        <v>802</v>
      </c>
      <c r="I541" s="21" t="s">
        <v>1176</v>
      </c>
      <c r="J541" s="21"/>
      <c r="K541" s="24">
        <v>75</v>
      </c>
      <c r="L541" s="24">
        <v>450</v>
      </c>
      <c r="M541" s="23">
        <v>18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57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>
        <v>75</v>
      </c>
      <c r="AL541" s="23"/>
      <c r="AM541" s="23"/>
      <c r="AN541" s="23"/>
      <c r="AO541" s="23"/>
      <c r="AP541" s="23">
        <v>57</v>
      </c>
      <c r="AQ541" s="23"/>
      <c r="AR541" s="23">
        <v>6</v>
      </c>
      <c r="AS541" s="23">
        <v>12</v>
      </c>
      <c r="AT541" s="23"/>
      <c r="AU541" s="14" t="str">
        <f>HYPERLINK("http://www.openstreetmap.org/?mlat=32.4736&amp;mlon=44.4018&amp;zoom=12#map=12/32.4736/44.4018","Maplink1")</f>
        <v>Maplink1</v>
      </c>
      <c r="AV541" s="14" t="str">
        <f>HYPERLINK("https://www.google.iq/maps/search/+32.4736,44.4018/@32.4736,44.4018,14z?hl=en","Maplink2")</f>
        <v>Maplink2</v>
      </c>
      <c r="AW541" s="14" t="str">
        <f>HYPERLINK("http://www.bing.com/maps/?lvl=14&amp;sty=h&amp;cp=32.4736~44.4018&amp;sp=point.32.4736_44.4018_Al Shuhadaa","Maplink3")</f>
        <v>Maplink3</v>
      </c>
    </row>
    <row r="542" spans="1:49" ht="15" customHeight="1" x14ac:dyDescent="0.25">
      <c r="A542" s="21">
        <v>25451</v>
      </c>
      <c r="B542" s="22" t="s">
        <v>10</v>
      </c>
      <c r="C542" s="22" t="s">
        <v>1173</v>
      </c>
      <c r="D542" s="22" t="s">
        <v>1278</v>
      </c>
      <c r="E542" s="22" t="s">
        <v>1279</v>
      </c>
      <c r="F542" s="22">
        <v>32.484468999999997</v>
      </c>
      <c r="G542" s="22">
        <v>44.435445000000001</v>
      </c>
      <c r="H542" s="21" t="s">
        <v>802</v>
      </c>
      <c r="I542" s="21" t="s">
        <v>1176</v>
      </c>
      <c r="J542" s="21"/>
      <c r="K542" s="24">
        <v>9</v>
      </c>
      <c r="L542" s="24">
        <v>54</v>
      </c>
      <c r="M542" s="23">
        <v>2</v>
      </c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>
        <v>7</v>
      </c>
      <c r="Z542" s="23"/>
      <c r="AA542" s="23"/>
      <c r="AB542" s="23"/>
      <c r="AC542" s="23"/>
      <c r="AD542" s="23"/>
      <c r="AE542" s="23"/>
      <c r="AF542" s="23">
        <v>2</v>
      </c>
      <c r="AG542" s="23"/>
      <c r="AH542" s="23"/>
      <c r="AI542" s="23"/>
      <c r="AJ542" s="23"/>
      <c r="AK542" s="23">
        <v>7</v>
      </c>
      <c r="AL542" s="23"/>
      <c r="AM542" s="23"/>
      <c r="AN542" s="23"/>
      <c r="AO542" s="23">
        <v>2</v>
      </c>
      <c r="AP542" s="23">
        <v>5</v>
      </c>
      <c r="AQ542" s="23">
        <v>2</v>
      </c>
      <c r="AR542" s="23"/>
      <c r="AS542" s="23"/>
      <c r="AT542" s="23"/>
      <c r="AU542" s="14" t="str">
        <f>HYPERLINK("http://www.openstreetmap.org/?mlat=32.4845&amp;mlon=44.4354&amp;zoom=12#map=12/32.4845/44.4354","Maplink1")</f>
        <v>Maplink1</v>
      </c>
      <c r="AV542" s="14" t="str">
        <f>HYPERLINK("https://www.google.iq/maps/search/+32.4845,44.4354/@32.4845,44.4354,14z?hl=en","Maplink2")</f>
        <v>Maplink2</v>
      </c>
      <c r="AW542" s="14" t="str">
        <f>HYPERLINK("http://www.bing.com/maps/?lvl=14&amp;sty=h&amp;cp=32.4845~44.4354&amp;sp=point.32.4845_44.4354_Al Taaes","Maplink3")</f>
        <v>Maplink3</v>
      </c>
    </row>
    <row r="543" spans="1:49" ht="15" customHeight="1" x14ac:dyDescent="0.25">
      <c r="A543" s="21">
        <v>24456</v>
      </c>
      <c r="B543" s="22" t="s">
        <v>10</v>
      </c>
      <c r="C543" s="22" t="s">
        <v>1173</v>
      </c>
      <c r="D543" s="22" t="s">
        <v>1280</v>
      </c>
      <c r="E543" s="22" t="s">
        <v>7626</v>
      </c>
      <c r="F543" s="22">
        <v>32.540439999999997</v>
      </c>
      <c r="G543" s="22">
        <v>44.308112999999999</v>
      </c>
      <c r="H543" s="21" t="s">
        <v>802</v>
      </c>
      <c r="I543" s="21" t="s">
        <v>1176</v>
      </c>
      <c r="J543" s="21"/>
      <c r="K543" s="24">
        <v>30</v>
      </c>
      <c r="L543" s="24">
        <v>180</v>
      </c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>
        <v>30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>
        <v>30</v>
      </c>
      <c r="AK543" s="23"/>
      <c r="AL543" s="23"/>
      <c r="AM543" s="23"/>
      <c r="AN543" s="23"/>
      <c r="AO543" s="23"/>
      <c r="AP543" s="23"/>
      <c r="AQ543" s="23">
        <v>30</v>
      </c>
      <c r="AR543" s="23"/>
      <c r="AS543" s="23"/>
      <c r="AT543" s="23"/>
      <c r="AU543" s="14" t="str">
        <f>HYPERLINK("http://www.openstreetmap.org/?mlat=32.5404&amp;mlon=44.3081&amp;zoom=12#map=12/32.5404/44.3081","Maplink1")</f>
        <v>Maplink1</v>
      </c>
      <c r="AV543" s="14" t="str">
        <f>HYPERLINK("https://www.google.iq/maps/search/+32.5404,44.3081/@32.5404,44.3081,14z?hl=en","Maplink2")</f>
        <v>Maplink2</v>
      </c>
      <c r="AW543" s="14" t="str">
        <f>HYPERLINK("http://www.bing.com/maps/?lvl=14&amp;sty=h&amp;cp=32.5404~44.3081&amp;sp=point.32.5404_44.3081_Al Taqa-Abu Gharaq","Maplink3")</f>
        <v>Maplink3</v>
      </c>
    </row>
    <row r="544" spans="1:49" ht="15" customHeight="1" x14ac:dyDescent="0.25">
      <c r="A544" s="21">
        <v>23947</v>
      </c>
      <c r="B544" s="22" t="s">
        <v>10</v>
      </c>
      <c r="C544" s="22" t="s">
        <v>1173</v>
      </c>
      <c r="D544" s="22" t="s">
        <v>1281</v>
      </c>
      <c r="E544" s="22" t="s">
        <v>7627</v>
      </c>
      <c r="F544" s="22">
        <v>32.5075</v>
      </c>
      <c r="G544" s="22">
        <v>44.418004000000003</v>
      </c>
      <c r="H544" s="21" t="s">
        <v>802</v>
      </c>
      <c r="I544" s="21" t="s">
        <v>1176</v>
      </c>
      <c r="J544" s="21" t="s">
        <v>1282</v>
      </c>
      <c r="K544" s="24">
        <v>15</v>
      </c>
      <c r="L544" s="24">
        <v>90</v>
      </c>
      <c r="M544" s="23">
        <v>2</v>
      </c>
      <c r="N544" s="23"/>
      <c r="O544" s="23"/>
      <c r="P544" s="23"/>
      <c r="Q544" s="23"/>
      <c r="R544" s="23"/>
      <c r="S544" s="23"/>
      <c r="T544" s="23"/>
      <c r="U544" s="23">
        <v>2</v>
      </c>
      <c r="V544" s="23"/>
      <c r="W544" s="23"/>
      <c r="X544" s="23"/>
      <c r="Y544" s="23">
        <v>11</v>
      </c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>
        <v>15</v>
      </c>
      <c r="AL544" s="23"/>
      <c r="AM544" s="23"/>
      <c r="AN544" s="23"/>
      <c r="AO544" s="23"/>
      <c r="AP544" s="23">
        <v>11</v>
      </c>
      <c r="AQ544" s="23">
        <v>1</v>
      </c>
      <c r="AR544" s="23">
        <v>2</v>
      </c>
      <c r="AS544" s="23">
        <v>1</v>
      </c>
      <c r="AT544" s="23"/>
      <c r="AU544" s="14" t="str">
        <f>HYPERLINK("http://www.openstreetmap.org/?mlat=32.5075&amp;mlon=44.418&amp;zoom=12#map=12/32.5075/44.418","Maplink1")</f>
        <v>Maplink1</v>
      </c>
      <c r="AV544" s="14" t="str">
        <f>HYPERLINK("https://www.google.iq/maps/search/+32.5075,44.418/@32.5075,44.418,14z?hl=en","Maplink2")</f>
        <v>Maplink2</v>
      </c>
      <c r="AW544" s="14" t="str">
        <f>HYPERLINK("http://www.bing.com/maps/?lvl=14&amp;sty=h&amp;cp=32.5075~44.418&amp;sp=point.32.5075_44.418_Al Thawra Al Gharbiya","Maplink3")</f>
        <v>Maplink3</v>
      </c>
    </row>
    <row r="545" spans="1:49" ht="15" customHeight="1" x14ac:dyDescent="0.25">
      <c r="A545" s="21">
        <v>24167</v>
      </c>
      <c r="B545" s="22" t="s">
        <v>10</v>
      </c>
      <c r="C545" s="22" t="s">
        <v>1173</v>
      </c>
      <c r="D545" s="22" t="s">
        <v>1283</v>
      </c>
      <c r="E545" s="22" t="s">
        <v>1284</v>
      </c>
      <c r="F545" s="22">
        <v>32.467438999999999</v>
      </c>
      <c r="G545" s="22">
        <v>44.394432999999999</v>
      </c>
      <c r="H545" s="21" t="s">
        <v>802</v>
      </c>
      <c r="I545" s="21" t="s">
        <v>1176</v>
      </c>
      <c r="J545" s="21" t="s">
        <v>1285</v>
      </c>
      <c r="K545" s="24">
        <v>81</v>
      </c>
      <c r="L545" s="24">
        <v>486</v>
      </c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81</v>
      </c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>
        <v>71</v>
      </c>
      <c r="AL545" s="23"/>
      <c r="AM545" s="23">
        <v>10</v>
      </c>
      <c r="AN545" s="23"/>
      <c r="AO545" s="23"/>
      <c r="AP545" s="23">
        <v>76</v>
      </c>
      <c r="AQ545" s="23">
        <v>5</v>
      </c>
      <c r="AR545" s="23"/>
      <c r="AS545" s="23"/>
      <c r="AT545" s="23"/>
      <c r="AU545" s="14" t="str">
        <f>HYPERLINK("http://www.openstreetmap.org/?mlat=32.4674&amp;mlon=44.3944&amp;zoom=12#map=12/32.4674/44.3944","Maplink1")</f>
        <v>Maplink1</v>
      </c>
      <c r="AV545" s="14" t="str">
        <f>HYPERLINK("https://www.google.iq/maps/search/+32.4674,44.3944/@32.4674,44.3944,14z?hl=en","Maplink2")</f>
        <v>Maplink2</v>
      </c>
      <c r="AW545" s="14" t="str">
        <f>HYPERLINK("http://www.bing.com/maps/?lvl=14&amp;sty=h&amp;cp=32.4674~44.3944&amp;sp=point.32.4674_44.3944_Al Tuhmazya","Maplink3")</f>
        <v>Maplink3</v>
      </c>
    </row>
    <row r="546" spans="1:49" ht="15" customHeight="1" x14ac:dyDescent="0.25">
      <c r="A546" s="21">
        <v>25447</v>
      </c>
      <c r="B546" s="22" t="s">
        <v>10</v>
      </c>
      <c r="C546" s="22" t="s">
        <v>1173</v>
      </c>
      <c r="D546" s="22" t="s">
        <v>1286</v>
      </c>
      <c r="E546" s="22" t="s">
        <v>7628</v>
      </c>
      <c r="F546" s="22">
        <v>32.482455000000002</v>
      </c>
      <c r="G546" s="22">
        <v>44.441442000000002</v>
      </c>
      <c r="H546" s="21" t="s">
        <v>802</v>
      </c>
      <c r="I546" s="21" t="s">
        <v>1176</v>
      </c>
      <c r="J546" s="21"/>
      <c r="K546" s="24">
        <v>13</v>
      </c>
      <c r="L546" s="24">
        <v>78</v>
      </c>
      <c r="M546" s="23">
        <v>6</v>
      </c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7</v>
      </c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>
        <v>13</v>
      </c>
      <c r="AL546" s="23"/>
      <c r="AM546" s="23"/>
      <c r="AN546" s="23"/>
      <c r="AO546" s="23">
        <v>7</v>
      </c>
      <c r="AP546" s="23"/>
      <c r="AQ546" s="23"/>
      <c r="AR546" s="23"/>
      <c r="AS546" s="23">
        <v>6</v>
      </c>
      <c r="AT546" s="23"/>
      <c r="AU546" s="14" t="str">
        <f>HYPERLINK("http://www.openstreetmap.org/?mlat=32.4825&amp;mlon=44.4414&amp;zoom=12#map=12/32.4825/44.4414","Maplink1")</f>
        <v>Maplink1</v>
      </c>
      <c r="AV546" s="14" t="str">
        <f>HYPERLINK("https://www.google.iq/maps/search/+32.4825,44.4414/@32.4825,44.4414,14z?hl=en","Maplink2")</f>
        <v>Maplink2</v>
      </c>
      <c r="AW546" s="14" t="str">
        <f>HYPERLINK("http://www.bing.com/maps/?lvl=14&amp;sty=h&amp;cp=32.4825~44.4414&amp;sp=point.32.4825_44.4414_Al Wardiyah-Dakhel","Maplink3")</f>
        <v>Maplink3</v>
      </c>
    </row>
    <row r="547" spans="1:49" ht="15" customHeight="1" x14ac:dyDescent="0.25">
      <c r="A547" s="21">
        <v>25446</v>
      </c>
      <c r="B547" s="22" t="s">
        <v>10</v>
      </c>
      <c r="C547" s="22" t="s">
        <v>1173</v>
      </c>
      <c r="D547" s="22" t="s">
        <v>1287</v>
      </c>
      <c r="E547" s="22" t="s">
        <v>7629</v>
      </c>
      <c r="F547" s="22">
        <v>32.486866999999997</v>
      </c>
      <c r="G547" s="22">
        <v>44.496799000000003</v>
      </c>
      <c r="H547" s="21" t="s">
        <v>802</v>
      </c>
      <c r="I547" s="21" t="s">
        <v>1176</v>
      </c>
      <c r="J547" s="21"/>
      <c r="K547" s="24">
        <v>9</v>
      </c>
      <c r="L547" s="24">
        <v>54</v>
      </c>
      <c r="M547" s="23">
        <v>8</v>
      </c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>
        <v>1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>
        <v>9</v>
      </c>
      <c r="AL547" s="23"/>
      <c r="AM547" s="23"/>
      <c r="AN547" s="23"/>
      <c r="AO547" s="23"/>
      <c r="AP547" s="23">
        <v>1</v>
      </c>
      <c r="AQ547" s="23"/>
      <c r="AR547" s="23">
        <v>4</v>
      </c>
      <c r="AS547" s="23">
        <v>4</v>
      </c>
      <c r="AT547" s="23"/>
      <c r="AU547" s="14" t="str">
        <f>HYPERLINK("http://www.openstreetmap.org/?mlat=32.4869&amp;mlon=44.4968&amp;zoom=12#map=12/32.4869/44.4968","Maplink1")</f>
        <v>Maplink1</v>
      </c>
      <c r="AV547" s="14" t="str">
        <f>HYPERLINK("https://www.google.iq/maps/search/+32.4869,44.4968/@32.4869,44.4968,14z?hl=en","Maplink2")</f>
        <v>Maplink2</v>
      </c>
      <c r="AW547" s="14" t="str">
        <f>HYPERLINK("http://www.bing.com/maps/?lvl=14&amp;sty=h&amp;cp=32.4869~44.4968&amp;sp=point.32.4869_44.4968_Al Wardiyah-Kharj","Maplink3")</f>
        <v>Maplink3</v>
      </c>
    </row>
    <row r="548" spans="1:49" ht="15" customHeight="1" x14ac:dyDescent="0.25">
      <c r="A548" s="21">
        <v>24455</v>
      </c>
      <c r="B548" s="22" t="s">
        <v>10</v>
      </c>
      <c r="C548" s="22" t="s">
        <v>1173</v>
      </c>
      <c r="D548" s="22" t="s">
        <v>1288</v>
      </c>
      <c r="E548" s="22" t="s">
        <v>7630</v>
      </c>
      <c r="F548" s="22">
        <v>32.500673999999997</v>
      </c>
      <c r="G548" s="22">
        <v>44.315052999999999</v>
      </c>
      <c r="H548" s="21" t="s">
        <v>802</v>
      </c>
      <c r="I548" s="21" t="s">
        <v>1176</v>
      </c>
      <c r="J548" s="21"/>
      <c r="K548" s="24">
        <v>4</v>
      </c>
      <c r="L548" s="24">
        <v>24</v>
      </c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4</v>
      </c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>
        <v>4</v>
      </c>
      <c r="AK548" s="23"/>
      <c r="AL548" s="23"/>
      <c r="AM548" s="23"/>
      <c r="AN548" s="23"/>
      <c r="AO548" s="23"/>
      <c r="AP548" s="23"/>
      <c r="AQ548" s="23">
        <v>4</v>
      </c>
      <c r="AR548" s="23"/>
      <c r="AS548" s="23"/>
      <c r="AT548" s="23"/>
      <c r="AU548" s="14" t="str">
        <f>HYPERLINK("http://www.openstreetmap.org/?mlat=32.5007&amp;mlon=44.3151&amp;zoom=12#map=12/32.5007/44.3151","Maplink1")</f>
        <v>Maplink1</v>
      </c>
      <c r="AV548" s="14" t="str">
        <f>HYPERLINK("https://www.google.iq/maps/search/+32.5007,44.3151/@32.5007,44.3151,14z?hl=en","Maplink2")</f>
        <v>Maplink2</v>
      </c>
      <c r="AW548" s="14" t="str">
        <f>HYPERLINK("http://www.bing.com/maps/?lvl=14&amp;sty=h&amp;cp=32.5007~44.3151&amp;sp=point.32.5007_44.3151_Al Yousfya-Abu Gharaq","Maplink3")</f>
        <v>Maplink3</v>
      </c>
    </row>
    <row r="549" spans="1:49" ht="15" customHeight="1" x14ac:dyDescent="0.25">
      <c r="A549" s="21">
        <v>7177</v>
      </c>
      <c r="B549" s="22" t="s">
        <v>10</v>
      </c>
      <c r="C549" s="22" t="s">
        <v>1173</v>
      </c>
      <c r="D549" s="22" t="s">
        <v>1290</v>
      </c>
      <c r="E549" s="22" t="s">
        <v>7631</v>
      </c>
      <c r="F549" s="22">
        <v>32.441000000000003</v>
      </c>
      <c r="G549" s="22">
        <v>44.395000000000003</v>
      </c>
      <c r="H549" s="21" t="s">
        <v>802</v>
      </c>
      <c r="I549" s="21" t="s">
        <v>1176</v>
      </c>
      <c r="J549" s="21" t="s">
        <v>1291</v>
      </c>
      <c r="K549" s="24">
        <v>34</v>
      </c>
      <c r="L549" s="24">
        <v>204</v>
      </c>
      <c r="M549" s="23">
        <v>2</v>
      </c>
      <c r="N549" s="23">
        <v>1</v>
      </c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30</v>
      </c>
      <c r="Z549" s="23"/>
      <c r="AA549" s="23">
        <v>1</v>
      </c>
      <c r="AB549" s="23"/>
      <c r="AC549" s="23"/>
      <c r="AD549" s="23"/>
      <c r="AE549" s="23"/>
      <c r="AF549" s="23">
        <v>5</v>
      </c>
      <c r="AG549" s="23"/>
      <c r="AH549" s="23"/>
      <c r="AI549" s="23"/>
      <c r="AJ549" s="23">
        <v>6</v>
      </c>
      <c r="AK549" s="23">
        <v>23</v>
      </c>
      <c r="AL549" s="23"/>
      <c r="AM549" s="23"/>
      <c r="AN549" s="23"/>
      <c r="AO549" s="23"/>
      <c r="AP549" s="23">
        <v>30</v>
      </c>
      <c r="AQ549" s="23">
        <v>1</v>
      </c>
      <c r="AR549" s="23">
        <v>1</v>
      </c>
      <c r="AS549" s="23">
        <v>2</v>
      </c>
      <c r="AT549" s="23"/>
      <c r="AU549" s="14" t="str">
        <f>HYPERLINK("http://www.openstreetmap.org/?mlat=32.441&amp;mlon=44.395&amp;zoom=12#map=12/32.441/44.395","Maplink1")</f>
        <v>Maplink1</v>
      </c>
      <c r="AV549" s="14" t="str">
        <f>HYPERLINK("https://www.google.iq/maps/search/+32.441,44.395/@32.441,44.395,14z?hl=en","Maplink2")</f>
        <v>Maplink2</v>
      </c>
      <c r="AW549" s="14" t="str">
        <f>HYPERLINK("http://www.bing.com/maps/?lvl=14&amp;sty=h&amp;cp=32.441~44.395&amp;sp=point.32.441_44.395_Al-Askari-Al Mashtal","Maplink3")</f>
        <v>Maplink3</v>
      </c>
    </row>
    <row r="550" spans="1:49" ht="15" customHeight="1" x14ac:dyDescent="0.25">
      <c r="A550" s="21">
        <v>23955</v>
      </c>
      <c r="B550" s="22" t="s">
        <v>10</v>
      </c>
      <c r="C550" s="22" t="s">
        <v>1173</v>
      </c>
      <c r="D550" s="22" t="s">
        <v>7395</v>
      </c>
      <c r="E550" s="22" t="s">
        <v>7632</v>
      </c>
      <c r="F550" s="22">
        <v>32.443562999999997</v>
      </c>
      <c r="G550" s="22">
        <v>44.400598000000002</v>
      </c>
      <c r="H550" s="21" t="s">
        <v>802</v>
      </c>
      <c r="I550" s="21" t="s">
        <v>1176</v>
      </c>
      <c r="J550" s="21" t="s">
        <v>1289</v>
      </c>
      <c r="K550" s="24">
        <v>71</v>
      </c>
      <c r="L550" s="24">
        <v>426</v>
      </c>
      <c r="M550" s="23">
        <v>10</v>
      </c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61</v>
      </c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>
        <v>71</v>
      </c>
      <c r="AL550" s="23"/>
      <c r="AM550" s="23"/>
      <c r="AN550" s="23"/>
      <c r="AO550" s="23"/>
      <c r="AP550" s="23">
        <v>61</v>
      </c>
      <c r="AQ550" s="23"/>
      <c r="AR550" s="23">
        <v>10</v>
      </c>
      <c r="AS550" s="23"/>
      <c r="AT550" s="23"/>
      <c r="AU550" s="14" t="str">
        <f>HYPERLINK("http://www.openstreetmap.org/?mlat=32.4436&amp;mlon=44.4006&amp;zoom=12#map=12/32.4436/44.4006","Maplink1")</f>
        <v>Maplink1</v>
      </c>
      <c r="AV550" s="14" t="str">
        <f>HYPERLINK("https://www.google.iq/maps/search/+32.4436,44.4006/@32.4436,44.4006,14z?hl=en","Maplink2")</f>
        <v>Maplink2</v>
      </c>
      <c r="AW550" s="14" t="str">
        <f>HYPERLINK("http://www.bing.com/maps/?lvl=14&amp;sty=h&amp;cp=32.4436~44.4006&amp;sp=point.32.4436_44.4006_Al-Askari - Al Wesiya","Maplink3")</f>
        <v>Maplink3</v>
      </c>
    </row>
    <row r="551" spans="1:49" ht="15" customHeight="1" x14ac:dyDescent="0.25">
      <c r="A551" s="21">
        <v>6695</v>
      </c>
      <c r="B551" s="22" t="s">
        <v>10</v>
      </c>
      <c r="C551" s="22" t="s">
        <v>1173</v>
      </c>
      <c r="D551" s="22" t="s">
        <v>1292</v>
      </c>
      <c r="E551" s="22" t="s">
        <v>1293</v>
      </c>
      <c r="F551" s="22">
        <v>32.313056000000003</v>
      </c>
      <c r="G551" s="22">
        <v>44.431944000000001</v>
      </c>
      <c r="H551" s="21" t="s">
        <v>802</v>
      </c>
      <c r="I551" s="21" t="s">
        <v>1176</v>
      </c>
      <c r="J551" s="21" t="s">
        <v>1294</v>
      </c>
      <c r="K551" s="24">
        <v>9</v>
      </c>
      <c r="L551" s="24">
        <v>54</v>
      </c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9</v>
      </c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>
        <v>9</v>
      </c>
      <c r="AL551" s="23"/>
      <c r="AM551" s="23"/>
      <c r="AN551" s="23"/>
      <c r="AO551" s="23"/>
      <c r="AP551" s="23">
        <v>9</v>
      </c>
      <c r="AQ551" s="23"/>
      <c r="AR551" s="23"/>
      <c r="AS551" s="23"/>
      <c r="AT551" s="23"/>
      <c r="AU551" s="14" t="str">
        <f>HYPERLINK("http://www.openstreetmap.org/?mlat=32.3131&amp;mlon=44.4319&amp;zoom=12#map=12/32.3131/44.4319","Maplink1")</f>
        <v>Maplink1</v>
      </c>
      <c r="AV551" s="14" t="str">
        <f>HYPERLINK("https://www.google.iq/maps/search/+32.3131,44.4319/@32.3131,44.4319,14z?hl=en","Maplink2")</f>
        <v>Maplink2</v>
      </c>
      <c r="AW551" s="14" t="str">
        <f>HYPERLINK("http://www.bing.com/maps/?lvl=14&amp;sty=h&amp;cp=32.3131~44.4319&amp;sp=point.32.3131_44.4319_Al-hamadiyat","Maplink3")</f>
        <v>Maplink3</v>
      </c>
    </row>
    <row r="552" spans="1:49" ht="15" customHeight="1" x14ac:dyDescent="0.25">
      <c r="A552" s="21">
        <v>24980</v>
      </c>
      <c r="B552" s="22" t="s">
        <v>10</v>
      </c>
      <c r="C552" s="22" t="s">
        <v>1173</v>
      </c>
      <c r="D552" s="22" t="s">
        <v>1295</v>
      </c>
      <c r="E552" s="22" t="s">
        <v>1098</v>
      </c>
      <c r="F552" s="22">
        <v>32.226056999999997</v>
      </c>
      <c r="G552" s="22">
        <v>44.318489999999997</v>
      </c>
      <c r="H552" s="21" t="s">
        <v>802</v>
      </c>
      <c r="I552" s="21" t="s">
        <v>1176</v>
      </c>
      <c r="J552" s="21"/>
      <c r="K552" s="24">
        <v>23</v>
      </c>
      <c r="L552" s="24">
        <v>138</v>
      </c>
      <c r="M552" s="23">
        <v>12</v>
      </c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>
        <v>11</v>
      </c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>
        <v>23</v>
      </c>
      <c r="AL552" s="23"/>
      <c r="AM552" s="23"/>
      <c r="AN552" s="23"/>
      <c r="AO552" s="23"/>
      <c r="AP552" s="23">
        <v>11</v>
      </c>
      <c r="AQ552" s="23"/>
      <c r="AR552" s="23">
        <v>8</v>
      </c>
      <c r="AS552" s="23">
        <v>4</v>
      </c>
      <c r="AT552" s="23"/>
      <c r="AU552" s="14" t="str">
        <f>HYPERLINK("http://www.openstreetmap.org/?mlat=32.2261&amp;mlon=44.3185&amp;zoom=12#map=12/32.2261/44.3185","Maplink1")</f>
        <v>Maplink1</v>
      </c>
      <c r="AV552" s="14" t="str">
        <f>HYPERLINK("https://www.google.iq/maps/search/+32.2261,44.3185/@32.2261,44.3185,14z?hl=en","Maplink2")</f>
        <v>Maplink2</v>
      </c>
      <c r="AW552" s="14" t="str">
        <f>HYPERLINK("http://www.bing.com/maps/?lvl=14&amp;sty=h&amp;cp=32.2261~44.3185&amp;sp=point.32.2261_44.3185_Al-Kifil-Hay Al Ghadeer","Maplink3")</f>
        <v>Maplink3</v>
      </c>
    </row>
    <row r="553" spans="1:49" ht="15" customHeight="1" x14ac:dyDescent="0.25">
      <c r="A553" s="21">
        <v>25714</v>
      </c>
      <c r="B553" s="22" t="s">
        <v>10</v>
      </c>
      <c r="C553" s="22" t="s">
        <v>1173</v>
      </c>
      <c r="D553" s="22" t="s">
        <v>1296</v>
      </c>
      <c r="E553" s="22" t="s">
        <v>7633</v>
      </c>
      <c r="F553" s="22">
        <v>32.222124999999998</v>
      </c>
      <c r="G553" s="22">
        <v>44.366379000000002</v>
      </c>
      <c r="H553" s="21" t="s">
        <v>802</v>
      </c>
      <c r="I553" s="21" t="s">
        <v>1176</v>
      </c>
      <c r="J553" s="21"/>
      <c r="K553" s="24">
        <v>7</v>
      </c>
      <c r="L553" s="24">
        <v>42</v>
      </c>
      <c r="M553" s="23">
        <v>4</v>
      </c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>
        <v>3</v>
      </c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>
        <v>7</v>
      </c>
      <c r="AL553" s="23"/>
      <c r="AM553" s="23"/>
      <c r="AN553" s="23"/>
      <c r="AO553" s="23"/>
      <c r="AP553" s="23">
        <v>3</v>
      </c>
      <c r="AQ553" s="23"/>
      <c r="AR553" s="23">
        <v>4</v>
      </c>
      <c r="AS553" s="23"/>
      <c r="AT553" s="23"/>
      <c r="AU553" s="14" t="str">
        <f>HYPERLINK("http://www.openstreetmap.org/?mlat=32.2221&amp;mlon=44.3664&amp;zoom=12#map=12/32.2221/44.3664","Maplink1")</f>
        <v>Maplink1</v>
      </c>
      <c r="AV553" s="14" t="str">
        <f>HYPERLINK("https://www.google.iq/maps/search/+32.2221,44.3664/@32.2221,44.3664,14z?hl=en","Maplink2")</f>
        <v>Maplink2</v>
      </c>
      <c r="AW553" s="14" t="str">
        <f>HYPERLINK("http://www.bing.com/maps/?lvl=14&amp;sty=h&amp;cp=32.2221~44.3664&amp;sp=point.32.2221_44.3664_Al-Kifil-Hay Al Hussain","Maplink3")</f>
        <v>Maplink3</v>
      </c>
    </row>
    <row r="554" spans="1:49" ht="15" customHeight="1" x14ac:dyDescent="0.25">
      <c r="A554" s="21">
        <v>6600</v>
      </c>
      <c r="B554" s="22" t="s">
        <v>10</v>
      </c>
      <c r="C554" s="22" t="s">
        <v>1173</v>
      </c>
      <c r="D554" s="22" t="s">
        <v>1297</v>
      </c>
      <c r="E554" s="22" t="s">
        <v>1298</v>
      </c>
      <c r="F554" s="22">
        <v>32.236389000000003</v>
      </c>
      <c r="G554" s="22">
        <v>44.365278000000004</v>
      </c>
      <c r="H554" s="21" t="s">
        <v>802</v>
      </c>
      <c r="I554" s="21" t="s">
        <v>1176</v>
      </c>
      <c r="J554" s="21" t="s">
        <v>1299</v>
      </c>
      <c r="K554" s="24">
        <v>14</v>
      </c>
      <c r="L554" s="24">
        <v>84</v>
      </c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14</v>
      </c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>
        <v>14</v>
      </c>
      <c r="AK554" s="23"/>
      <c r="AL554" s="23"/>
      <c r="AM554" s="23"/>
      <c r="AN554" s="23"/>
      <c r="AO554" s="23"/>
      <c r="AP554" s="23">
        <v>14</v>
      </c>
      <c r="AQ554" s="23"/>
      <c r="AR554" s="23"/>
      <c r="AS554" s="23"/>
      <c r="AT554" s="23"/>
      <c r="AU554" s="14" t="str">
        <f>HYPERLINK("http://www.openstreetmap.org/?mlat=32.2364&amp;mlon=44.3653&amp;zoom=12#map=12/32.2364/44.3653","Maplink1")</f>
        <v>Maplink1</v>
      </c>
      <c r="AV554" s="14" t="str">
        <f>HYPERLINK("https://www.google.iq/maps/search/+32.2364,44.3653/@32.2364,44.3653,14z?hl=en","Maplink2")</f>
        <v>Maplink2</v>
      </c>
      <c r="AW554" s="14" t="str">
        <f>HYPERLINK("http://www.bing.com/maps/?lvl=14&amp;sty=h&amp;cp=32.2364~44.3653&amp;sp=point.32.2364_44.3653_Al-miamrah","Maplink3")</f>
        <v>Maplink3</v>
      </c>
    </row>
    <row r="555" spans="1:49" ht="15" customHeight="1" x14ac:dyDescent="0.25">
      <c r="A555" s="21">
        <v>7172</v>
      </c>
      <c r="B555" s="22" t="s">
        <v>10</v>
      </c>
      <c r="C555" s="22" t="s">
        <v>1173</v>
      </c>
      <c r="D555" s="22" t="s">
        <v>1300</v>
      </c>
      <c r="E555" s="22" t="s">
        <v>7634</v>
      </c>
      <c r="F555" s="22">
        <v>32.449722219999998</v>
      </c>
      <c r="G555" s="22">
        <v>44.396388889999997</v>
      </c>
      <c r="H555" s="21" t="s">
        <v>802</v>
      </c>
      <c r="I555" s="21" t="s">
        <v>1176</v>
      </c>
      <c r="J555" s="21" t="s">
        <v>1301</v>
      </c>
      <c r="K555" s="24">
        <v>26</v>
      </c>
      <c r="L555" s="24">
        <v>156</v>
      </c>
      <c r="M555" s="23">
        <v>7</v>
      </c>
      <c r="N555" s="23">
        <v>1</v>
      </c>
      <c r="O555" s="23">
        <v>1</v>
      </c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13</v>
      </c>
      <c r="Z555" s="23"/>
      <c r="AA555" s="23">
        <v>4</v>
      </c>
      <c r="AB555" s="23"/>
      <c r="AC555" s="23"/>
      <c r="AD555" s="23"/>
      <c r="AE555" s="23"/>
      <c r="AF555" s="23"/>
      <c r="AG555" s="23"/>
      <c r="AH555" s="23"/>
      <c r="AI555" s="23"/>
      <c r="AJ555" s="23"/>
      <c r="AK555" s="23">
        <v>26</v>
      </c>
      <c r="AL555" s="23"/>
      <c r="AM555" s="23"/>
      <c r="AN555" s="23"/>
      <c r="AO555" s="23">
        <v>1</v>
      </c>
      <c r="AP555" s="23">
        <v>6</v>
      </c>
      <c r="AQ555" s="23">
        <v>12</v>
      </c>
      <c r="AR555" s="23">
        <v>7</v>
      </c>
      <c r="AS555" s="23"/>
      <c r="AT555" s="23"/>
      <c r="AU555" s="14" t="str">
        <f>HYPERLINK("http://www.openstreetmap.org/?mlat=32.4497&amp;mlon=44.3964&amp;zoom=12#map=12/32.4497/44.3964","Maplink1")</f>
        <v>Maplink1</v>
      </c>
      <c r="AV555" s="14" t="str">
        <f>HYPERLINK("https://www.google.iq/maps/search/+32.4497,44.3964/@32.4497,44.3964,14z?hl=en","Maplink2")</f>
        <v>Maplink2</v>
      </c>
      <c r="AW555" s="14" t="str">
        <f>HYPERLINK("http://www.bing.com/maps/?lvl=14&amp;sty=h&amp;cp=32.4497~44.3964&amp;sp=point.32.4497_44.3964_Al-Muhandiseen 4","Maplink3")</f>
        <v>Maplink3</v>
      </c>
    </row>
    <row r="556" spans="1:49" ht="15" customHeight="1" x14ac:dyDescent="0.25">
      <c r="A556" s="21">
        <v>6630</v>
      </c>
      <c r="B556" s="22" t="s">
        <v>10</v>
      </c>
      <c r="C556" s="22" t="s">
        <v>1173</v>
      </c>
      <c r="D556" s="22" t="s">
        <v>1302</v>
      </c>
      <c r="E556" s="22" t="s">
        <v>7635</v>
      </c>
      <c r="F556" s="22">
        <v>32.268332999999998</v>
      </c>
      <c r="G556" s="22">
        <v>44.395000000000003</v>
      </c>
      <c r="H556" s="21" t="s">
        <v>802</v>
      </c>
      <c r="I556" s="21" t="s">
        <v>1176</v>
      </c>
      <c r="J556" s="21" t="s">
        <v>1303</v>
      </c>
      <c r="K556" s="24">
        <v>8</v>
      </c>
      <c r="L556" s="24">
        <v>48</v>
      </c>
      <c r="M556" s="23"/>
      <c r="N556" s="23"/>
      <c r="O556" s="23"/>
      <c r="P556" s="23"/>
      <c r="Q556" s="23"/>
      <c r="R556" s="23">
        <v>3</v>
      </c>
      <c r="S556" s="23"/>
      <c r="T556" s="23"/>
      <c r="U556" s="23"/>
      <c r="V556" s="23"/>
      <c r="W556" s="23"/>
      <c r="X556" s="23"/>
      <c r="Y556" s="23">
        <v>5</v>
      </c>
      <c r="Z556" s="23"/>
      <c r="AA556" s="23"/>
      <c r="AB556" s="23"/>
      <c r="AC556" s="23"/>
      <c r="AD556" s="23"/>
      <c r="AE556" s="23"/>
      <c r="AF556" s="23">
        <v>8</v>
      </c>
      <c r="AG556" s="23"/>
      <c r="AH556" s="23"/>
      <c r="AI556" s="23"/>
      <c r="AJ556" s="23"/>
      <c r="AK556" s="23"/>
      <c r="AL556" s="23"/>
      <c r="AM556" s="23"/>
      <c r="AN556" s="23"/>
      <c r="AO556" s="23"/>
      <c r="AP556" s="23">
        <v>5</v>
      </c>
      <c r="AQ556" s="23">
        <v>3</v>
      </c>
      <c r="AR556" s="23"/>
      <c r="AS556" s="23"/>
      <c r="AT556" s="23"/>
      <c r="AU556" s="14" t="str">
        <f>HYPERLINK("http://www.openstreetmap.org/?mlat=32.2683&amp;mlon=44.395&amp;zoom=12#map=12/32.2683/44.395","Maplink1")</f>
        <v>Maplink1</v>
      </c>
      <c r="AV556" s="14" t="str">
        <f>HYPERLINK("https://www.google.iq/maps/search/+32.2683,44.395/@32.2683,44.395,14z?hl=en","Maplink2")</f>
        <v>Maplink2</v>
      </c>
      <c r="AW556" s="14" t="str">
        <f>HYPERLINK("http://www.bing.com/maps/?lvl=14&amp;sty=h&amp;cp=32.2683~44.395&amp;sp=point.32.2683_44.395_Al-muradiyah","Maplink3")</f>
        <v>Maplink3</v>
      </c>
    </row>
    <row r="557" spans="1:49" ht="15" customHeight="1" x14ac:dyDescent="0.25">
      <c r="A557" s="21">
        <v>6918</v>
      </c>
      <c r="B557" s="22" t="s">
        <v>10</v>
      </c>
      <c r="C557" s="22" t="s">
        <v>1173</v>
      </c>
      <c r="D557" s="22" t="s">
        <v>1304</v>
      </c>
      <c r="E557" s="22" t="s">
        <v>7636</v>
      </c>
      <c r="F557" s="22">
        <v>32.44</v>
      </c>
      <c r="G557" s="22">
        <v>44.346389000000002</v>
      </c>
      <c r="H557" s="21" t="s">
        <v>802</v>
      </c>
      <c r="I557" s="21" t="s">
        <v>1176</v>
      </c>
      <c r="J557" s="21" t="s">
        <v>1305</v>
      </c>
      <c r="K557" s="24">
        <v>4</v>
      </c>
      <c r="L557" s="24">
        <v>24</v>
      </c>
      <c r="M557" s="23"/>
      <c r="N557" s="23">
        <v>4</v>
      </c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>
        <v>4</v>
      </c>
      <c r="AL557" s="23"/>
      <c r="AM557" s="23"/>
      <c r="AN557" s="23"/>
      <c r="AO557" s="23"/>
      <c r="AP557" s="23">
        <v>4</v>
      </c>
      <c r="AQ557" s="23"/>
      <c r="AR557" s="23"/>
      <c r="AS557" s="23"/>
      <c r="AT557" s="23"/>
      <c r="AU557" s="14" t="str">
        <f>HYPERLINK("http://www.openstreetmap.org/?mlat=32.44&amp;mlon=44.3464&amp;zoom=12#map=12/32.44/44.3464","Maplink1")</f>
        <v>Maplink1</v>
      </c>
      <c r="AV557" s="14" t="str">
        <f>HYPERLINK("https://www.google.iq/maps/search/+32.44,44.3464/@32.44,44.3464,14z?hl=en","Maplink2")</f>
        <v>Maplink2</v>
      </c>
      <c r="AW557" s="14" t="str">
        <f>HYPERLINK("http://www.bing.com/maps/?lvl=14&amp;sty=h&amp;cp=32.44~44.3464&amp;sp=point.32.44_44.3464_Al-nidhal","Maplink3")</f>
        <v>Maplink3</v>
      </c>
    </row>
    <row r="558" spans="1:49" ht="15" customHeight="1" x14ac:dyDescent="0.25">
      <c r="A558" s="21">
        <v>27404</v>
      </c>
      <c r="B558" s="22" t="s">
        <v>10</v>
      </c>
      <c r="C558" s="22" t="s">
        <v>1173</v>
      </c>
      <c r="D558" s="22" t="s">
        <v>1306</v>
      </c>
      <c r="E558" s="22" t="s">
        <v>1307</v>
      </c>
      <c r="F558" s="22">
        <v>32.565219999999997</v>
      </c>
      <c r="G558" s="22">
        <v>44.393175999999997</v>
      </c>
      <c r="H558" s="21" t="s">
        <v>802</v>
      </c>
      <c r="I558" s="21" t="s">
        <v>1176</v>
      </c>
      <c r="J558" s="21"/>
      <c r="K558" s="24">
        <v>12</v>
      </c>
      <c r="L558" s="24">
        <v>72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>
        <v>12</v>
      </c>
      <c r="Z558" s="23"/>
      <c r="AA558" s="23"/>
      <c r="AB558" s="23"/>
      <c r="AC558" s="23"/>
      <c r="AD558" s="23"/>
      <c r="AE558" s="23"/>
      <c r="AF558" s="23">
        <v>1</v>
      </c>
      <c r="AG558" s="23"/>
      <c r="AH558" s="23"/>
      <c r="AI558" s="23"/>
      <c r="AJ558" s="23">
        <v>4</v>
      </c>
      <c r="AK558" s="23">
        <v>3</v>
      </c>
      <c r="AL558" s="23">
        <v>4</v>
      </c>
      <c r="AM558" s="23"/>
      <c r="AN558" s="23"/>
      <c r="AO558" s="23">
        <v>1</v>
      </c>
      <c r="AP558" s="23">
        <v>7</v>
      </c>
      <c r="AQ558" s="23">
        <v>4</v>
      </c>
      <c r="AR558" s="23"/>
      <c r="AS558" s="23"/>
      <c r="AT558" s="23"/>
      <c r="AU558" s="14" t="str">
        <f>HYPERLINK("http://www.openstreetmap.org/?mlat=32.5652&amp;mlon=44.3932&amp;zoom=12#map=12/32.5652/44.3932","Maplink1")</f>
        <v>Maplink1</v>
      </c>
      <c r="AV558" s="14" t="str">
        <f>HYPERLINK("https://www.google.iq/maps/search/+32.5652,44.3932/@32.5652,44.3932,14z?hl=en","Maplink2")</f>
        <v>Maplink2</v>
      </c>
      <c r="AW558" s="14" t="str">
        <f>HYPERLINK("http://www.bing.com/maps/?lvl=14&amp;sty=h&amp;cp=32.5652~44.3932&amp;sp=point.32.5652_44.3932_Al-Nikhela Al-Garbia","Maplink3")</f>
        <v>Maplink3</v>
      </c>
    </row>
    <row r="559" spans="1:49" ht="15" customHeight="1" x14ac:dyDescent="0.25">
      <c r="A559" s="21">
        <v>24516</v>
      </c>
      <c r="B559" s="22" t="s">
        <v>10</v>
      </c>
      <c r="C559" s="22" t="s">
        <v>1173</v>
      </c>
      <c r="D559" s="22" t="s">
        <v>1308</v>
      </c>
      <c r="E559" s="22" t="s">
        <v>7637</v>
      </c>
      <c r="F559" s="22">
        <v>32.409542000000002</v>
      </c>
      <c r="G559" s="22">
        <v>44.405504999999998</v>
      </c>
      <c r="H559" s="21" t="s">
        <v>802</v>
      </c>
      <c r="I559" s="21" t="s">
        <v>1176</v>
      </c>
      <c r="J559" s="21"/>
      <c r="K559" s="24">
        <v>30</v>
      </c>
      <c r="L559" s="24">
        <v>180</v>
      </c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30</v>
      </c>
      <c r="Z559" s="23"/>
      <c r="AA559" s="23"/>
      <c r="AB559" s="23"/>
      <c r="AC559" s="23"/>
      <c r="AD559" s="23"/>
      <c r="AE559" s="23"/>
      <c r="AF559" s="23">
        <v>30</v>
      </c>
      <c r="AG559" s="23"/>
      <c r="AH559" s="23"/>
      <c r="AI559" s="23"/>
      <c r="AJ559" s="23"/>
      <c r="AK559" s="23"/>
      <c r="AL559" s="23"/>
      <c r="AM559" s="23"/>
      <c r="AN559" s="23"/>
      <c r="AO559" s="23"/>
      <c r="AP559" s="23">
        <v>30</v>
      </c>
      <c r="AQ559" s="23"/>
      <c r="AR559" s="23"/>
      <c r="AS559" s="23"/>
      <c r="AT559" s="23"/>
      <c r="AU559" s="14" t="str">
        <f>HYPERLINK("http://www.openstreetmap.org/?mlat=32.4095&amp;mlon=44.4055&amp;zoom=12#map=12/32.4095/44.4055","Maplink1")</f>
        <v>Maplink1</v>
      </c>
      <c r="AV559" s="14" t="str">
        <f>HYPERLINK("https://www.google.iq/maps/search/+32.4095,44.4055/@32.4095,44.4055,14z?hl=en","Maplink2")</f>
        <v>Maplink2</v>
      </c>
      <c r="AW559" s="14" t="str">
        <f>HYPERLINK("http://www.bing.com/maps/?lvl=14&amp;sty=h&amp;cp=32.4095~44.4055&amp;sp=point.32.4095_44.4055_Al-Rarengya","Maplink3")</f>
        <v>Maplink3</v>
      </c>
    </row>
    <row r="560" spans="1:49" ht="15" customHeight="1" x14ac:dyDescent="0.25">
      <c r="A560" s="21">
        <v>7154</v>
      </c>
      <c r="B560" s="22" t="s">
        <v>10</v>
      </c>
      <c r="C560" s="22" t="s">
        <v>1173</v>
      </c>
      <c r="D560" s="22" t="s">
        <v>1309</v>
      </c>
      <c r="E560" s="22" t="s">
        <v>1310</v>
      </c>
      <c r="F560" s="22">
        <v>32.40428</v>
      </c>
      <c r="G560" s="22">
        <v>44.323957</v>
      </c>
      <c r="H560" s="21" t="s">
        <v>802</v>
      </c>
      <c r="I560" s="21" t="s">
        <v>1176</v>
      </c>
      <c r="J560" s="21" t="s">
        <v>1311</v>
      </c>
      <c r="K560" s="24">
        <v>32</v>
      </c>
      <c r="L560" s="24">
        <v>192</v>
      </c>
      <c r="M560" s="23">
        <v>1</v>
      </c>
      <c r="N560" s="23"/>
      <c r="O560" s="23"/>
      <c r="P560" s="23"/>
      <c r="Q560" s="23"/>
      <c r="R560" s="23">
        <v>1</v>
      </c>
      <c r="S560" s="23"/>
      <c r="T560" s="23"/>
      <c r="U560" s="23"/>
      <c r="V560" s="23"/>
      <c r="W560" s="23"/>
      <c r="X560" s="23"/>
      <c r="Y560" s="23">
        <v>30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>
        <v>28</v>
      </c>
      <c r="AL560" s="23"/>
      <c r="AM560" s="23">
        <v>4</v>
      </c>
      <c r="AN560" s="23"/>
      <c r="AO560" s="23"/>
      <c r="AP560" s="23">
        <v>18</v>
      </c>
      <c r="AQ560" s="23">
        <v>12</v>
      </c>
      <c r="AR560" s="23">
        <v>2</v>
      </c>
      <c r="AS560" s="23"/>
      <c r="AT560" s="23"/>
      <c r="AU560" s="14" t="str">
        <f>HYPERLINK("http://www.openstreetmap.org/?mlat=32.4043&amp;mlon=44.324&amp;zoom=12#map=12/32.4043/44.324","Maplink1")</f>
        <v>Maplink1</v>
      </c>
      <c r="AV560" s="14" t="str">
        <f>HYPERLINK("https://www.google.iq/maps/search/+32.4043,44.324/@32.4043,44.324,14z?hl=en","Maplink2")</f>
        <v>Maplink2</v>
      </c>
      <c r="AW560" s="14" t="str">
        <f>HYPERLINK("http://www.bing.com/maps/?lvl=14&amp;sty=h&amp;cp=32.4043~44.324&amp;sp=point.32.4043_44.324_Al-Shawi","Maplink3")</f>
        <v>Maplink3</v>
      </c>
    </row>
    <row r="561" spans="1:49" ht="15" customHeight="1" x14ac:dyDescent="0.25">
      <c r="A561" s="21">
        <v>7155</v>
      </c>
      <c r="B561" s="22" t="s">
        <v>10</v>
      </c>
      <c r="C561" s="22" t="s">
        <v>1173</v>
      </c>
      <c r="D561" s="22" t="s">
        <v>1312</v>
      </c>
      <c r="E561" s="22" t="s">
        <v>7638</v>
      </c>
      <c r="F561" s="22">
        <v>32.503197</v>
      </c>
      <c r="G561" s="22">
        <v>44.420572999999997</v>
      </c>
      <c r="H561" s="21" t="s">
        <v>802</v>
      </c>
      <c r="I561" s="21" t="s">
        <v>1176</v>
      </c>
      <c r="J561" s="21" t="s">
        <v>1313</v>
      </c>
      <c r="K561" s="24">
        <v>7</v>
      </c>
      <c r="L561" s="24">
        <v>42</v>
      </c>
      <c r="M561" s="23">
        <v>1</v>
      </c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6</v>
      </c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>
        <v>7</v>
      </c>
      <c r="AL561" s="23"/>
      <c r="AM561" s="23"/>
      <c r="AN561" s="23"/>
      <c r="AO561" s="23"/>
      <c r="AP561" s="23">
        <v>6</v>
      </c>
      <c r="AQ561" s="23"/>
      <c r="AR561" s="23"/>
      <c r="AS561" s="23">
        <v>1</v>
      </c>
      <c r="AT561" s="23"/>
      <c r="AU561" s="14" t="str">
        <f>HYPERLINK("http://www.openstreetmap.org/?mlat=32.5032&amp;mlon=44.4206&amp;zoom=12#map=12/32.5032/44.4206","Maplink1")</f>
        <v>Maplink1</v>
      </c>
      <c r="AV561" s="14" t="str">
        <f>HYPERLINK("https://www.google.iq/maps/search/+32.5032,44.4206/@32.5032,44.4206,14z?hl=en","Maplink2")</f>
        <v>Maplink2</v>
      </c>
      <c r="AW561" s="14" t="str">
        <f>HYPERLINK("http://www.bing.com/maps/?lvl=14&amp;sty=h&amp;cp=32.5032~44.4206&amp;sp=point.32.5032_44.4206_Al-Thawra Al-Sharqia","Maplink3")</f>
        <v>Maplink3</v>
      </c>
    </row>
    <row r="562" spans="1:49" ht="15" customHeight="1" x14ac:dyDescent="0.25">
      <c r="A562" s="21">
        <v>24694</v>
      </c>
      <c r="B562" s="22" t="s">
        <v>10</v>
      </c>
      <c r="C562" s="22" t="s">
        <v>1173</v>
      </c>
      <c r="D562" s="22" t="s">
        <v>1314</v>
      </c>
      <c r="E562" s="22" t="s">
        <v>1315</v>
      </c>
      <c r="F562" s="22">
        <v>32.455216999999998</v>
      </c>
      <c r="G562" s="22">
        <v>44.448732999999997</v>
      </c>
      <c r="H562" s="21" t="s">
        <v>802</v>
      </c>
      <c r="I562" s="21" t="s">
        <v>1176</v>
      </c>
      <c r="J562" s="21"/>
      <c r="K562" s="24">
        <v>23</v>
      </c>
      <c r="L562" s="24">
        <v>138</v>
      </c>
      <c r="M562" s="23">
        <v>5</v>
      </c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17</v>
      </c>
      <c r="Z562" s="23"/>
      <c r="AA562" s="23">
        <v>1</v>
      </c>
      <c r="AB562" s="23"/>
      <c r="AC562" s="23"/>
      <c r="AD562" s="23"/>
      <c r="AE562" s="23"/>
      <c r="AF562" s="23"/>
      <c r="AG562" s="23"/>
      <c r="AH562" s="23"/>
      <c r="AI562" s="23"/>
      <c r="AJ562" s="23"/>
      <c r="AK562" s="23">
        <v>23</v>
      </c>
      <c r="AL562" s="23"/>
      <c r="AM562" s="23"/>
      <c r="AN562" s="23"/>
      <c r="AO562" s="23"/>
      <c r="AP562" s="23">
        <v>17</v>
      </c>
      <c r="AQ562" s="23">
        <v>1</v>
      </c>
      <c r="AR562" s="23">
        <v>5</v>
      </c>
      <c r="AS562" s="23"/>
      <c r="AT562" s="23"/>
      <c r="AU562" s="14" t="str">
        <f>HYPERLINK("http://www.openstreetmap.org/?mlat=32.4552&amp;mlon=44.4487&amp;zoom=12#map=12/32.4552/44.4487","Maplink1")</f>
        <v>Maplink1</v>
      </c>
      <c r="AV562" s="14" t="str">
        <f>HYPERLINK("https://www.google.iq/maps/search/+32.4552,44.4487/@32.4552,44.4487,14z?hl=en","Maplink2")</f>
        <v>Maplink2</v>
      </c>
      <c r="AW562" s="14" t="str">
        <f>HYPERLINK("http://www.bing.com/maps/?lvl=14&amp;sty=h&amp;cp=32.4552~44.4487&amp;sp=point.32.4552_44.4487_Alataig","Maplink3")</f>
        <v>Maplink3</v>
      </c>
    </row>
    <row r="563" spans="1:49" ht="15" customHeight="1" x14ac:dyDescent="0.25">
      <c r="A563" s="21">
        <v>25443</v>
      </c>
      <c r="B563" s="22" t="s">
        <v>10</v>
      </c>
      <c r="C563" s="22" t="s">
        <v>1173</v>
      </c>
      <c r="D563" s="22" t="s">
        <v>1316</v>
      </c>
      <c r="E563" s="22" t="s">
        <v>1317</v>
      </c>
      <c r="F563" s="22">
        <v>32.522599999999997</v>
      </c>
      <c r="G563" s="22">
        <v>44.445908000000003</v>
      </c>
      <c r="H563" s="21" t="s">
        <v>802</v>
      </c>
      <c r="I563" s="21" t="s">
        <v>1176</v>
      </c>
      <c r="J563" s="21"/>
      <c r="K563" s="24">
        <v>29</v>
      </c>
      <c r="L563" s="24">
        <v>174</v>
      </c>
      <c r="M563" s="23">
        <v>5</v>
      </c>
      <c r="N563" s="23">
        <v>4</v>
      </c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20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>
        <v>29</v>
      </c>
      <c r="AL563" s="23"/>
      <c r="AM563" s="23"/>
      <c r="AN563" s="23"/>
      <c r="AO563" s="23"/>
      <c r="AP563" s="23">
        <v>20</v>
      </c>
      <c r="AQ563" s="23">
        <v>4</v>
      </c>
      <c r="AR563" s="23">
        <v>5</v>
      </c>
      <c r="AS563" s="23"/>
      <c r="AT563" s="23"/>
      <c r="AU563" s="14" t="str">
        <f>HYPERLINK("http://www.openstreetmap.org/?mlat=32.5226&amp;mlon=44.4459&amp;zoom=12#map=12/32.5226/44.4459","Maplink1")</f>
        <v>Maplink1</v>
      </c>
      <c r="AV563" s="14" t="str">
        <f>HYPERLINK("https://www.google.iq/maps/search/+32.5226,44.4459/@32.5226,44.4459,14z?hl=en","Maplink2")</f>
        <v>Maplink2</v>
      </c>
      <c r="AW563" s="14" t="str">
        <f>HYPERLINK("http://www.bing.com/maps/?lvl=14&amp;sty=h&amp;cp=32.5226~44.4459&amp;sp=point.32.5226_44.4459_Albo Alyan","Maplink3")</f>
        <v>Maplink3</v>
      </c>
    </row>
    <row r="564" spans="1:49" ht="15" customHeight="1" x14ac:dyDescent="0.25">
      <c r="A564" s="21">
        <v>24460</v>
      </c>
      <c r="B564" s="22" t="s">
        <v>10</v>
      </c>
      <c r="C564" s="22" t="s">
        <v>1173</v>
      </c>
      <c r="D564" s="22" t="s">
        <v>1318</v>
      </c>
      <c r="E564" s="22" t="s">
        <v>1319</v>
      </c>
      <c r="F564" s="22">
        <v>32.490887999999998</v>
      </c>
      <c r="G564" s="22">
        <v>44.450150000000001</v>
      </c>
      <c r="H564" s="21" t="s">
        <v>802</v>
      </c>
      <c r="I564" s="21" t="s">
        <v>1176</v>
      </c>
      <c r="J564" s="21"/>
      <c r="K564" s="24">
        <v>16</v>
      </c>
      <c r="L564" s="24">
        <v>96</v>
      </c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>
        <v>16</v>
      </c>
      <c r="Z564" s="23"/>
      <c r="AA564" s="23"/>
      <c r="AB564" s="23"/>
      <c r="AC564" s="23"/>
      <c r="AD564" s="23"/>
      <c r="AE564" s="23"/>
      <c r="AF564" s="23">
        <v>16</v>
      </c>
      <c r="AG564" s="23"/>
      <c r="AH564" s="23"/>
      <c r="AI564" s="23"/>
      <c r="AJ564" s="23"/>
      <c r="AK564" s="23"/>
      <c r="AL564" s="23"/>
      <c r="AM564" s="23"/>
      <c r="AN564" s="23"/>
      <c r="AO564" s="23"/>
      <c r="AP564" s="23">
        <v>10</v>
      </c>
      <c r="AQ564" s="23">
        <v>6</v>
      </c>
      <c r="AR564" s="23"/>
      <c r="AS564" s="23"/>
      <c r="AT564" s="23"/>
      <c r="AU564" s="14" t="str">
        <f>HYPERLINK("http://www.openstreetmap.org/?mlat=32.4909&amp;mlon=44.4502&amp;zoom=12#map=12/32.4909/44.4502","Maplink1")</f>
        <v>Maplink1</v>
      </c>
      <c r="AV564" s="14" t="str">
        <f>HYPERLINK("https://www.google.iq/maps/search/+32.4909,44.4502/@32.4909,44.4502,14z?hl=en","Maplink2")</f>
        <v>Maplink2</v>
      </c>
      <c r="AW564" s="14" t="str">
        <f>HYPERLINK("http://www.bing.com/maps/?lvl=14&amp;sty=h&amp;cp=32.4909~44.4502&amp;sp=point.32.4909_44.4502_Albo Hamir","Maplink3")</f>
        <v>Maplink3</v>
      </c>
    </row>
    <row r="565" spans="1:49" ht="15" customHeight="1" x14ac:dyDescent="0.25">
      <c r="A565" s="21">
        <v>24512</v>
      </c>
      <c r="B565" s="22" t="s">
        <v>10</v>
      </c>
      <c r="C565" s="22" t="s">
        <v>1173</v>
      </c>
      <c r="D565" s="22" t="s">
        <v>1320</v>
      </c>
      <c r="E565" s="22" t="s">
        <v>1321</v>
      </c>
      <c r="F565" s="22">
        <v>32.533448</v>
      </c>
      <c r="G565" s="22">
        <v>44.449617000000003</v>
      </c>
      <c r="H565" s="21" t="s">
        <v>802</v>
      </c>
      <c r="I565" s="21" t="s">
        <v>1176</v>
      </c>
      <c r="J565" s="21"/>
      <c r="K565" s="24">
        <v>9</v>
      </c>
      <c r="L565" s="24">
        <v>54</v>
      </c>
      <c r="M565" s="23">
        <v>3</v>
      </c>
      <c r="N565" s="23">
        <v>3</v>
      </c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>
        <v>3</v>
      </c>
      <c r="Z565" s="23"/>
      <c r="AA565" s="23"/>
      <c r="AB565" s="23"/>
      <c r="AC565" s="23"/>
      <c r="AD565" s="23"/>
      <c r="AE565" s="23"/>
      <c r="AF565" s="23">
        <v>5</v>
      </c>
      <c r="AG565" s="23"/>
      <c r="AH565" s="23"/>
      <c r="AI565" s="23"/>
      <c r="AJ565" s="23"/>
      <c r="AK565" s="23">
        <v>4</v>
      </c>
      <c r="AL565" s="23"/>
      <c r="AM565" s="23"/>
      <c r="AN565" s="23"/>
      <c r="AO565" s="23"/>
      <c r="AP565" s="23">
        <v>3</v>
      </c>
      <c r="AQ565" s="23">
        <v>3</v>
      </c>
      <c r="AR565" s="23"/>
      <c r="AS565" s="23">
        <v>3</v>
      </c>
      <c r="AT565" s="23"/>
      <c r="AU565" s="14" t="str">
        <f>HYPERLINK("http://www.openstreetmap.org/?mlat=32.5334&amp;mlon=44.4496&amp;zoom=12#map=12/32.5334/44.4496","Maplink1")</f>
        <v>Maplink1</v>
      </c>
      <c r="AV565" s="14" t="str">
        <f>HYPERLINK("https://www.google.iq/maps/search/+32.5334,44.4496/@32.5334,44.4496,14z?hl=en","Maplink2")</f>
        <v>Maplink2</v>
      </c>
      <c r="AW565" s="14" t="str">
        <f>HYPERLINK("http://www.bing.com/maps/?lvl=14&amp;sty=h&amp;cp=32.5334~44.4496&amp;sp=point.32.5334_44.4496_Albu Ajaaj","Maplink3")</f>
        <v>Maplink3</v>
      </c>
    </row>
    <row r="566" spans="1:49" ht="15" customHeight="1" x14ac:dyDescent="0.25">
      <c r="A566" s="21">
        <v>24511</v>
      </c>
      <c r="B566" s="22" t="s">
        <v>10</v>
      </c>
      <c r="C566" s="22" t="s">
        <v>1173</v>
      </c>
      <c r="D566" s="22" t="s">
        <v>1322</v>
      </c>
      <c r="E566" s="22" t="s">
        <v>1323</v>
      </c>
      <c r="F566" s="22">
        <v>32.487054999999998</v>
      </c>
      <c r="G566" s="22">
        <v>44.397134000000001</v>
      </c>
      <c r="H566" s="21" t="s">
        <v>802</v>
      </c>
      <c r="I566" s="21" t="s">
        <v>1176</v>
      </c>
      <c r="J566" s="21"/>
      <c r="K566" s="24">
        <v>57</v>
      </c>
      <c r="L566" s="24">
        <v>342</v>
      </c>
      <c r="M566" s="23">
        <v>5</v>
      </c>
      <c r="N566" s="23"/>
      <c r="O566" s="23">
        <v>1</v>
      </c>
      <c r="P566" s="23"/>
      <c r="Q566" s="23"/>
      <c r="R566" s="23"/>
      <c r="S566" s="23"/>
      <c r="T566" s="23"/>
      <c r="U566" s="23"/>
      <c r="V566" s="23"/>
      <c r="W566" s="23"/>
      <c r="X566" s="23"/>
      <c r="Y566" s="23">
        <v>51</v>
      </c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>
        <v>57</v>
      </c>
      <c r="AL566" s="23"/>
      <c r="AM566" s="23"/>
      <c r="AN566" s="23"/>
      <c r="AO566" s="23"/>
      <c r="AP566" s="23">
        <v>51</v>
      </c>
      <c r="AQ566" s="23">
        <v>1</v>
      </c>
      <c r="AR566" s="23">
        <v>5</v>
      </c>
      <c r="AS566" s="23"/>
      <c r="AT566" s="23"/>
      <c r="AU566" s="14" t="str">
        <f>HYPERLINK("http://www.openstreetmap.org/?mlat=32.4871&amp;mlon=44.3971&amp;zoom=12#map=12/32.4871/44.3971","Maplink1")</f>
        <v>Maplink1</v>
      </c>
      <c r="AV566" s="14" t="str">
        <f>HYPERLINK("https://www.google.iq/maps/search/+32.4871,44.3971/@32.4871,44.3971,14z?hl=en","Maplink2")</f>
        <v>Maplink2</v>
      </c>
      <c r="AW566" s="14" t="str">
        <f>HYPERLINK("http://www.bing.com/maps/?lvl=14&amp;sty=h&amp;cp=32.4871~44.3971&amp;sp=point.32.4871_44.3971_AlMarashdah Villge","Maplink3")</f>
        <v>Maplink3</v>
      </c>
    </row>
    <row r="567" spans="1:49" ht="15" customHeight="1" x14ac:dyDescent="0.25">
      <c r="A567" s="21">
        <v>25445</v>
      </c>
      <c r="B567" s="22" t="s">
        <v>10</v>
      </c>
      <c r="C567" s="22" t="s">
        <v>1173</v>
      </c>
      <c r="D567" s="22" t="s">
        <v>1324</v>
      </c>
      <c r="E567" s="22" t="s">
        <v>1325</v>
      </c>
      <c r="F567" s="22">
        <v>32.478639999999999</v>
      </c>
      <c r="G567" s="22">
        <v>44.437572000000003</v>
      </c>
      <c r="H567" s="21" t="s">
        <v>802</v>
      </c>
      <c r="I567" s="21" t="s">
        <v>1176</v>
      </c>
      <c r="J567" s="21"/>
      <c r="K567" s="24">
        <v>30</v>
      </c>
      <c r="L567" s="24">
        <v>180</v>
      </c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30</v>
      </c>
      <c r="Z567" s="23"/>
      <c r="AA567" s="23"/>
      <c r="AB567" s="23"/>
      <c r="AC567" s="23"/>
      <c r="AD567" s="23"/>
      <c r="AE567" s="23"/>
      <c r="AF567" s="23">
        <v>7</v>
      </c>
      <c r="AG567" s="23"/>
      <c r="AH567" s="23"/>
      <c r="AI567" s="23"/>
      <c r="AJ567" s="23"/>
      <c r="AK567" s="23">
        <v>23</v>
      </c>
      <c r="AL567" s="23"/>
      <c r="AM567" s="23"/>
      <c r="AN567" s="23"/>
      <c r="AO567" s="23"/>
      <c r="AP567" s="23">
        <v>30</v>
      </c>
      <c r="AQ567" s="23"/>
      <c r="AR567" s="23"/>
      <c r="AS567" s="23"/>
      <c r="AT567" s="23"/>
      <c r="AU567" s="14" t="str">
        <f>HYPERLINK("http://www.openstreetmap.org/?mlat=32.4786&amp;mlon=44.4376&amp;zoom=12#map=12/32.4786/44.4376","Maplink1")</f>
        <v>Maplink1</v>
      </c>
      <c r="AV567" s="14" t="str">
        <f>HYPERLINK("https://www.google.iq/maps/search/+32.4786,44.4376/@32.4786,44.4376,14z?hl=en","Maplink2")</f>
        <v>Maplink2</v>
      </c>
      <c r="AW567" s="14" t="str">
        <f>HYPERLINK("http://www.bing.com/maps/?lvl=14&amp;sty=h&amp;cp=32.4786~44.4376&amp;sp=point.32.4786_44.4376_Alsania-Gubran","Maplink3")</f>
        <v>Maplink3</v>
      </c>
    </row>
    <row r="568" spans="1:49" ht="15" customHeight="1" x14ac:dyDescent="0.25">
      <c r="A568" s="21">
        <v>7137</v>
      </c>
      <c r="B568" s="22" t="s">
        <v>10</v>
      </c>
      <c r="C568" s="22" t="s">
        <v>1173</v>
      </c>
      <c r="D568" s="22" t="s">
        <v>1326</v>
      </c>
      <c r="E568" s="22" t="s">
        <v>1327</v>
      </c>
      <c r="F568" s="22">
        <v>32.53</v>
      </c>
      <c r="G568" s="22">
        <v>44.411999999999999</v>
      </c>
      <c r="H568" s="21" t="s">
        <v>802</v>
      </c>
      <c r="I568" s="21" t="s">
        <v>1176</v>
      </c>
      <c r="J568" s="21" t="s">
        <v>1328</v>
      </c>
      <c r="K568" s="24">
        <v>31</v>
      </c>
      <c r="L568" s="24">
        <v>186</v>
      </c>
      <c r="M568" s="23">
        <v>8</v>
      </c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>
        <v>22</v>
      </c>
      <c r="Z568" s="23"/>
      <c r="AA568" s="23">
        <v>1</v>
      </c>
      <c r="AB568" s="23"/>
      <c r="AC568" s="23"/>
      <c r="AD568" s="23"/>
      <c r="AE568" s="23"/>
      <c r="AF568" s="23"/>
      <c r="AG568" s="23"/>
      <c r="AH568" s="23"/>
      <c r="AI568" s="23"/>
      <c r="AJ568" s="23"/>
      <c r="AK568" s="23">
        <v>31</v>
      </c>
      <c r="AL568" s="23"/>
      <c r="AM568" s="23"/>
      <c r="AN568" s="23"/>
      <c r="AO568" s="23"/>
      <c r="AP568" s="23">
        <v>22</v>
      </c>
      <c r="AQ568" s="23">
        <v>1</v>
      </c>
      <c r="AR568" s="23">
        <v>8</v>
      </c>
      <c r="AS568" s="23"/>
      <c r="AT568" s="23"/>
      <c r="AU568" s="14" t="str">
        <f>HYPERLINK("http://www.openstreetmap.org/?mlat=32.53&amp;mlon=44.412&amp;zoom=12#map=12/32.53/44.412","Maplink1")</f>
        <v>Maplink1</v>
      </c>
      <c r="AV568" s="14" t="str">
        <f>HYPERLINK("https://www.google.iq/maps/search/+32.53,44.412/@32.53,44.412,14z?hl=en","Maplink2")</f>
        <v>Maplink2</v>
      </c>
      <c r="AW568" s="14" t="str">
        <f>HYPERLINK("http://www.bing.com/maps/?lvl=14&amp;sty=h&amp;cp=32.53~44.412&amp;sp=point.32.53_44.412_Anana village","Maplink3")</f>
        <v>Maplink3</v>
      </c>
    </row>
    <row r="569" spans="1:49" ht="15" customHeight="1" x14ac:dyDescent="0.25">
      <c r="A569" s="21">
        <v>24708</v>
      </c>
      <c r="B569" s="22" t="s">
        <v>10</v>
      </c>
      <c r="C569" s="22" t="s">
        <v>1173</v>
      </c>
      <c r="D569" s="22" t="s">
        <v>1329</v>
      </c>
      <c r="E569" s="22" t="s">
        <v>1330</v>
      </c>
      <c r="F569" s="22">
        <v>32.488621999999999</v>
      </c>
      <c r="G569" s="22">
        <v>44.435110999999999</v>
      </c>
      <c r="H569" s="21" t="s">
        <v>802</v>
      </c>
      <c r="I569" s="21" t="s">
        <v>1176</v>
      </c>
      <c r="J569" s="21"/>
      <c r="K569" s="24">
        <v>1</v>
      </c>
      <c r="L569" s="24">
        <v>6</v>
      </c>
      <c r="M569" s="23">
        <v>1</v>
      </c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>
        <v>1</v>
      </c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>
        <v>1</v>
      </c>
      <c r="AT569" s="23"/>
      <c r="AU569" s="14" t="str">
        <f>HYPERLINK("http://www.openstreetmap.org/?mlat=32.4886&amp;mlon=44.4351&amp;zoom=12#map=12/32.4886/44.4351","Maplink1")</f>
        <v>Maplink1</v>
      </c>
      <c r="AV569" s="14" t="str">
        <f>HYPERLINK("https://www.google.iq/maps/search/+32.4886,44.4351/@32.4886,44.4351,14z?hl=en","Maplink2")</f>
        <v>Maplink2</v>
      </c>
      <c r="AW569" s="14" t="str">
        <f>HYPERLINK("http://www.bing.com/maps/?lvl=14&amp;sty=h&amp;cp=32.4886~44.4351&amp;sp=point.32.4886_44.4351_Bab Al Hussien","Maplink3")</f>
        <v>Maplink3</v>
      </c>
    </row>
    <row r="570" spans="1:49" ht="15" customHeight="1" x14ac:dyDescent="0.25">
      <c r="A570" s="21">
        <v>24753</v>
      </c>
      <c r="B570" s="22" t="s">
        <v>10</v>
      </c>
      <c r="C570" s="22" t="s">
        <v>1173</v>
      </c>
      <c r="D570" s="22" t="s">
        <v>1331</v>
      </c>
      <c r="E570" s="22" t="s">
        <v>1332</v>
      </c>
      <c r="F570" s="22">
        <v>32.290019000000001</v>
      </c>
      <c r="G570" s="22">
        <v>44.342148999999999</v>
      </c>
      <c r="H570" s="21" t="s">
        <v>802</v>
      </c>
      <c r="I570" s="21" t="s">
        <v>1176</v>
      </c>
      <c r="J570" s="21"/>
      <c r="K570" s="24">
        <v>33</v>
      </c>
      <c r="L570" s="24">
        <v>198</v>
      </c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33</v>
      </c>
      <c r="Z570" s="23"/>
      <c r="AA570" s="23"/>
      <c r="AB570" s="23"/>
      <c r="AC570" s="23"/>
      <c r="AD570" s="23"/>
      <c r="AE570" s="23"/>
      <c r="AF570" s="23">
        <v>4</v>
      </c>
      <c r="AG570" s="23"/>
      <c r="AH570" s="23"/>
      <c r="AI570" s="23"/>
      <c r="AJ570" s="23">
        <v>29</v>
      </c>
      <c r="AK570" s="23"/>
      <c r="AL570" s="23"/>
      <c r="AM570" s="23"/>
      <c r="AN570" s="23"/>
      <c r="AO570" s="23"/>
      <c r="AP570" s="23">
        <v>33</v>
      </c>
      <c r="AQ570" s="23"/>
      <c r="AR570" s="23"/>
      <c r="AS570" s="23"/>
      <c r="AT570" s="23"/>
      <c r="AU570" s="14" t="str">
        <f>HYPERLINK("http://www.openstreetmap.org/?mlat=32.29&amp;mlon=44.3421&amp;zoom=12#map=12/32.29/44.3421","Maplink1")</f>
        <v>Maplink1</v>
      </c>
      <c r="AV570" s="14" t="str">
        <f>HYPERLINK("https://www.google.iq/maps/search/+32.29,44.3421/@32.29,44.3421,14z?hl=en","Maplink2")</f>
        <v>Maplink2</v>
      </c>
      <c r="AW570" s="14" t="str">
        <f>HYPERLINK("http://www.bing.com/maps/?lvl=14&amp;sty=h&amp;cp=32.29~44.3421&amp;sp=point.32.29_44.3421_Bani Muslim","Maplink3")</f>
        <v>Maplink3</v>
      </c>
    </row>
    <row r="571" spans="1:49" ht="15" customHeight="1" x14ac:dyDescent="0.25">
      <c r="A571" s="21">
        <v>23751</v>
      </c>
      <c r="B571" s="22" t="s">
        <v>10</v>
      </c>
      <c r="C571" s="22" t="s">
        <v>1173</v>
      </c>
      <c r="D571" s="22" t="s">
        <v>1333</v>
      </c>
      <c r="E571" s="22" t="s">
        <v>1334</v>
      </c>
      <c r="F571" s="22">
        <v>32.488</v>
      </c>
      <c r="G571" s="22">
        <v>44.424599999999998</v>
      </c>
      <c r="H571" s="21" t="s">
        <v>802</v>
      </c>
      <c r="I571" s="21" t="s">
        <v>1176</v>
      </c>
      <c r="J571" s="21" t="s">
        <v>1335</v>
      </c>
      <c r="K571" s="24">
        <v>4</v>
      </c>
      <c r="L571" s="24">
        <v>24</v>
      </c>
      <c r="M571" s="23">
        <v>4</v>
      </c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>
        <v>4</v>
      </c>
      <c r="AG571" s="23"/>
      <c r="AH571" s="23"/>
      <c r="AI571" s="23"/>
      <c r="AJ571" s="23"/>
      <c r="AK571" s="23"/>
      <c r="AL571" s="23"/>
      <c r="AM571" s="23"/>
      <c r="AN571" s="23"/>
      <c r="AO571" s="23">
        <v>4</v>
      </c>
      <c r="AP571" s="23"/>
      <c r="AQ571" s="23"/>
      <c r="AR571" s="23"/>
      <c r="AS571" s="23"/>
      <c r="AT571" s="23"/>
      <c r="AU571" s="14" t="str">
        <f>HYPERLINK("http://www.openstreetmap.org/?mlat=32.488&amp;mlon=44.4246&amp;zoom=12#map=12/32.488/44.4246","Maplink1")</f>
        <v>Maplink1</v>
      </c>
      <c r="AV571" s="14" t="str">
        <f>HYPERLINK("https://www.google.iq/maps/search/+32.488,44.4246/@32.488,44.4246,14z?hl=en","Maplink2")</f>
        <v>Maplink2</v>
      </c>
      <c r="AW571" s="14" t="str">
        <f>HYPERLINK("http://www.bing.com/maps/?lvl=14&amp;sty=h&amp;cp=32.488~44.4246&amp;sp=point.32.488_44.4246_Bustan Al-helu","Maplink3")</f>
        <v>Maplink3</v>
      </c>
    </row>
    <row r="572" spans="1:49" ht="15" customHeight="1" x14ac:dyDescent="0.25">
      <c r="A572" s="21">
        <v>23940</v>
      </c>
      <c r="B572" s="22" t="s">
        <v>10</v>
      </c>
      <c r="C572" s="22" t="s">
        <v>1173</v>
      </c>
      <c r="D572" s="22" t="s">
        <v>1336</v>
      </c>
      <c r="E572" s="22" t="s">
        <v>1337</v>
      </c>
      <c r="F572" s="22">
        <v>32.505000000000003</v>
      </c>
      <c r="G572" s="22">
        <v>44.405999999999999</v>
      </c>
      <c r="H572" s="21" t="s">
        <v>802</v>
      </c>
      <c r="I572" s="21" t="s">
        <v>1176</v>
      </c>
      <c r="J572" s="21" t="s">
        <v>1338</v>
      </c>
      <c r="K572" s="24">
        <v>6</v>
      </c>
      <c r="L572" s="24">
        <v>36</v>
      </c>
      <c r="M572" s="23">
        <v>2</v>
      </c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4</v>
      </c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>
        <v>6</v>
      </c>
      <c r="AL572" s="23"/>
      <c r="AM572" s="23"/>
      <c r="AN572" s="23"/>
      <c r="AO572" s="23"/>
      <c r="AP572" s="23">
        <v>4</v>
      </c>
      <c r="AQ572" s="23"/>
      <c r="AR572" s="23"/>
      <c r="AS572" s="23">
        <v>2</v>
      </c>
      <c r="AT572" s="23"/>
      <c r="AU572" s="14" t="str">
        <f>HYPERLINK("http://www.openstreetmap.org/?mlat=32.505&amp;mlon=44.406&amp;zoom=12#map=12/32.505/44.406","Maplink1")</f>
        <v>Maplink1</v>
      </c>
      <c r="AV572" s="14" t="str">
        <f>HYPERLINK("https://www.google.iq/maps/search/+32.505,44.406/@32.505,44.406,14z?hl=en","Maplink2")</f>
        <v>Maplink2</v>
      </c>
      <c r="AW572" s="14" t="str">
        <f>HYPERLINK("http://www.bing.com/maps/?lvl=14&amp;sty=h&amp;cp=32.505~44.406&amp;sp=point.32.505_44.406_Emhezem Al Qadima","Maplink3")</f>
        <v>Maplink3</v>
      </c>
    </row>
    <row r="573" spans="1:49" ht="15" customHeight="1" x14ac:dyDescent="0.25">
      <c r="A573" s="21">
        <v>7138</v>
      </c>
      <c r="B573" s="22" t="s">
        <v>10</v>
      </c>
      <c r="C573" s="22" t="s">
        <v>1173</v>
      </c>
      <c r="D573" s="22" t="s">
        <v>1339</v>
      </c>
      <c r="E573" s="22" t="s">
        <v>1340</v>
      </c>
      <c r="F573" s="22">
        <v>32.443250999999997</v>
      </c>
      <c r="G573" s="22">
        <v>44.400232000000003</v>
      </c>
      <c r="H573" s="21" t="s">
        <v>802</v>
      </c>
      <c r="I573" s="21" t="s">
        <v>1176</v>
      </c>
      <c r="J573" s="21" t="s">
        <v>1341</v>
      </c>
      <c r="K573" s="24">
        <v>7</v>
      </c>
      <c r="L573" s="24">
        <v>42</v>
      </c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7</v>
      </c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>
        <v>7</v>
      </c>
      <c r="AL573" s="23"/>
      <c r="AM573" s="23"/>
      <c r="AN573" s="23"/>
      <c r="AO573" s="23"/>
      <c r="AP573" s="23">
        <v>7</v>
      </c>
      <c r="AQ573" s="23"/>
      <c r="AR573" s="23"/>
      <c r="AS573" s="23"/>
      <c r="AT573" s="23"/>
      <c r="AU573" s="14" t="str">
        <f>HYPERLINK("http://www.openstreetmap.org/?mlat=32.4433&amp;mlon=44.4002&amp;zoom=12#map=12/32.4433/44.4002","Maplink1")</f>
        <v>Maplink1</v>
      </c>
      <c r="AV573" s="14" t="str">
        <f>HYPERLINK("https://www.google.iq/maps/search/+32.4433,44.4002/@32.4433,44.4002,14z?hl=en","Maplink2")</f>
        <v>Maplink2</v>
      </c>
      <c r="AW573" s="14" t="str">
        <f>HYPERLINK("http://www.bing.com/maps/?lvl=14&amp;sty=h&amp;cp=32.4433~44.4002&amp;sp=point.32.4433_44.4002_Faza Village","Maplink3")</f>
        <v>Maplink3</v>
      </c>
    </row>
    <row r="574" spans="1:49" ht="15" customHeight="1" x14ac:dyDescent="0.25">
      <c r="A574" s="21">
        <v>7143</v>
      </c>
      <c r="B574" s="22" t="s">
        <v>10</v>
      </c>
      <c r="C574" s="22" t="s">
        <v>1173</v>
      </c>
      <c r="D574" s="22" t="s">
        <v>1342</v>
      </c>
      <c r="E574" s="22" t="s">
        <v>1343</v>
      </c>
      <c r="F574" s="22">
        <v>32.244190000000003</v>
      </c>
      <c r="G574" s="22">
        <v>44.38261</v>
      </c>
      <c r="H574" s="21" t="s">
        <v>802</v>
      </c>
      <c r="I574" s="21" t="s">
        <v>1176</v>
      </c>
      <c r="J574" s="21" t="s">
        <v>1344</v>
      </c>
      <c r="K574" s="24">
        <v>7</v>
      </c>
      <c r="L574" s="24">
        <v>42</v>
      </c>
      <c r="M574" s="23">
        <v>2</v>
      </c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>
        <v>5</v>
      </c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>
        <v>7</v>
      </c>
      <c r="AL574" s="23"/>
      <c r="AM574" s="23"/>
      <c r="AN574" s="23"/>
      <c r="AO574" s="23"/>
      <c r="AP574" s="23">
        <v>5</v>
      </c>
      <c r="AQ574" s="23"/>
      <c r="AR574" s="23"/>
      <c r="AS574" s="23">
        <v>2</v>
      </c>
      <c r="AT574" s="23"/>
      <c r="AU574" s="14" t="str">
        <f>HYPERLINK("http://www.openstreetmap.org/?mlat=32.2442&amp;mlon=44.3826&amp;zoom=12#map=12/32.2442/44.3826","Maplink1")</f>
        <v>Maplink1</v>
      </c>
      <c r="AV574" s="14" t="str">
        <f>HYPERLINK("https://www.google.iq/maps/search/+32.2442,44.3826/@32.2442,44.3826,14z?hl=en","Maplink2")</f>
        <v>Maplink2</v>
      </c>
      <c r="AW574" s="14" t="str">
        <f>HYPERLINK("http://www.bing.com/maps/?lvl=14&amp;sty=h&amp;cp=32.2442~44.3826&amp;sp=point.32.2442_44.3826_Hamza Al Dali Village","Maplink3")</f>
        <v>Maplink3</v>
      </c>
    </row>
    <row r="575" spans="1:49" ht="15" customHeight="1" x14ac:dyDescent="0.25">
      <c r="A575" s="21">
        <v>25331</v>
      </c>
      <c r="B575" s="22" t="s">
        <v>10</v>
      </c>
      <c r="C575" s="22" t="s">
        <v>1173</v>
      </c>
      <c r="D575" s="22" t="s">
        <v>1345</v>
      </c>
      <c r="E575" s="22" t="s">
        <v>1346</v>
      </c>
      <c r="F575" s="22">
        <v>32.475572</v>
      </c>
      <c r="G575" s="22">
        <v>44.418733000000003</v>
      </c>
      <c r="H575" s="21" t="s">
        <v>802</v>
      </c>
      <c r="I575" s="21" t="s">
        <v>1176</v>
      </c>
      <c r="J575" s="21"/>
      <c r="K575" s="24">
        <v>11</v>
      </c>
      <c r="L575" s="24">
        <v>66</v>
      </c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10</v>
      </c>
      <c r="Z575" s="23"/>
      <c r="AA575" s="23">
        <v>1</v>
      </c>
      <c r="AB575" s="23"/>
      <c r="AC575" s="23"/>
      <c r="AD575" s="23"/>
      <c r="AE575" s="23"/>
      <c r="AF575" s="23"/>
      <c r="AG575" s="23"/>
      <c r="AH575" s="23"/>
      <c r="AI575" s="23"/>
      <c r="AJ575" s="23">
        <v>7</v>
      </c>
      <c r="AK575" s="23">
        <v>4</v>
      </c>
      <c r="AL575" s="23"/>
      <c r="AM575" s="23"/>
      <c r="AN575" s="23"/>
      <c r="AO575" s="23"/>
      <c r="AP575" s="23">
        <v>3</v>
      </c>
      <c r="AQ575" s="23">
        <v>8</v>
      </c>
      <c r="AR575" s="23"/>
      <c r="AS575" s="23"/>
      <c r="AT575" s="23"/>
      <c r="AU575" s="14" t="str">
        <f>HYPERLINK("http://www.openstreetmap.org/?mlat=32.4756&amp;mlon=44.4187&amp;zoom=12#map=12/32.4756/44.4187","Maplink1")</f>
        <v>Maplink1</v>
      </c>
      <c r="AV575" s="14" t="str">
        <f>HYPERLINK("https://www.google.iq/maps/search/+32.4756,44.4187/@32.4756,44.4187,14z?hl=en","Maplink2")</f>
        <v>Maplink2</v>
      </c>
      <c r="AW575" s="14" t="str">
        <f>HYPERLINK("http://www.bing.com/maps/?lvl=14&amp;sty=h&amp;cp=32.4756~44.4187&amp;sp=point.32.4756_44.4187_Hay Abo Al Nafot","Maplink3")</f>
        <v>Maplink3</v>
      </c>
    </row>
    <row r="576" spans="1:49" ht="15" customHeight="1" x14ac:dyDescent="0.25">
      <c r="A576" s="21">
        <v>24979</v>
      </c>
      <c r="B576" s="22" t="s">
        <v>10</v>
      </c>
      <c r="C576" s="22" t="s">
        <v>1173</v>
      </c>
      <c r="D576" s="22" t="s">
        <v>1347</v>
      </c>
      <c r="E576" s="22" t="s">
        <v>1012</v>
      </c>
      <c r="F576" s="22">
        <v>32.23218</v>
      </c>
      <c r="G576" s="22">
        <v>44.384374000000001</v>
      </c>
      <c r="H576" s="21" t="s">
        <v>802</v>
      </c>
      <c r="I576" s="21" t="s">
        <v>1176</v>
      </c>
      <c r="J576" s="21"/>
      <c r="K576" s="24">
        <v>14</v>
      </c>
      <c r="L576" s="24">
        <v>84</v>
      </c>
      <c r="M576" s="23">
        <v>7</v>
      </c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7</v>
      </c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>
        <v>14</v>
      </c>
      <c r="AL576" s="23"/>
      <c r="AM576" s="23"/>
      <c r="AN576" s="23"/>
      <c r="AO576" s="23"/>
      <c r="AP576" s="23">
        <v>7</v>
      </c>
      <c r="AQ576" s="23"/>
      <c r="AR576" s="23">
        <v>7</v>
      </c>
      <c r="AS576" s="23"/>
      <c r="AT576" s="23"/>
      <c r="AU576" s="14" t="str">
        <f>HYPERLINK("http://www.openstreetmap.org/?mlat=32.2322&amp;mlon=44.3844&amp;zoom=12#map=12/32.2322/44.3844","Maplink1")</f>
        <v>Maplink1</v>
      </c>
      <c r="AV576" s="14" t="str">
        <f>HYPERLINK("https://www.google.iq/maps/search/+32.2322,44.3844/@32.2322,44.3844,14z?hl=en","Maplink2")</f>
        <v>Maplink2</v>
      </c>
      <c r="AW576" s="14" t="str">
        <f>HYPERLINK("http://www.bing.com/maps/?lvl=14&amp;sty=h&amp;cp=32.2322~44.3844&amp;sp=point.32.2322_44.3844_Hay Al Abbas","Maplink3")</f>
        <v>Maplink3</v>
      </c>
    </row>
    <row r="577" spans="1:49" ht="15" customHeight="1" x14ac:dyDescent="0.25">
      <c r="A577" s="21">
        <v>23318</v>
      </c>
      <c r="B577" s="22" t="s">
        <v>10</v>
      </c>
      <c r="C577" s="22" t="s">
        <v>1173</v>
      </c>
      <c r="D577" s="22" t="s">
        <v>1348</v>
      </c>
      <c r="E577" s="22" t="s">
        <v>1349</v>
      </c>
      <c r="F577" s="22">
        <v>32.483609999999999</v>
      </c>
      <c r="G577" s="22">
        <v>44.406767000000002</v>
      </c>
      <c r="H577" s="21" t="s">
        <v>802</v>
      </c>
      <c r="I577" s="21" t="s">
        <v>1176</v>
      </c>
      <c r="J577" s="21" t="s">
        <v>1350</v>
      </c>
      <c r="K577" s="24">
        <v>12</v>
      </c>
      <c r="L577" s="24">
        <v>72</v>
      </c>
      <c r="M577" s="23">
        <v>2</v>
      </c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>
        <v>10</v>
      </c>
      <c r="Z577" s="23"/>
      <c r="AA577" s="23"/>
      <c r="AB577" s="23"/>
      <c r="AC577" s="23"/>
      <c r="AD577" s="23"/>
      <c r="AE577" s="23"/>
      <c r="AF577" s="23">
        <v>4</v>
      </c>
      <c r="AG577" s="23"/>
      <c r="AH577" s="23"/>
      <c r="AI577" s="23"/>
      <c r="AJ577" s="23"/>
      <c r="AK577" s="23">
        <v>8</v>
      </c>
      <c r="AL577" s="23"/>
      <c r="AM577" s="23"/>
      <c r="AN577" s="23"/>
      <c r="AO577" s="23"/>
      <c r="AP577" s="23">
        <v>10</v>
      </c>
      <c r="AQ577" s="23"/>
      <c r="AR577" s="23">
        <v>2</v>
      </c>
      <c r="AS577" s="23"/>
      <c r="AT577" s="23"/>
      <c r="AU577" s="14" t="str">
        <f>HYPERLINK("http://www.openstreetmap.org/?mlat=32.4836&amp;mlon=44.4068&amp;zoom=12#map=12/32.4836/44.4068","Maplink1")</f>
        <v>Maplink1</v>
      </c>
      <c r="AV577" s="14" t="str">
        <f>HYPERLINK("https://www.google.iq/maps/search/+32.4836,44.4068/@32.4836,44.4068,14z?hl=en","Maplink2")</f>
        <v>Maplink2</v>
      </c>
      <c r="AW577" s="14" t="str">
        <f>HYPERLINK("http://www.bing.com/maps/?lvl=14&amp;sty=h&amp;cp=32.4836~44.4068&amp;sp=point.32.4836_44.4068_Hay Al Asatitha","Maplink3")</f>
        <v>Maplink3</v>
      </c>
    </row>
    <row r="578" spans="1:49" ht="15" customHeight="1" x14ac:dyDescent="0.25">
      <c r="A578" s="21">
        <v>28456</v>
      </c>
      <c r="B578" s="22" t="s">
        <v>10</v>
      </c>
      <c r="C578" s="22" t="s">
        <v>1173</v>
      </c>
      <c r="D578" s="22" t="s">
        <v>1351</v>
      </c>
      <c r="E578" s="22" t="s">
        <v>1352</v>
      </c>
      <c r="F578" s="22">
        <v>32.448414</v>
      </c>
      <c r="G578" s="22">
        <v>44.407007</v>
      </c>
      <c r="H578" s="21" t="s">
        <v>802</v>
      </c>
      <c r="I578" s="21" t="s">
        <v>1176</v>
      </c>
      <c r="J578" s="21"/>
      <c r="K578" s="24">
        <v>20</v>
      </c>
      <c r="L578" s="24">
        <v>120</v>
      </c>
      <c r="M578" s="23">
        <v>5</v>
      </c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15</v>
      </c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>
        <v>20</v>
      </c>
      <c r="AL578" s="23"/>
      <c r="AM578" s="23"/>
      <c r="AN578" s="23"/>
      <c r="AO578" s="23"/>
      <c r="AP578" s="23">
        <v>15</v>
      </c>
      <c r="AQ578" s="23"/>
      <c r="AR578" s="23"/>
      <c r="AS578" s="23">
        <v>5</v>
      </c>
      <c r="AT578" s="23"/>
      <c r="AU578" s="14" t="str">
        <f>HYPERLINK("http://www.openstreetmap.org/?mlat=32.4484&amp;mlon=44.407&amp;zoom=12#map=12/32.4484/44.407","Maplink1")</f>
        <v>Maplink1</v>
      </c>
      <c r="AV578" s="14" t="str">
        <f>HYPERLINK("https://www.google.iq/maps/search/+32.4484,44.407/@32.4484,44.407,14z?hl=en","Maplink2")</f>
        <v>Maplink2</v>
      </c>
      <c r="AW578" s="14" t="str">
        <f>HYPERLINK("http://www.bing.com/maps/?lvl=14&amp;sty=h&amp;cp=32.4484~44.407&amp;sp=point.32.4484_44.407_Al Angaa","Maplink3")</f>
        <v>Maplink3</v>
      </c>
    </row>
    <row r="579" spans="1:49" ht="15" customHeight="1" x14ac:dyDescent="0.25">
      <c r="A579" s="21">
        <v>25444</v>
      </c>
      <c r="B579" s="22" t="s">
        <v>10</v>
      </c>
      <c r="C579" s="22" t="s">
        <v>1173</v>
      </c>
      <c r="D579" s="22" t="s">
        <v>1353</v>
      </c>
      <c r="E579" s="22" t="s">
        <v>995</v>
      </c>
      <c r="F579" s="22">
        <v>32.480708999999997</v>
      </c>
      <c r="G579" s="22">
        <v>44.415880000000001</v>
      </c>
      <c r="H579" s="21" t="s">
        <v>802</v>
      </c>
      <c r="I579" s="21" t="s">
        <v>1176</v>
      </c>
      <c r="J579" s="21"/>
      <c r="K579" s="24">
        <v>16</v>
      </c>
      <c r="L579" s="24">
        <v>96</v>
      </c>
      <c r="M579" s="23">
        <v>1</v>
      </c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>
        <v>15</v>
      </c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>
        <v>16</v>
      </c>
      <c r="AL579" s="23"/>
      <c r="AM579" s="23"/>
      <c r="AN579" s="23"/>
      <c r="AO579" s="23"/>
      <c r="AP579" s="23">
        <v>15</v>
      </c>
      <c r="AQ579" s="23"/>
      <c r="AR579" s="23"/>
      <c r="AS579" s="23">
        <v>1</v>
      </c>
      <c r="AT579" s="23"/>
      <c r="AU579" s="14" t="str">
        <f>HYPERLINK("http://www.openstreetmap.org/?mlat=32.4807&amp;mlon=44.4159&amp;zoom=12#map=12/32.4807/44.4159","Maplink1")</f>
        <v>Maplink1</v>
      </c>
      <c r="AV579" s="14" t="str">
        <f>HYPERLINK("https://www.google.iq/maps/search/+32.4807,44.4159/@32.4807,44.4159,14z?hl=en","Maplink2")</f>
        <v>Maplink2</v>
      </c>
      <c r="AW579" s="14" t="str">
        <f>HYPERLINK("http://www.bing.com/maps/?lvl=14&amp;sty=h&amp;cp=32.4807~44.4159&amp;sp=point.32.4807_44.4159_Hay Al Hussain","Maplink3")</f>
        <v>Maplink3</v>
      </c>
    </row>
    <row r="580" spans="1:49" ht="15" customHeight="1" x14ac:dyDescent="0.25">
      <c r="A580" s="21">
        <v>24457</v>
      </c>
      <c r="B580" s="22" t="s">
        <v>10</v>
      </c>
      <c r="C580" s="22" t="s">
        <v>1173</v>
      </c>
      <c r="D580" s="22" t="s">
        <v>1354</v>
      </c>
      <c r="E580" s="22" t="s">
        <v>7639</v>
      </c>
      <c r="F580" s="22">
        <v>32.524742000000003</v>
      </c>
      <c r="G580" s="22">
        <v>44.363787000000002</v>
      </c>
      <c r="H580" s="21" t="s">
        <v>802</v>
      </c>
      <c r="I580" s="21" t="s">
        <v>1176</v>
      </c>
      <c r="J580" s="21"/>
      <c r="K580" s="24">
        <v>82</v>
      </c>
      <c r="L580" s="24">
        <v>492</v>
      </c>
      <c r="M580" s="23">
        <v>2</v>
      </c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>
        <v>80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>
        <v>12</v>
      </c>
      <c r="AK580" s="23">
        <v>70</v>
      </c>
      <c r="AL580" s="23"/>
      <c r="AM580" s="23"/>
      <c r="AN580" s="23"/>
      <c r="AO580" s="23"/>
      <c r="AP580" s="23">
        <v>80</v>
      </c>
      <c r="AQ580" s="23"/>
      <c r="AR580" s="23"/>
      <c r="AS580" s="23">
        <v>2</v>
      </c>
      <c r="AT580" s="23"/>
      <c r="AU580" s="14" t="str">
        <f>HYPERLINK("http://www.openstreetmap.org/?mlat=32.5247&amp;mlon=44.3638&amp;zoom=12#map=12/32.5247/44.3638","Maplink1")</f>
        <v>Maplink1</v>
      </c>
      <c r="AV580" s="14" t="str">
        <f>HYPERLINK("https://www.google.iq/maps/search/+32.5247,44.3638/@32.5247,44.3638,14z?hl=en","Maplink2")</f>
        <v>Maplink2</v>
      </c>
      <c r="AW580" s="14" t="str">
        <f>HYPERLINK("http://www.bing.com/maps/?lvl=14&amp;sty=h&amp;cp=32.5247~44.3638&amp;sp=point.32.5247_44.3638_Hay Al Hussain-Abu Gharaq","Maplink3")</f>
        <v>Maplink3</v>
      </c>
    </row>
    <row r="581" spans="1:49" ht="15" customHeight="1" x14ac:dyDescent="0.25">
      <c r="A581" s="21">
        <v>25119</v>
      </c>
      <c r="B581" s="22" t="s">
        <v>10</v>
      </c>
      <c r="C581" s="22" t="s">
        <v>1173</v>
      </c>
      <c r="D581" s="22" t="s">
        <v>1355</v>
      </c>
      <c r="E581" s="22" t="s">
        <v>1356</v>
      </c>
      <c r="F581" s="22">
        <v>32.528047000000001</v>
      </c>
      <c r="G581" s="22">
        <v>44.342959999999998</v>
      </c>
      <c r="H581" s="21" t="s">
        <v>802</v>
      </c>
      <c r="I581" s="21" t="s">
        <v>1176</v>
      </c>
      <c r="J581" s="21"/>
      <c r="K581" s="24">
        <v>41</v>
      </c>
      <c r="L581" s="24">
        <v>246</v>
      </c>
      <c r="M581" s="23">
        <v>6</v>
      </c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34</v>
      </c>
      <c r="Z581" s="23"/>
      <c r="AA581" s="23">
        <v>1</v>
      </c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41</v>
      </c>
      <c r="AL581" s="23"/>
      <c r="AM581" s="23"/>
      <c r="AN581" s="23"/>
      <c r="AO581" s="23"/>
      <c r="AP581" s="23">
        <v>34</v>
      </c>
      <c r="AQ581" s="23">
        <v>1</v>
      </c>
      <c r="AR581" s="23">
        <v>6</v>
      </c>
      <c r="AS581" s="23"/>
      <c r="AT581" s="23"/>
      <c r="AU581" s="14" t="str">
        <f>HYPERLINK("http://www.openstreetmap.org/?mlat=32.528&amp;mlon=44.343&amp;zoom=12#map=12/32.528/44.343","Maplink1")</f>
        <v>Maplink1</v>
      </c>
      <c r="AV581" s="14" t="str">
        <f>HYPERLINK("https://www.google.iq/maps/search/+32.528,44.343/@32.528,44.343,14z?hl=en","Maplink2")</f>
        <v>Maplink2</v>
      </c>
      <c r="AW581" s="14" t="str">
        <f>HYPERLINK("http://www.bing.com/maps/?lvl=14&amp;sty=h&amp;cp=32.528~44.343&amp;sp=point.32.528_44.343_Hay Al Jawad","Maplink3")</f>
        <v>Maplink3</v>
      </c>
    </row>
    <row r="582" spans="1:49" ht="15" customHeight="1" x14ac:dyDescent="0.25">
      <c r="A582" s="21">
        <v>7171</v>
      </c>
      <c r="B582" s="22" t="s">
        <v>10</v>
      </c>
      <c r="C582" s="22" t="s">
        <v>1173</v>
      </c>
      <c r="D582" s="22" t="s">
        <v>1357</v>
      </c>
      <c r="E582" s="22" t="s">
        <v>7640</v>
      </c>
      <c r="F582" s="22">
        <v>32.484000000000002</v>
      </c>
      <c r="G582" s="22">
        <v>44.415599999999998</v>
      </c>
      <c r="H582" s="21" t="s">
        <v>802</v>
      </c>
      <c r="I582" s="21" t="s">
        <v>1176</v>
      </c>
      <c r="J582" s="21" t="s">
        <v>1358</v>
      </c>
      <c r="K582" s="24">
        <v>7</v>
      </c>
      <c r="L582" s="24">
        <v>42</v>
      </c>
      <c r="M582" s="23">
        <v>3</v>
      </c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4</v>
      </c>
      <c r="Z582" s="23"/>
      <c r="AA582" s="23"/>
      <c r="AB582" s="23"/>
      <c r="AC582" s="23"/>
      <c r="AD582" s="23"/>
      <c r="AE582" s="23"/>
      <c r="AF582" s="23">
        <v>7</v>
      </c>
      <c r="AG582" s="23"/>
      <c r="AH582" s="23"/>
      <c r="AI582" s="23"/>
      <c r="AJ582" s="23"/>
      <c r="AK582" s="23"/>
      <c r="AL582" s="23"/>
      <c r="AM582" s="23"/>
      <c r="AN582" s="23"/>
      <c r="AO582" s="23"/>
      <c r="AP582" s="23">
        <v>4</v>
      </c>
      <c r="AQ582" s="23"/>
      <c r="AR582" s="23">
        <v>3</v>
      </c>
      <c r="AS582" s="23"/>
      <c r="AT582" s="23"/>
      <c r="AU582" s="14" t="str">
        <f>HYPERLINK("http://www.openstreetmap.org/?mlat=32.484&amp;mlon=44.4156&amp;zoom=12#map=12/32.484/44.4156","Maplink1")</f>
        <v>Maplink1</v>
      </c>
      <c r="AV582" s="14" t="str">
        <f>HYPERLINK("https://www.google.iq/maps/search/+32.484,44.4156/@32.484,44.4156,14z?hl=en","Maplink2")</f>
        <v>Maplink2</v>
      </c>
      <c r="AW582" s="14" t="str">
        <f>HYPERLINK("http://www.bing.com/maps/?lvl=14&amp;sty=h&amp;cp=32.484~44.4156&amp;sp=point.32.484_44.4156_Hay Al Karamah 1","Maplink3")</f>
        <v>Maplink3</v>
      </c>
    </row>
    <row r="583" spans="1:49" ht="15" customHeight="1" x14ac:dyDescent="0.25">
      <c r="A583" s="21">
        <v>25452</v>
      </c>
      <c r="B583" s="22" t="s">
        <v>10</v>
      </c>
      <c r="C583" s="22" t="s">
        <v>1173</v>
      </c>
      <c r="D583" s="22" t="s">
        <v>1359</v>
      </c>
      <c r="E583" s="22" t="s">
        <v>7641</v>
      </c>
      <c r="F583" s="22">
        <v>32.484229999999997</v>
      </c>
      <c r="G583" s="22">
        <v>44.415340999999998</v>
      </c>
      <c r="H583" s="21" t="s">
        <v>802</v>
      </c>
      <c r="I583" s="21" t="s">
        <v>1176</v>
      </c>
      <c r="J583" s="21"/>
      <c r="K583" s="24">
        <v>7</v>
      </c>
      <c r="L583" s="24">
        <v>42</v>
      </c>
      <c r="M583" s="23">
        <v>1</v>
      </c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>
        <v>6</v>
      </c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>
        <v>4</v>
      </c>
      <c r="AK583" s="23">
        <v>3</v>
      </c>
      <c r="AL583" s="23"/>
      <c r="AM583" s="23"/>
      <c r="AN583" s="23"/>
      <c r="AO583" s="23"/>
      <c r="AP583" s="23">
        <v>7</v>
      </c>
      <c r="AQ583" s="23"/>
      <c r="AR583" s="23"/>
      <c r="AS583" s="23"/>
      <c r="AT583" s="23"/>
      <c r="AU583" s="14" t="str">
        <f>HYPERLINK("http://www.openstreetmap.org/?mlat=32.4842&amp;mlon=44.4153&amp;zoom=12#map=12/32.4842/44.4153","Maplink1")</f>
        <v>Maplink1</v>
      </c>
      <c r="AV583" s="14" t="str">
        <f>HYPERLINK("https://www.google.iq/maps/search/+32.4842,44.4153/@32.4842,44.4153,14z?hl=en","Maplink2")</f>
        <v>Maplink2</v>
      </c>
      <c r="AW583" s="14" t="str">
        <f>HYPERLINK("http://www.bing.com/maps/?lvl=14&amp;sty=h&amp;cp=32.4842~44.4153&amp;sp=point.32.4842_44.4153_Hay Al Karamah 3","Maplink3")</f>
        <v>Maplink3</v>
      </c>
    </row>
    <row r="584" spans="1:49" ht="15" customHeight="1" x14ac:dyDescent="0.25">
      <c r="A584" s="21">
        <v>25329</v>
      </c>
      <c r="B584" s="22" t="s">
        <v>10</v>
      </c>
      <c r="C584" s="22" t="s">
        <v>1173</v>
      </c>
      <c r="D584" s="22" t="s">
        <v>1360</v>
      </c>
      <c r="E584" s="22" t="s">
        <v>1361</v>
      </c>
      <c r="F584" s="22">
        <v>32.502749000000001</v>
      </c>
      <c r="G584" s="22">
        <v>44.415667999999997</v>
      </c>
      <c r="H584" s="21" t="s">
        <v>802</v>
      </c>
      <c r="I584" s="21" t="s">
        <v>1176</v>
      </c>
      <c r="J584" s="21"/>
      <c r="K584" s="24">
        <v>53</v>
      </c>
      <c r="L584" s="24">
        <v>318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53</v>
      </c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>
        <v>33</v>
      </c>
      <c r="AK584" s="23">
        <v>20</v>
      </c>
      <c r="AL584" s="23"/>
      <c r="AM584" s="23"/>
      <c r="AN584" s="23"/>
      <c r="AO584" s="23"/>
      <c r="AP584" s="23">
        <v>53</v>
      </c>
      <c r="AQ584" s="23"/>
      <c r="AR584" s="23"/>
      <c r="AS584" s="23"/>
      <c r="AT584" s="23"/>
      <c r="AU584" s="14" t="str">
        <f>HYPERLINK("http://www.openstreetmap.org/?mlat=32.5027&amp;mlon=44.4157&amp;zoom=12#map=12/32.5027/44.4157","Maplink1")</f>
        <v>Maplink1</v>
      </c>
      <c r="AV584" s="14" t="str">
        <f>HYPERLINK("https://www.google.iq/maps/search/+32.5027,44.4157/@32.5027,44.4157,14z?hl=en","Maplink2")</f>
        <v>Maplink2</v>
      </c>
      <c r="AW584" s="14" t="str">
        <f>HYPERLINK("http://www.bing.com/maps/?lvl=14&amp;sty=h&amp;cp=32.5027~44.4157&amp;sp=point.32.5027_44.4157_Hay Al Maarefa","Maplink3")</f>
        <v>Maplink3</v>
      </c>
    </row>
    <row r="585" spans="1:49" ht="15" customHeight="1" x14ac:dyDescent="0.25">
      <c r="A585" s="21">
        <v>7215</v>
      </c>
      <c r="B585" s="22" t="s">
        <v>10</v>
      </c>
      <c r="C585" s="22" t="s">
        <v>1173</v>
      </c>
      <c r="D585" s="22" t="s">
        <v>1362</v>
      </c>
      <c r="E585" s="22" t="s">
        <v>887</v>
      </c>
      <c r="F585" s="22">
        <v>32.531973000000001</v>
      </c>
      <c r="G585" s="22">
        <v>44.343649999999997</v>
      </c>
      <c r="H585" s="21" t="s">
        <v>802</v>
      </c>
      <c r="I585" s="21" t="s">
        <v>1176</v>
      </c>
      <c r="J585" s="21" t="s">
        <v>1363</v>
      </c>
      <c r="K585" s="24">
        <v>16</v>
      </c>
      <c r="L585" s="24">
        <v>96</v>
      </c>
      <c r="M585" s="23">
        <v>2</v>
      </c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14</v>
      </c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>
        <v>16</v>
      </c>
      <c r="AL585" s="23"/>
      <c r="AM585" s="23"/>
      <c r="AN585" s="23"/>
      <c r="AO585" s="23"/>
      <c r="AP585" s="23">
        <v>14</v>
      </c>
      <c r="AQ585" s="23"/>
      <c r="AR585" s="23">
        <v>2</v>
      </c>
      <c r="AS585" s="23"/>
      <c r="AT585" s="23"/>
      <c r="AU585" s="14" t="str">
        <f>HYPERLINK("http://www.openstreetmap.org/?mlat=32.532&amp;mlon=44.3436&amp;zoom=12#map=12/32.532/44.3436","Maplink1")</f>
        <v>Maplink1</v>
      </c>
      <c r="AV585" s="14" t="str">
        <f>HYPERLINK("https://www.google.iq/maps/search/+32.532,44.3436/@32.532,44.3436,14z?hl=en","Maplink2")</f>
        <v>Maplink2</v>
      </c>
      <c r="AW585" s="14" t="str">
        <f>HYPERLINK("http://www.bing.com/maps/?lvl=14&amp;sty=h&amp;cp=32.532~44.3436&amp;sp=point.32.532_44.3436","Maplink3")</f>
        <v>Maplink3</v>
      </c>
    </row>
    <row r="586" spans="1:49" ht="15" customHeight="1" x14ac:dyDescent="0.25">
      <c r="A586" s="21">
        <v>21618</v>
      </c>
      <c r="B586" s="22" t="s">
        <v>10</v>
      </c>
      <c r="C586" s="22" t="s">
        <v>1173</v>
      </c>
      <c r="D586" s="22" t="s">
        <v>1364</v>
      </c>
      <c r="E586" s="22" t="s">
        <v>1365</v>
      </c>
      <c r="F586" s="22">
        <v>32.47</v>
      </c>
      <c r="G586" s="22">
        <v>44.398000000000003</v>
      </c>
      <c r="H586" s="21" t="s">
        <v>802</v>
      </c>
      <c r="I586" s="21" t="s">
        <v>1176</v>
      </c>
      <c r="J586" s="21" t="s">
        <v>1366</v>
      </c>
      <c r="K586" s="24">
        <v>8</v>
      </c>
      <c r="L586" s="24">
        <v>48</v>
      </c>
      <c r="M586" s="23">
        <v>5</v>
      </c>
      <c r="N586" s="23">
        <v>2</v>
      </c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>
        <v>1</v>
      </c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>
        <v>8</v>
      </c>
      <c r="AL586" s="23"/>
      <c r="AM586" s="23"/>
      <c r="AN586" s="23"/>
      <c r="AO586" s="23"/>
      <c r="AP586" s="23">
        <v>3</v>
      </c>
      <c r="AQ586" s="23"/>
      <c r="AR586" s="23"/>
      <c r="AS586" s="23">
        <v>5</v>
      </c>
      <c r="AT586" s="23"/>
      <c r="AU586" s="14" t="str">
        <f>HYPERLINK("http://www.openstreetmap.org/?mlat=32.47&amp;mlon=44.398&amp;zoom=12#map=12/32.47/44.398","Maplink1")</f>
        <v>Maplink1</v>
      </c>
      <c r="AV586" s="14" t="str">
        <f>HYPERLINK("https://www.google.iq/maps/search/+32.47,44.398/@32.47,44.398,14z?hl=en","Maplink2")</f>
        <v>Maplink2</v>
      </c>
      <c r="AW586" s="14" t="str">
        <f>HYPERLINK("http://www.bing.com/maps/?lvl=14&amp;sty=h&amp;cp=32.47~44.398&amp;sp=point.32.47_44.398_Hay Al Tineya (illegal)","Maplink3")</f>
        <v>Maplink3</v>
      </c>
    </row>
    <row r="587" spans="1:49" ht="15" customHeight="1" x14ac:dyDescent="0.25">
      <c r="A587" s="21">
        <v>24088</v>
      </c>
      <c r="B587" s="22" t="s">
        <v>10</v>
      </c>
      <c r="C587" s="22" t="s">
        <v>1173</v>
      </c>
      <c r="D587" s="22" t="s">
        <v>1367</v>
      </c>
      <c r="E587" s="22" t="s">
        <v>263</v>
      </c>
      <c r="F587" s="22">
        <v>32.486899999999999</v>
      </c>
      <c r="G587" s="22">
        <v>44.436999999999998</v>
      </c>
      <c r="H587" s="21" t="s">
        <v>802</v>
      </c>
      <c r="I587" s="21" t="s">
        <v>1176</v>
      </c>
      <c r="J587" s="21" t="s">
        <v>1368</v>
      </c>
      <c r="K587" s="24">
        <v>26</v>
      </c>
      <c r="L587" s="24">
        <v>156</v>
      </c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>
        <v>26</v>
      </c>
      <c r="Z587" s="23"/>
      <c r="AA587" s="23"/>
      <c r="AB587" s="23"/>
      <c r="AC587" s="23"/>
      <c r="AD587" s="23"/>
      <c r="AE587" s="23"/>
      <c r="AF587" s="23">
        <v>26</v>
      </c>
      <c r="AG587" s="23"/>
      <c r="AH587" s="23"/>
      <c r="AI587" s="23"/>
      <c r="AJ587" s="23"/>
      <c r="AK587" s="23"/>
      <c r="AL587" s="23"/>
      <c r="AM587" s="23"/>
      <c r="AN587" s="23"/>
      <c r="AO587" s="23"/>
      <c r="AP587" s="23">
        <v>26</v>
      </c>
      <c r="AQ587" s="23"/>
      <c r="AR587" s="23"/>
      <c r="AS587" s="23"/>
      <c r="AT587" s="23"/>
      <c r="AU587" s="14" t="str">
        <f>HYPERLINK("http://www.openstreetmap.org/?mlat=32.4869&amp;mlon=44.437&amp;zoom=12#map=12/32.4869/44.437","Maplink1")</f>
        <v>Maplink1</v>
      </c>
      <c r="AV587" s="14" t="str">
        <f>HYPERLINK("https://www.google.iq/maps/search/+32.4869,44.437/@32.4869,44.437,14z?hl=en","Maplink2")</f>
        <v>Maplink2</v>
      </c>
      <c r="AW587" s="14" t="str">
        <f>HYPERLINK("http://www.bing.com/maps/?lvl=14&amp;sty=h&amp;cp=32.4869~44.437&amp;sp=point.32.4869_44.437_Hay Al-Akrad","Maplink3")</f>
        <v>Maplink3</v>
      </c>
    </row>
    <row r="588" spans="1:49" ht="15" customHeight="1" x14ac:dyDescent="0.25">
      <c r="A588" s="21">
        <v>7107</v>
      </c>
      <c r="B588" s="22" t="s">
        <v>10</v>
      </c>
      <c r="C588" s="22" t="s">
        <v>1173</v>
      </c>
      <c r="D588" s="22" t="s">
        <v>1369</v>
      </c>
      <c r="E588" s="22" t="s">
        <v>967</v>
      </c>
      <c r="F588" s="22">
        <v>32.527777999999998</v>
      </c>
      <c r="G588" s="22">
        <v>44.35</v>
      </c>
      <c r="H588" s="21" t="s">
        <v>802</v>
      </c>
      <c r="I588" s="21" t="s">
        <v>1176</v>
      </c>
      <c r="J588" s="21" t="s">
        <v>1370</v>
      </c>
      <c r="K588" s="24">
        <v>26</v>
      </c>
      <c r="L588" s="24">
        <v>156</v>
      </c>
      <c r="M588" s="23">
        <v>1</v>
      </c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>
        <v>25</v>
      </c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>
        <v>26</v>
      </c>
      <c r="AL588" s="23"/>
      <c r="AM588" s="23"/>
      <c r="AN588" s="23"/>
      <c r="AO588" s="23"/>
      <c r="AP588" s="23">
        <v>25</v>
      </c>
      <c r="AQ588" s="23"/>
      <c r="AR588" s="23"/>
      <c r="AS588" s="23">
        <v>1</v>
      </c>
      <c r="AT588" s="23"/>
      <c r="AU588" s="14" t="str">
        <f>HYPERLINK("http://www.openstreetmap.org/?mlat=32.5278&amp;mlon=44.35&amp;zoom=12#map=12/32.5278/44.35","Maplink1")</f>
        <v>Maplink1</v>
      </c>
      <c r="AV588" s="14" t="str">
        <f>HYPERLINK("https://www.google.iq/maps/search/+32.5278,44.35/@32.5278,44.35,14z?hl=en","Maplink2")</f>
        <v>Maplink2</v>
      </c>
      <c r="AW588" s="14" t="str">
        <f>HYPERLINK("http://www.bing.com/maps/?lvl=14&amp;sty=h&amp;cp=32.5278~44.35&amp;sp=point.32.5278_44.35_Hay al-amer","Maplink3")</f>
        <v>Maplink3</v>
      </c>
    </row>
    <row r="589" spans="1:49" ht="15" customHeight="1" x14ac:dyDescent="0.25">
      <c r="A589" s="21">
        <v>7191</v>
      </c>
      <c r="B589" s="22" t="s">
        <v>10</v>
      </c>
      <c r="C589" s="22" t="s">
        <v>1173</v>
      </c>
      <c r="D589" s="22" t="s">
        <v>1371</v>
      </c>
      <c r="E589" s="22" t="s">
        <v>1372</v>
      </c>
      <c r="F589" s="22">
        <v>32.489654999999999</v>
      </c>
      <c r="G589" s="22">
        <v>44.455500000000001</v>
      </c>
      <c r="H589" s="21" t="s">
        <v>802</v>
      </c>
      <c r="I589" s="21" t="s">
        <v>1176</v>
      </c>
      <c r="J589" s="21" t="s">
        <v>1373</v>
      </c>
      <c r="K589" s="24">
        <v>28</v>
      </c>
      <c r="L589" s="24">
        <v>168</v>
      </c>
      <c r="M589" s="23">
        <v>5</v>
      </c>
      <c r="N589" s="23"/>
      <c r="O589" s="23"/>
      <c r="P589" s="23"/>
      <c r="Q589" s="23"/>
      <c r="R589" s="23">
        <v>14</v>
      </c>
      <c r="S589" s="23"/>
      <c r="T589" s="23"/>
      <c r="U589" s="23"/>
      <c r="V589" s="23"/>
      <c r="W589" s="23"/>
      <c r="X589" s="23"/>
      <c r="Y589" s="23">
        <v>9</v>
      </c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>
        <v>28</v>
      </c>
      <c r="AL589" s="23"/>
      <c r="AM589" s="23"/>
      <c r="AN589" s="23"/>
      <c r="AO589" s="23"/>
      <c r="AP589" s="23">
        <v>9</v>
      </c>
      <c r="AQ589" s="23">
        <v>14</v>
      </c>
      <c r="AR589" s="23"/>
      <c r="AS589" s="23">
        <v>5</v>
      </c>
      <c r="AT589" s="23"/>
      <c r="AU589" s="14" t="str">
        <f>HYPERLINK("http://www.openstreetmap.org/?mlat=32.4897&amp;mlon=44.4555&amp;zoom=12#map=12/32.4897/44.4555","Maplink1")</f>
        <v>Maplink1</v>
      </c>
      <c r="AV589" s="14" t="str">
        <f>HYPERLINK("https://www.google.iq/maps/search/+32.4897,44.4555/@32.4897,44.4555,14z?hl=en","Maplink2")</f>
        <v>Maplink2</v>
      </c>
      <c r="AW589" s="14" t="str">
        <f>HYPERLINK("http://www.bing.com/maps/?lvl=14&amp;sty=h&amp;cp=32.4897~44.4555&amp;sp=point.32.4897_44.4555_Hay Al-Bakarley 4","Maplink3")</f>
        <v>Maplink3</v>
      </c>
    </row>
    <row r="590" spans="1:49" ht="15" customHeight="1" x14ac:dyDescent="0.25">
      <c r="A590" s="21">
        <v>27405</v>
      </c>
      <c r="B590" s="22" t="s">
        <v>10</v>
      </c>
      <c r="C590" s="22" t="s">
        <v>1173</v>
      </c>
      <c r="D590" s="22" t="s">
        <v>1374</v>
      </c>
      <c r="E590" s="22" t="s">
        <v>1375</v>
      </c>
      <c r="F590" s="22">
        <v>32.527808</v>
      </c>
      <c r="G590" s="22">
        <v>44.351131000000002</v>
      </c>
      <c r="H590" s="21" t="s">
        <v>802</v>
      </c>
      <c r="I590" s="21" t="s">
        <v>1176</v>
      </c>
      <c r="J590" s="21"/>
      <c r="K590" s="24">
        <v>28</v>
      </c>
      <c r="L590" s="24">
        <v>168</v>
      </c>
      <c r="M590" s="23">
        <v>2</v>
      </c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>
        <v>26</v>
      </c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>
        <v>28</v>
      </c>
      <c r="AL590" s="23"/>
      <c r="AM590" s="23"/>
      <c r="AN590" s="23"/>
      <c r="AO590" s="23"/>
      <c r="AP590" s="23">
        <v>26</v>
      </c>
      <c r="AQ590" s="23"/>
      <c r="AR590" s="23"/>
      <c r="AS590" s="23">
        <v>2</v>
      </c>
      <c r="AT590" s="23"/>
      <c r="AU590" s="14" t="str">
        <f>HYPERLINK("http://www.openstreetmap.org/?mlat=32.5278&amp;mlon=44.3511&amp;zoom=12#map=12/32.5278/44.3511","Maplink1")</f>
        <v>Maplink1</v>
      </c>
      <c r="AV590" s="14" t="str">
        <f>HYPERLINK("https://www.google.iq/maps/search/+32.5278,44.3511/@32.5278,44.3511,14z?hl=en","Maplink2")</f>
        <v>Maplink2</v>
      </c>
      <c r="AW590" s="14" t="str">
        <f>HYPERLINK("http://www.bing.com/maps/?lvl=14&amp;sty=h&amp;cp=32.5278~44.3511&amp;sp=point.32.5278_44.3511_Hay Al-Kadhum","Maplink3")</f>
        <v>Maplink3</v>
      </c>
    </row>
    <row r="591" spans="1:49" ht="15" customHeight="1" x14ac:dyDescent="0.25">
      <c r="A591" s="21">
        <v>7174</v>
      </c>
      <c r="B591" s="22" t="s">
        <v>10</v>
      </c>
      <c r="C591" s="22" t="s">
        <v>1173</v>
      </c>
      <c r="D591" s="22" t="s">
        <v>1376</v>
      </c>
      <c r="E591" s="22" t="s">
        <v>8328</v>
      </c>
      <c r="F591" s="22">
        <v>32.453600000000002</v>
      </c>
      <c r="G591" s="22">
        <v>44.402000000000001</v>
      </c>
      <c r="H591" s="21" t="s">
        <v>802</v>
      </c>
      <c r="I591" s="21" t="s">
        <v>1176</v>
      </c>
      <c r="J591" s="21" t="s">
        <v>1377</v>
      </c>
      <c r="K591" s="24">
        <v>29</v>
      </c>
      <c r="L591" s="24">
        <v>174</v>
      </c>
      <c r="M591" s="23">
        <v>5</v>
      </c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>
        <v>19</v>
      </c>
      <c r="Z591" s="23"/>
      <c r="AA591" s="23">
        <v>5</v>
      </c>
      <c r="AB591" s="23"/>
      <c r="AC591" s="23"/>
      <c r="AD591" s="23"/>
      <c r="AE591" s="23"/>
      <c r="AF591" s="23">
        <v>3</v>
      </c>
      <c r="AG591" s="23"/>
      <c r="AH591" s="23"/>
      <c r="AI591" s="23"/>
      <c r="AJ591" s="23"/>
      <c r="AK591" s="23">
        <v>26</v>
      </c>
      <c r="AL591" s="23"/>
      <c r="AM591" s="23"/>
      <c r="AN591" s="23"/>
      <c r="AO591" s="23">
        <v>3</v>
      </c>
      <c r="AP591" s="23">
        <v>24</v>
      </c>
      <c r="AQ591" s="23"/>
      <c r="AR591" s="23"/>
      <c r="AS591" s="23">
        <v>2</v>
      </c>
      <c r="AT591" s="23"/>
      <c r="AU591" s="14" t="str">
        <f>HYPERLINK("http://www.openstreetmap.org/?mlat=32.4536&amp;mlon=44.402&amp;zoom=12#map=12/32.4536/44.402","Maplink1")</f>
        <v>Maplink1</v>
      </c>
      <c r="AV591" s="14" t="str">
        <f>HYPERLINK("https://www.google.iq/maps/search/+32.4536,44.402/@32.4536,44.402,14z?hl=en","Maplink2")</f>
        <v>Maplink2</v>
      </c>
      <c r="AW591" s="14" t="str">
        <f>HYPERLINK("http://www.bing.com/maps/?lvl=14&amp;sty=h&amp;cp=32.4536~44.402&amp;sp=point.32.4536_44.402_Hay Al-Muhandiseen 2","Maplink3")</f>
        <v>Maplink3</v>
      </c>
    </row>
    <row r="592" spans="1:49" ht="15" customHeight="1" x14ac:dyDescent="0.25">
      <c r="A592" s="21">
        <v>7145</v>
      </c>
      <c r="B592" s="22" t="s">
        <v>10</v>
      </c>
      <c r="C592" s="22" t="s">
        <v>1173</v>
      </c>
      <c r="D592" s="22" t="s">
        <v>1378</v>
      </c>
      <c r="E592" s="22" t="s">
        <v>1379</v>
      </c>
      <c r="F592" s="22">
        <v>32.488571999999998</v>
      </c>
      <c r="G592" s="22">
        <v>44.412674000000003</v>
      </c>
      <c r="H592" s="21" t="s">
        <v>802</v>
      </c>
      <c r="I592" s="21" t="s">
        <v>1176</v>
      </c>
      <c r="J592" s="21" t="s">
        <v>1380</v>
      </c>
      <c r="K592" s="24">
        <v>3</v>
      </c>
      <c r="L592" s="24">
        <v>18</v>
      </c>
      <c r="M592" s="23">
        <v>1</v>
      </c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>
        <v>2</v>
      </c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>
        <v>3</v>
      </c>
      <c r="AL592" s="23"/>
      <c r="AM592" s="23"/>
      <c r="AN592" s="23"/>
      <c r="AO592" s="23"/>
      <c r="AP592" s="23">
        <v>2</v>
      </c>
      <c r="AQ592" s="23"/>
      <c r="AR592" s="23"/>
      <c r="AS592" s="23">
        <v>1</v>
      </c>
      <c r="AT592" s="23"/>
      <c r="AU592" s="14" t="str">
        <f>HYPERLINK("http://www.openstreetmap.org/?mlat=32.4886&amp;mlon=44.4127&amp;zoom=12#map=12/32.4886/44.4127","Maplink1")</f>
        <v>Maplink1</v>
      </c>
      <c r="AV592" s="14" t="str">
        <f>HYPERLINK("https://www.google.iq/maps/search/+32.4886,44.4127/@32.4886,44.4127,14z?hl=en","Maplink2")</f>
        <v>Maplink2</v>
      </c>
      <c r="AW592" s="14" t="str">
        <f>HYPERLINK("http://www.bing.com/maps/?lvl=14&amp;sty=h&amp;cp=32.4886~44.4127&amp;sp=point.32.4886_44.4127_Hay Al-Muharbeen","Maplink3")</f>
        <v>Maplink3</v>
      </c>
    </row>
    <row r="593" spans="1:49" ht="15" customHeight="1" x14ac:dyDescent="0.25">
      <c r="A593" s="21">
        <v>21388</v>
      </c>
      <c r="B593" s="22" t="s">
        <v>10</v>
      </c>
      <c r="C593" s="22" t="s">
        <v>1173</v>
      </c>
      <c r="D593" s="22" t="s">
        <v>999</v>
      </c>
      <c r="E593" s="22" t="s">
        <v>429</v>
      </c>
      <c r="F593" s="22">
        <v>32.454484000000001</v>
      </c>
      <c r="G593" s="22">
        <v>44.391632000000001</v>
      </c>
      <c r="H593" s="21" t="s">
        <v>802</v>
      </c>
      <c r="I593" s="21" t="s">
        <v>1176</v>
      </c>
      <c r="J593" s="21" t="s">
        <v>1381</v>
      </c>
      <c r="K593" s="24">
        <v>8</v>
      </c>
      <c r="L593" s="24">
        <v>48</v>
      </c>
      <c r="M593" s="23">
        <v>3</v>
      </c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>
        <v>5</v>
      </c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>
        <v>8</v>
      </c>
      <c r="AL593" s="23"/>
      <c r="AM593" s="23"/>
      <c r="AN593" s="23"/>
      <c r="AO593" s="23"/>
      <c r="AP593" s="23">
        <v>5</v>
      </c>
      <c r="AQ593" s="23"/>
      <c r="AR593" s="23"/>
      <c r="AS593" s="23">
        <v>3</v>
      </c>
      <c r="AT593" s="23"/>
      <c r="AU593" s="14" t="str">
        <f>HYPERLINK("http://www.openstreetmap.org/?mlat=32.4545&amp;mlon=44.3916&amp;zoom=12#map=12/32.4545/44.3916","Maplink1")</f>
        <v>Maplink1</v>
      </c>
      <c r="AV593" s="14" t="str">
        <f>HYPERLINK("https://www.google.iq/maps/search/+32.4545,44.3916/@32.4545,44.3916,14z?hl=en","Maplink2")</f>
        <v>Maplink2</v>
      </c>
      <c r="AW593" s="14" t="str">
        <f>HYPERLINK("http://www.bing.com/maps/?lvl=14&amp;sty=h&amp;cp=32.4545~44.3916&amp;sp=point.32.4545_44.3916_Hay Al-Mustafa","Maplink3")</f>
        <v>Maplink3</v>
      </c>
    </row>
    <row r="594" spans="1:49" ht="15" customHeight="1" x14ac:dyDescent="0.25">
      <c r="A594" s="21">
        <v>7095</v>
      </c>
      <c r="B594" s="22" t="s">
        <v>10</v>
      </c>
      <c r="C594" s="22" t="s">
        <v>1173</v>
      </c>
      <c r="D594" s="22" t="s">
        <v>1382</v>
      </c>
      <c r="E594" s="22" t="s">
        <v>150</v>
      </c>
      <c r="F594" s="22">
        <v>32.522221999999999</v>
      </c>
      <c r="G594" s="22">
        <v>44.350555999999997</v>
      </c>
      <c r="H594" s="21" t="s">
        <v>802</v>
      </c>
      <c r="I594" s="21" t="s">
        <v>1176</v>
      </c>
      <c r="J594" s="21" t="s">
        <v>1383</v>
      </c>
      <c r="K594" s="24">
        <v>15</v>
      </c>
      <c r="L594" s="24">
        <v>90</v>
      </c>
      <c r="M594" s="23">
        <v>7</v>
      </c>
      <c r="N594" s="23">
        <v>5</v>
      </c>
      <c r="O594" s="23">
        <v>1</v>
      </c>
      <c r="P594" s="23"/>
      <c r="Q594" s="23"/>
      <c r="R594" s="23"/>
      <c r="S594" s="23"/>
      <c r="T594" s="23"/>
      <c r="U594" s="23"/>
      <c r="V594" s="23"/>
      <c r="W594" s="23"/>
      <c r="X594" s="23"/>
      <c r="Y594" s="23">
        <v>1</v>
      </c>
      <c r="Z594" s="23"/>
      <c r="AA594" s="23">
        <v>1</v>
      </c>
      <c r="AB594" s="23"/>
      <c r="AC594" s="23"/>
      <c r="AD594" s="23"/>
      <c r="AE594" s="23"/>
      <c r="AF594" s="23"/>
      <c r="AG594" s="23"/>
      <c r="AH594" s="23"/>
      <c r="AI594" s="23"/>
      <c r="AJ594" s="23"/>
      <c r="AK594" s="23">
        <v>15</v>
      </c>
      <c r="AL594" s="23"/>
      <c r="AM594" s="23"/>
      <c r="AN594" s="23"/>
      <c r="AO594" s="23"/>
      <c r="AP594" s="23">
        <v>1</v>
      </c>
      <c r="AQ594" s="23">
        <v>7</v>
      </c>
      <c r="AR594" s="23">
        <v>3</v>
      </c>
      <c r="AS594" s="23">
        <v>4</v>
      </c>
      <c r="AT594" s="23"/>
      <c r="AU594" s="14" t="str">
        <f>HYPERLINK("http://www.openstreetmap.org/?mlat=32.5222&amp;mlon=44.3506&amp;zoom=12#map=12/32.5222/44.3506","Maplink1")</f>
        <v>Maplink1</v>
      </c>
      <c r="AV594" s="14" t="str">
        <f>HYPERLINK("https://www.google.iq/maps/search/+32.5222,44.3506/@32.5222,44.3506,14z?hl=en","Maplink2")</f>
        <v>Maplink2</v>
      </c>
      <c r="AW594" s="14" t="str">
        <f>HYPERLINK("http://www.bing.com/maps/?lvl=14&amp;sty=h&amp;cp=32.5222~44.3506&amp;sp=point.32.5222_44.3506_Hay al-salam","Maplink3")</f>
        <v>Maplink3</v>
      </c>
    </row>
    <row r="595" spans="1:49" ht="15" customHeight="1" x14ac:dyDescent="0.25">
      <c r="A595" s="21">
        <v>23945</v>
      </c>
      <c r="B595" s="22" t="s">
        <v>10</v>
      </c>
      <c r="C595" s="22" t="s">
        <v>1173</v>
      </c>
      <c r="D595" s="22" t="s">
        <v>1384</v>
      </c>
      <c r="E595" s="22" t="s">
        <v>1385</v>
      </c>
      <c r="F595" s="22">
        <v>32.499000000000002</v>
      </c>
      <c r="G595" s="22">
        <v>44.424999999999997</v>
      </c>
      <c r="H595" s="21" t="s">
        <v>802</v>
      </c>
      <c r="I595" s="21" t="s">
        <v>1176</v>
      </c>
      <c r="J595" s="21" t="s">
        <v>1386</v>
      </c>
      <c r="K595" s="24">
        <v>3</v>
      </c>
      <c r="L595" s="24">
        <v>18</v>
      </c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>
        <v>3</v>
      </c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>
        <v>3</v>
      </c>
      <c r="AL595" s="23"/>
      <c r="AM595" s="23"/>
      <c r="AN595" s="23"/>
      <c r="AO595" s="23"/>
      <c r="AP595" s="23">
        <v>3</v>
      </c>
      <c r="AQ595" s="23"/>
      <c r="AR595" s="23"/>
      <c r="AS595" s="23"/>
      <c r="AT595" s="23"/>
      <c r="AU595" s="14" t="str">
        <f>HYPERLINK("http://www.openstreetmap.org/?mlat=32.499&amp;mlon=44.425&amp;zoom=12#map=12/32.499/44.425","Maplink1")</f>
        <v>Maplink1</v>
      </c>
      <c r="AV595" s="14" t="str">
        <f>HYPERLINK("https://www.google.iq/maps/search/+32.499,44.425/@32.499,44.425,14z?hl=en","Maplink2")</f>
        <v>Maplink2</v>
      </c>
      <c r="AW595" s="14" t="str">
        <f>HYPERLINK("http://www.bing.com/maps/?lvl=14&amp;sty=h&amp;cp=32.499~44.425&amp;sp=point.32.499_44.425_Hay Al-Teyara 1","Maplink3")</f>
        <v>Maplink3</v>
      </c>
    </row>
    <row r="596" spans="1:49" ht="15" customHeight="1" x14ac:dyDescent="0.25">
      <c r="A596" s="21">
        <v>7212</v>
      </c>
      <c r="B596" s="22" t="s">
        <v>10</v>
      </c>
      <c r="C596" s="22" t="s">
        <v>1173</v>
      </c>
      <c r="D596" s="22" t="s">
        <v>1156</v>
      </c>
      <c r="E596" s="22" t="s">
        <v>7642</v>
      </c>
      <c r="F596" s="22">
        <v>32.434738000000003</v>
      </c>
      <c r="G596" s="22">
        <v>44.312615999999998</v>
      </c>
      <c r="H596" s="21" t="s">
        <v>802</v>
      </c>
      <c r="I596" s="21" t="s">
        <v>1176</v>
      </c>
      <c r="J596" s="21" t="s">
        <v>1387</v>
      </c>
      <c r="K596" s="24">
        <v>2</v>
      </c>
      <c r="L596" s="24">
        <v>12</v>
      </c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>
        <v>2</v>
      </c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>
        <v>2</v>
      </c>
      <c r="AL596" s="23"/>
      <c r="AM596" s="23"/>
      <c r="AN596" s="23"/>
      <c r="AO596" s="23"/>
      <c r="AP596" s="23">
        <v>2</v>
      </c>
      <c r="AQ596" s="23"/>
      <c r="AR596" s="23"/>
      <c r="AS596" s="23"/>
      <c r="AT596" s="23"/>
      <c r="AU596" s="14" t="str">
        <f>HYPERLINK("http://www.openstreetmap.org/?mlat=32.4347&amp;mlon=44.3126&amp;zoom=12#map=12/32.4347/44.3126","Maplink1")</f>
        <v>Maplink1</v>
      </c>
      <c r="AV596" s="14" t="str">
        <f>HYPERLINK("https://www.google.iq/maps/search/+32.4347,44.3126/@32.4347,44.3126,14z?hl=en","Maplink2")</f>
        <v>Maplink2</v>
      </c>
      <c r="AW596" s="14" t="str">
        <f>HYPERLINK("http://www.bing.com/maps/?lvl=14&amp;sty=h&amp;cp=32.4347~44.3126&amp;sp=point.32.4347_44.3126_Hay Al-Zahraa","Maplink3")</f>
        <v>Maplink3</v>
      </c>
    </row>
    <row r="597" spans="1:49" ht="15" customHeight="1" x14ac:dyDescent="0.25">
      <c r="A597" s="21">
        <v>24515</v>
      </c>
      <c r="B597" s="22" t="s">
        <v>10</v>
      </c>
      <c r="C597" s="22" t="s">
        <v>1173</v>
      </c>
      <c r="D597" s="22" t="s">
        <v>1388</v>
      </c>
      <c r="E597" s="22" t="s">
        <v>7643</v>
      </c>
      <c r="F597" s="22">
        <v>32.526924000000001</v>
      </c>
      <c r="G597" s="22">
        <v>44.356796000000003</v>
      </c>
      <c r="H597" s="21" t="s">
        <v>802</v>
      </c>
      <c r="I597" s="21" t="s">
        <v>1176</v>
      </c>
      <c r="J597" s="21"/>
      <c r="K597" s="24">
        <v>45</v>
      </c>
      <c r="L597" s="24">
        <v>270</v>
      </c>
      <c r="M597" s="23">
        <v>1</v>
      </c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>
        <v>44</v>
      </c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>
        <v>44</v>
      </c>
      <c r="AK597" s="23">
        <v>1</v>
      </c>
      <c r="AL597" s="23"/>
      <c r="AM597" s="23"/>
      <c r="AN597" s="23"/>
      <c r="AO597" s="23"/>
      <c r="AP597" s="23">
        <v>44</v>
      </c>
      <c r="AQ597" s="23"/>
      <c r="AR597" s="23"/>
      <c r="AS597" s="23">
        <v>1</v>
      </c>
      <c r="AT597" s="23"/>
      <c r="AU597" s="14" t="str">
        <f>HYPERLINK("http://www.openstreetmap.org/?mlat=32.5269&amp;mlon=44.3568&amp;zoom=12#map=12/32.5269/44.3568","Maplink1")</f>
        <v>Maplink1</v>
      </c>
      <c r="AV597" s="14" t="str">
        <f>HYPERLINK("https://www.google.iq/maps/search/+32.5269,44.3568/@32.5269,44.3568,14z?hl=en","Maplink2")</f>
        <v>Maplink2</v>
      </c>
      <c r="AW597" s="14" t="str">
        <f>HYPERLINK("http://www.bing.com/maps/?lvl=14&amp;sty=h&amp;cp=32.5269~44.3568&amp;sp=point.32.5269_44.3568_Hay Alzahraa","Maplink3")</f>
        <v>Maplink3</v>
      </c>
    </row>
    <row r="598" spans="1:49" ht="15" customHeight="1" x14ac:dyDescent="0.25">
      <c r="A598" s="21">
        <v>24337</v>
      </c>
      <c r="B598" s="22" t="s">
        <v>10</v>
      </c>
      <c r="C598" s="22" t="s">
        <v>1173</v>
      </c>
      <c r="D598" s="22" t="s">
        <v>1389</v>
      </c>
      <c r="E598" s="22" t="s">
        <v>1390</v>
      </c>
      <c r="F598" s="22">
        <v>32.446646999999999</v>
      </c>
      <c r="G598" s="22">
        <v>44.427596000000001</v>
      </c>
      <c r="H598" s="21" t="s">
        <v>802</v>
      </c>
      <c r="I598" s="21" t="s">
        <v>1176</v>
      </c>
      <c r="J598" s="21"/>
      <c r="K598" s="24">
        <v>46</v>
      </c>
      <c r="L598" s="24">
        <v>276</v>
      </c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>
        <v>45</v>
      </c>
      <c r="Z598" s="23"/>
      <c r="AA598" s="23">
        <v>1</v>
      </c>
      <c r="AB598" s="23"/>
      <c r="AC598" s="23"/>
      <c r="AD598" s="23"/>
      <c r="AE598" s="23"/>
      <c r="AF598" s="23"/>
      <c r="AG598" s="23"/>
      <c r="AH598" s="23"/>
      <c r="AI598" s="23"/>
      <c r="AJ598" s="23">
        <v>13</v>
      </c>
      <c r="AK598" s="23">
        <v>33</v>
      </c>
      <c r="AL598" s="23"/>
      <c r="AM598" s="23"/>
      <c r="AN598" s="23"/>
      <c r="AO598" s="23"/>
      <c r="AP598" s="23">
        <v>45</v>
      </c>
      <c r="AQ598" s="23"/>
      <c r="AR598" s="23">
        <v>1</v>
      </c>
      <c r="AS598" s="23"/>
      <c r="AT598" s="23"/>
      <c r="AU598" s="14" t="str">
        <f>HYPERLINK("http://www.openstreetmap.org/?mlat=32.4466&amp;mlon=44.4276&amp;zoom=12#map=12/32.4466/44.4276","Maplink1")</f>
        <v>Maplink1</v>
      </c>
      <c r="AV598" s="14" t="str">
        <f>HYPERLINK("https://www.google.iq/maps/search/+32.4466,44.4276/@32.4466,44.4276,14z?hl=en","Maplink2")</f>
        <v>Maplink2</v>
      </c>
      <c r="AW598" s="14" t="str">
        <f>HYPERLINK("http://www.bing.com/maps/?lvl=14&amp;sty=h&amp;cp=32.4466~44.4276&amp;sp=point.32.4466_44.4276_Hay Nadir 2","Maplink3")</f>
        <v>Maplink3</v>
      </c>
    </row>
    <row r="599" spans="1:49" ht="15" customHeight="1" x14ac:dyDescent="0.25">
      <c r="A599" s="21">
        <v>24691</v>
      </c>
      <c r="B599" s="22" t="s">
        <v>10</v>
      </c>
      <c r="C599" s="22" t="s">
        <v>1173</v>
      </c>
      <c r="D599" s="22" t="s">
        <v>1391</v>
      </c>
      <c r="E599" s="22" t="s">
        <v>1392</v>
      </c>
      <c r="F599" s="22">
        <v>32.487586999999998</v>
      </c>
      <c r="G599" s="22">
        <v>44.43253</v>
      </c>
      <c r="H599" s="21" t="s">
        <v>802</v>
      </c>
      <c r="I599" s="21" t="s">
        <v>1176</v>
      </c>
      <c r="J599" s="21"/>
      <c r="K599" s="24">
        <v>1</v>
      </c>
      <c r="L599" s="24">
        <v>6</v>
      </c>
      <c r="M599" s="23">
        <v>1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>
        <v>1</v>
      </c>
      <c r="AL599" s="23"/>
      <c r="AM599" s="23"/>
      <c r="AN599" s="23"/>
      <c r="AO599" s="23"/>
      <c r="AP599" s="23"/>
      <c r="AQ599" s="23"/>
      <c r="AR599" s="23">
        <v>1</v>
      </c>
      <c r="AS599" s="23"/>
      <c r="AT599" s="23"/>
      <c r="AU599" s="14" t="str">
        <f>HYPERLINK("http://www.openstreetmap.org/?mlat=32.4876&amp;mlon=44.4325&amp;zoom=12#map=12/32.4876/44.4325","Maplink1")</f>
        <v>Maplink1</v>
      </c>
      <c r="AV599" s="14" t="str">
        <f>HYPERLINK("https://www.google.iq/maps/search/+32.4876,44.4325/@32.4876,44.4325,14z?hl=en","Maplink2")</f>
        <v>Maplink2</v>
      </c>
      <c r="AW599" s="14" t="str">
        <f>HYPERLINK("http://www.bing.com/maps/?lvl=14&amp;sty=h&amp;cp=32.4876~44.4325&amp;sp=point.32.4876_44.4325_Hay Shubar","Maplink3")</f>
        <v>Maplink3</v>
      </c>
    </row>
    <row r="600" spans="1:49" ht="15" customHeight="1" x14ac:dyDescent="0.25">
      <c r="A600" s="21">
        <v>25125</v>
      </c>
      <c r="B600" s="22" t="s">
        <v>10</v>
      </c>
      <c r="C600" s="22" t="s">
        <v>1173</v>
      </c>
      <c r="D600" s="22" t="s">
        <v>1393</v>
      </c>
      <c r="E600" s="22" t="s">
        <v>7644</v>
      </c>
      <c r="F600" s="22">
        <v>32.499259000000002</v>
      </c>
      <c r="G600" s="22">
        <v>44.418888000000003</v>
      </c>
      <c r="H600" s="21" t="s">
        <v>802</v>
      </c>
      <c r="I600" s="21" t="s">
        <v>1176</v>
      </c>
      <c r="J600" s="21"/>
      <c r="K600" s="24">
        <v>15</v>
      </c>
      <c r="L600" s="24">
        <v>90</v>
      </c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>
        <v>15</v>
      </c>
      <c r="Z600" s="23"/>
      <c r="AA600" s="23"/>
      <c r="AB600" s="23"/>
      <c r="AC600" s="23"/>
      <c r="AD600" s="23"/>
      <c r="AE600" s="23"/>
      <c r="AF600" s="23">
        <v>15</v>
      </c>
      <c r="AG600" s="23"/>
      <c r="AH600" s="23"/>
      <c r="AI600" s="23"/>
      <c r="AJ600" s="23"/>
      <c r="AK600" s="23"/>
      <c r="AL600" s="23"/>
      <c r="AM600" s="23"/>
      <c r="AN600" s="23"/>
      <c r="AO600" s="23"/>
      <c r="AP600" s="23">
        <v>11</v>
      </c>
      <c r="AQ600" s="23">
        <v>4</v>
      </c>
      <c r="AR600" s="23"/>
      <c r="AS600" s="23"/>
      <c r="AT600" s="23"/>
      <c r="AU600" s="14" t="str">
        <f>HYPERLINK("http://www.openstreetmap.org/?mlat=32.4993&amp;mlon=44.4189&amp;zoom=12#map=12/32.4993/44.4189","Maplink1")</f>
        <v>Maplink1</v>
      </c>
      <c r="AV600" s="14" t="str">
        <f>HYPERLINK("https://www.google.iq/maps/search/+32.4993,44.4189/@32.4993,44.4189,14z?hl=en","Maplink2")</f>
        <v>Maplink2</v>
      </c>
      <c r="AW600" s="14" t="str">
        <f>HYPERLINK("http://www.bing.com/maps/?lvl=14&amp;sty=h&amp;cp=32.4993~44.4189&amp;sp=point.32.4993_44.4189_Hilla Area-Hay Imam","Maplink3")</f>
        <v>Maplink3</v>
      </c>
    </row>
    <row r="601" spans="1:49" ht="15" customHeight="1" x14ac:dyDescent="0.25">
      <c r="A601" s="21">
        <v>25609</v>
      </c>
      <c r="B601" s="22" t="s">
        <v>10</v>
      </c>
      <c r="C601" s="22" t="s">
        <v>1173</v>
      </c>
      <c r="D601" s="22" t="s">
        <v>1394</v>
      </c>
      <c r="E601" s="22" t="s">
        <v>1395</v>
      </c>
      <c r="F601" s="22">
        <v>32.368374000000003</v>
      </c>
      <c r="G601" s="22">
        <v>44.509880500000001</v>
      </c>
      <c r="H601" s="21" t="s">
        <v>802</v>
      </c>
      <c r="I601" s="21" t="s">
        <v>1176</v>
      </c>
      <c r="J601" s="21"/>
      <c r="K601" s="24">
        <v>12</v>
      </c>
      <c r="L601" s="24">
        <v>72</v>
      </c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>
        <v>12</v>
      </c>
      <c r="Z601" s="23"/>
      <c r="AA601" s="23"/>
      <c r="AB601" s="23"/>
      <c r="AC601" s="23"/>
      <c r="AD601" s="23"/>
      <c r="AE601" s="23"/>
      <c r="AF601" s="23">
        <v>2</v>
      </c>
      <c r="AG601" s="23"/>
      <c r="AH601" s="23"/>
      <c r="AI601" s="23"/>
      <c r="AJ601" s="23">
        <v>10</v>
      </c>
      <c r="AK601" s="23"/>
      <c r="AL601" s="23"/>
      <c r="AM601" s="23"/>
      <c r="AN601" s="23"/>
      <c r="AO601" s="23"/>
      <c r="AP601" s="23">
        <v>12</v>
      </c>
      <c r="AQ601" s="23"/>
      <c r="AR601" s="23"/>
      <c r="AS601" s="23"/>
      <c r="AT601" s="23"/>
      <c r="AU601" s="14" t="str">
        <f>HYPERLINK("http://www.openstreetmap.org/?mlat=32.3684&amp;mlon=44.5099&amp;zoom=12#map=12/32.3684/44.5099","Maplink1")</f>
        <v>Maplink1</v>
      </c>
      <c r="AV601" s="14" t="str">
        <f>HYPERLINK("https://www.google.iq/maps/search/+32.3684,44.5099/@32.3684,44.5099,14z?hl=en","Maplink2")</f>
        <v>Maplink2</v>
      </c>
      <c r="AW601" s="14" t="str">
        <f>HYPERLINK("http://www.bing.com/maps/?lvl=14&amp;sty=h&amp;cp=32.3684~44.5099&amp;sp=point.32.3684_44.5099_Hilla-Al Hummenia","Maplink3")</f>
        <v>Maplink3</v>
      </c>
    </row>
    <row r="602" spans="1:49" ht="15" customHeight="1" x14ac:dyDescent="0.25">
      <c r="A602" s="21">
        <v>25614</v>
      </c>
      <c r="B602" s="22" t="s">
        <v>10</v>
      </c>
      <c r="C602" s="22" t="s">
        <v>1173</v>
      </c>
      <c r="D602" s="22" t="s">
        <v>1396</v>
      </c>
      <c r="E602" s="22" t="s">
        <v>1397</v>
      </c>
      <c r="F602" s="22">
        <v>32.501235000000001</v>
      </c>
      <c r="G602" s="22">
        <v>44.453240000000001</v>
      </c>
      <c r="H602" s="21" t="s">
        <v>802</v>
      </c>
      <c r="I602" s="21" t="s">
        <v>1176</v>
      </c>
      <c r="J602" s="21"/>
      <c r="K602" s="24">
        <v>46</v>
      </c>
      <c r="L602" s="24">
        <v>276</v>
      </c>
      <c r="M602" s="23">
        <v>9</v>
      </c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>
        <v>37</v>
      </c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>
        <v>46</v>
      </c>
      <c r="AL602" s="23"/>
      <c r="AM602" s="23"/>
      <c r="AN602" s="23"/>
      <c r="AO602" s="23"/>
      <c r="AP602" s="23">
        <v>37</v>
      </c>
      <c r="AQ602" s="23"/>
      <c r="AR602" s="23">
        <v>9</v>
      </c>
      <c r="AS602" s="23"/>
      <c r="AT602" s="23"/>
      <c r="AU602" s="14" t="str">
        <f>HYPERLINK("http://www.openstreetmap.org/?mlat=32.5012&amp;mlon=44.4532&amp;zoom=12#map=12/32.5012/44.4532","Maplink1")</f>
        <v>Maplink1</v>
      </c>
      <c r="AV602" s="14" t="str">
        <f>HYPERLINK("https://www.google.iq/maps/search/+32.5012,44.4532/@32.5012,44.4532,14z?hl=en","Maplink2")</f>
        <v>Maplink2</v>
      </c>
      <c r="AW602" s="14" t="str">
        <f>HYPERLINK("http://www.bing.com/maps/?lvl=14&amp;sty=h&amp;cp=32.5012~44.4532&amp;sp=point.32.5012_44.4532_Hilla-Al Safeer village","Maplink3")</f>
        <v>Maplink3</v>
      </c>
    </row>
    <row r="603" spans="1:49" ht="15" customHeight="1" x14ac:dyDescent="0.25">
      <c r="A603" s="21">
        <v>7176</v>
      </c>
      <c r="B603" s="22" t="s">
        <v>10</v>
      </c>
      <c r="C603" s="22" t="s">
        <v>1173</v>
      </c>
      <c r="D603" s="22" t="s">
        <v>1398</v>
      </c>
      <c r="E603" s="22" t="s">
        <v>7645</v>
      </c>
      <c r="F603" s="22">
        <v>32.462222220000001</v>
      </c>
      <c r="G603" s="22">
        <v>44.392222220000001</v>
      </c>
      <c r="H603" s="21" t="s">
        <v>802</v>
      </c>
      <c r="I603" s="21" t="s">
        <v>1176</v>
      </c>
      <c r="J603" s="21" t="s">
        <v>1399</v>
      </c>
      <c r="K603" s="24">
        <v>15</v>
      </c>
      <c r="L603" s="24">
        <v>90</v>
      </c>
      <c r="M603" s="23">
        <v>3</v>
      </c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>
        <v>11</v>
      </c>
      <c r="Z603" s="23"/>
      <c r="AA603" s="23">
        <v>1</v>
      </c>
      <c r="AB603" s="23"/>
      <c r="AC603" s="23"/>
      <c r="AD603" s="23"/>
      <c r="AE603" s="23"/>
      <c r="AF603" s="23"/>
      <c r="AG603" s="23"/>
      <c r="AH603" s="23"/>
      <c r="AI603" s="23"/>
      <c r="AJ603" s="23"/>
      <c r="AK603" s="23">
        <v>15</v>
      </c>
      <c r="AL603" s="23"/>
      <c r="AM603" s="23"/>
      <c r="AN603" s="23"/>
      <c r="AO603" s="23"/>
      <c r="AP603" s="23">
        <v>7</v>
      </c>
      <c r="AQ603" s="23">
        <v>5</v>
      </c>
      <c r="AR603" s="23">
        <v>3</v>
      </c>
      <c r="AS603" s="23"/>
      <c r="AT603" s="23"/>
      <c r="AU603" s="14" t="str">
        <f>HYPERLINK("http://www.openstreetmap.org/?mlat=32.4622&amp;mlon=44.3922&amp;zoom=12#map=12/32.4622/44.3922","Maplink1")</f>
        <v>Maplink1</v>
      </c>
      <c r="AV603" s="14" t="str">
        <f>HYPERLINK("https://www.google.iq/maps/search/+32.4622,44.3922/@32.4622,44.3922,14z?hl=en","Maplink2")</f>
        <v>Maplink2</v>
      </c>
      <c r="AW603" s="14" t="str">
        <f>HYPERLINK("http://www.bing.com/maps/?lvl=14&amp;sty=h&amp;cp=32.4622~44.3922&amp;sp=point.32.4622_44.3922_Hilla-Al-Muhandiseen 3","Maplink3")</f>
        <v>Maplink3</v>
      </c>
    </row>
    <row r="604" spans="1:49" ht="15" customHeight="1" x14ac:dyDescent="0.25">
      <c r="A604" s="21">
        <v>25328</v>
      </c>
      <c r="B604" s="22" t="s">
        <v>10</v>
      </c>
      <c r="C604" s="22" t="s">
        <v>1173</v>
      </c>
      <c r="D604" s="22" t="s">
        <v>1400</v>
      </c>
      <c r="E604" s="22" t="s">
        <v>1098</v>
      </c>
      <c r="F604" s="22">
        <v>32.449131000000001</v>
      </c>
      <c r="G604" s="22">
        <v>44.401147000000002</v>
      </c>
      <c r="H604" s="21" t="s">
        <v>802</v>
      </c>
      <c r="I604" s="21" t="s">
        <v>1176</v>
      </c>
      <c r="J604" s="21"/>
      <c r="K604" s="24">
        <v>5</v>
      </c>
      <c r="L604" s="24">
        <v>30</v>
      </c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>
        <v>5</v>
      </c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>
        <v>5</v>
      </c>
      <c r="AL604" s="23"/>
      <c r="AM604" s="23"/>
      <c r="AN604" s="23"/>
      <c r="AO604" s="23"/>
      <c r="AP604" s="23">
        <v>5</v>
      </c>
      <c r="AQ604" s="23"/>
      <c r="AR604" s="23"/>
      <c r="AS604" s="23"/>
      <c r="AT604" s="23"/>
      <c r="AU604" s="14" t="str">
        <f>HYPERLINK("http://www.openstreetmap.org/?mlat=32.4491&amp;mlon=44.4011&amp;zoom=12#map=12/32.4491/44.4011","Maplink1")</f>
        <v>Maplink1</v>
      </c>
      <c r="AV604" s="14" t="str">
        <f>HYPERLINK("https://www.google.iq/maps/search/+32.4491,44.4011/@32.4491,44.4011,14z?hl=en","Maplink2")</f>
        <v>Maplink2</v>
      </c>
      <c r="AW604" s="14" t="str">
        <f>HYPERLINK("http://www.bing.com/maps/?lvl=14&amp;sty=h&amp;cp=32.4491~44.4011&amp;sp=point.32.4491_44.4011_Hilla-Hay Al Ghadeer","Maplink3")</f>
        <v>Maplink3</v>
      </c>
    </row>
    <row r="605" spans="1:49" ht="15" customHeight="1" x14ac:dyDescent="0.25">
      <c r="A605" s="21">
        <v>25769</v>
      </c>
      <c r="B605" s="22" t="s">
        <v>10</v>
      </c>
      <c r="C605" s="22" t="s">
        <v>1173</v>
      </c>
      <c r="D605" s="22" t="s">
        <v>1401</v>
      </c>
      <c r="E605" s="22" t="s">
        <v>1402</v>
      </c>
      <c r="F605" s="22">
        <v>32.475651999999997</v>
      </c>
      <c r="G605" s="22">
        <v>44.457455000000003</v>
      </c>
      <c r="H605" s="21" t="s">
        <v>802</v>
      </c>
      <c r="I605" s="21" t="s">
        <v>1176</v>
      </c>
      <c r="J605" s="21"/>
      <c r="K605" s="24">
        <v>30</v>
      </c>
      <c r="L605" s="24">
        <v>180</v>
      </c>
      <c r="M605" s="23">
        <v>24</v>
      </c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>
        <v>6</v>
      </c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>
        <v>30</v>
      </c>
      <c r="AL605" s="23"/>
      <c r="AM605" s="23"/>
      <c r="AN605" s="23"/>
      <c r="AO605" s="23"/>
      <c r="AP605" s="23">
        <v>6</v>
      </c>
      <c r="AQ605" s="23"/>
      <c r="AR605" s="23">
        <v>24</v>
      </c>
      <c r="AS605" s="23"/>
      <c r="AT605" s="23"/>
      <c r="AU605" s="14" t="str">
        <f>HYPERLINK("http://www.openstreetmap.org/?mlat=32.4757&amp;mlon=44.4575&amp;zoom=12#map=12/32.4757/44.4575","Maplink1")</f>
        <v>Maplink1</v>
      </c>
      <c r="AV605" s="14" t="str">
        <f>HYPERLINK("https://www.google.iq/maps/search/+32.4757,44.4575/@32.4757,44.4575,14z?hl=en","Maplink2")</f>
        <v>Maplink2</v>
      </c>
      <c r="AW605" s="14" t="str">
        <f>HYPERLINK("http://www.bing.com/maps/?lvl=14&amp;sty=h&amp;cp=32.4757~44.4575&amp;sp=point.32.4757_44.4575_Hilla-Hay Al Noamania","Maplink3")</f>
        <v>Maplink3</v>
      </c>
    </row>
    <row r="606" spans="1:49" ht="15" customHeight="1" x14ac:dyDescent="0.25">
      <c r="A606" s="21">
        <v>25611</v>
      </c>
      <c r="B606" s="22" t="s">
        <v>10</v>
      </c>
      <c r="C606" s="22" t="s">
        <v>1173</v>
      </c>
      <c r="D606" s="22" t="s">
        <v>1403</v>
      </c>
      <c r="E606" s="22" t="s">
        <v>893</v>
      </c>
      <c r="F606" s="22">
        <v>32.441763999999999</v>
      </c>
      <c r="G606" s="22">
        <v>44.421100000000003</v>
      </c>
      <c r="H606" s="21" t="s">
        <v>802</v>
      </c>
      <c r="I606" s="21" t="s">
        <v>1176</v>
      </c>
      <c r="J606" s="21"/>
      <c r="K606" s="24">
        <v>6</v>
      </c>
      <c r="L606" s="24">
        <v>36</v>
      </c>
      <c r="M606" s="23">
        <v>2</v>
      </c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>
        <v>3</v>
      </c>
      <c r="Z606" s="23"/>
      <c r="AA606" s="23">
        <v>1</v>
      </c>
      <c r="AB606" s="23"/>
      <c r="AC606" s="23"/>
      <c r="AD606" s="23"/>
      <c r="AE606" s="23"/>
      <c r="AF606" s="23"/>
      <c r="AG606" s="23"/>
      <c r="AH606" s="23"/>
      <c r="AI606" s="23"/>
      <c r="AJ606" s="23"/>
      <c r="AK606" s="23">
        <v>6</v>
      </c>
      <c r="AL606" s="23"/>
      <c r="AM606" s="23"/>
      <c r="AN606" s="23"/>
      <c r="AO606" s="23"/>
      <c r="AP606" s="23">
        <v>4</v>
      </c>
      <c r="AQ606" s="23"/>
      <c r="AR606" s="23">
        <v>2</v>
      </c>
      <c r="AS606" s="23"/>
      <c r="AT606" s="23"/>
      <c r="AU606" s="14" t="str">
        <f>HYPERLINK("http://www.openstreetmap.org/?mlat=32.4418&amp;mlon=44.4211&amp;zoom=12#map=12/32.4418/44.4211","Maplink1")</f>
        <v>Maplink1</v>
      </c>
      <c r="AV606" s="14" t="str">
        <f>HYPERLINK("https://www.google.iq/maps/search/+32.4418,44.4211/@32.4418,44.4211,14z?hl=en","Maplink2")</f>
        <v>Maplink2</v>
      </c>
      <c r="AW606" s="14" t="str">
        <f>HYPERLINK("http://www.bing.com/maps/?lvl=14&amp;sty=h&amp;cp=32.4418~44.4211&amp;sp=point.32.4418_44.4211_Hilla-Hay Al Noor","Maplink3")</f>
        <v>Maplink3</v>
      </c>
    </row>
    <row r="607" spans="1:49" ht="15" customHeight="1" x14ac:dyDescent="0.25">
      <c r="A607" s="21">
        <v>25770</v>
      </c>
      <c r="B607" s="22" t="s">
        <v>10</v>
      </c>
      <c r="C607" s="22" t="s">
        <v>1173</v>
      </c>
      <c r="D607" s="22" t="s">
        <v>1404</v>
      </c>
      <c r="E607" s="22" t="s">
        <v>1405</v>
      </c>
      <c r="F607" s="22">
        <v>32.479514999999999</v>
      </c>
      <c r="G607" s="22">
        <v>44.454864000000001</v>
      </c>
      <c r="H607" s="21" t="s">
        <v>802</v>
      </c>
      <c r="I607" s="21" t="s">
        <v>1176</v>
      </c>
      <c r="J607" s="21"/>
      <c r="K607" s="24">
        <v>9</v>
      </c>
      <c r="L607" s="24">
        <v>54</v>
      </c>
      <c r="M607" s="23">
        <v>1</v>
      </c>
      <c r="N607" s="23"/>
      <c r="O607" s="23"/>
      <c r="P607" s="23"/>
      <c r="Q607" s="23"/>
      <c r="R607" s="23">
        <v>3</v>
      </c>
      <c r="S607" s="23"/>
      <c r="T607" s="23"/>
      <c r="U607" s="23"/>
      <c r="V607" s="23"/>
      <c r="W607" s="23"/>
      <c r="X607" s="23"/>
      <c r="Y607" s="23">
        <v>5</v>
      </c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>
        <v>9</v>
      </c>
      <c r="AL607" s="23"/>
      <c r="AM607" s="23"/>
      <c r="AN607" s="23"/>
      <c r="AO607" s="23"/>
      <c r="AP607" s="23">
        <v>5</v>
      </c>
      <c r="AQ607" s="23">
        <v>3</v>
      </c>
      <c r="AR607" s="23"/>
      <c r="AS607" s="23">
        <v>1</v>
      </c>
      <c r="AT607" s="23"/>
      <c r="AU607" s="14" t="str">
        <f>HYPERLINK("http://www.openstreetmap.org/?mlat=32.4795&amp;mlon=44.4549&amp;zoom=12#map=12/32.4795/44.4549","Maplink1")</f>
        <v>Maplink1</v>
      </c>
      <c r="AV607" s="14" t="str">
        <f>HYPERLINK("https://www.google.iq/maps/search/+32.4795,44.4549/@32.4795,44.4549,14z?hl=en","Maplink2")</f>
        <v>Maplink2</v>
      </c>
      <c r="AW607" s="14" t="str">
        <f>HYPERLINK("http://www.bing.com/maps/?lvl=14&amp;sty=h&amp;cp=32.4795~44.4549&amp;sp=point.32.4795_44.4549_Hilla-Hay Al Ridha","Maplink3")</f>
        <v>Maplink3</v>
      </c>
    </row>
    <row r="608" spans="1:49" ht="15" customHeight="1" x14ac:dyDescent="0.25">
      <c r="A608" s="21">
        <v>25606</v>
      </c>
      <c r="B608" s="22" t="s">
        <v>10</v>
      </c>
      <c r="C608" s="22" t="s">
        <v>1173</v>
      </c>
      <c r="D608" s="22" t="s">
        <v>1406</v>
      </c>
      <c r="E608" s="22" t="s">
        <v>7646</v>
      </c>
      <c r="F608" s="22">
        <v>32.454732999999997</v>
      </c>
      <c r="G608" s="22">
        <v>44.403078000000001</v>
      </c>
      <c r="H608" s="21" t="s">
        <v>802</v>
      </c>
      <c r="I608" s="21" t="s">
        <v>1176</v>
      </c>
      <c r="J608" s="21"/>
      <c r="K608" s="24">
        <v>25</v>
      </c>
      <c r="L608" s="24">
        <v>150</v>
      </c>
      <c r="M608" s="23">
        <v>5</v>
      </c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>
        <v>20</v>
      </c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>
        <v>25</v>
      </c>
      <c r="AL608" s="23"/>
      <c r="AM608" s="23"/>
      <c r="AN608" s="23"/>
      <c r="AO608" s="23"/>
      <c r="AP608" s="23">
        <v>19</v>
      </c>
      <c r="AQ608" s="23">
        <v>1</v>
      </c>
      <c r="AR608" s="23">
        <v>1</v>
      </c>
      <c r="AS608" s="23">
        <v>4</v>
      </c>
      <c r="AT608" s="23"/>
      <c r="AU608" s="14" t="str">
        <f>HYPERLINK("http://www.openstreetmap.org/?mlat=32.4547&amp;mlon=44.4031&amp;zoom=12#map=12/32.4547/44.4031","Maplink1")</f>
        <v>Maplink1</v>
      </c>
      <c r="AV608" s="14" t="str">
        <f>HYPERLINK("https://www.google.iq/maps/search/+32.4547,44.4031/@32.4547,44.4031,14z?hl=en","Maplink2")</f>
        <v>Maplink2</v>
      </c>
      <c r="AW608" s="14" t="str">
        <f>HYPERLINK("http://www.bing.com/maps/?lvl=14&amp;sty=h&amp;cp=32.4547~44.4031&amp;sp=point.32.4547_44.4031_Hilla-Hay Al-Muhandiseen-1","Maplink3")</f>
        <v>Maplink3</v>
      </c>
    </row>
    <row r="609" spans="1:49" ht="15" customHeight="1" x14ac:dyDescent="0.25">
      <c r="A609" s="21">
        <v>25612</v>
      </c>
      <c r="B609" s="22" t="s">
        <v>10</v>
      </c>
      <c r="C609" s="22" t="s">
        <v>1173</v>
      </c>
      <c r="D609" s="22" t="s">
        <v>1407</v>
      </c>
      <c r="E609" s="22" t="s">
        <v>1408</v>
      </c>
      <c r="F609" s="22">
        <v>32.472161</v>
      </c>
      <c r="G609" s="22">
        <v>44.411465</v>
      </c>
      <c r="H609" s="21" t="s">
        <v>802</v>
      </c>
      <c r="I609" s="21" t="s">
        <v>1176</v>
      </c>
      <c r="J609" s="21"/>
      <c r="K609" s="24">
        <v>8</v>
      </c>
      <c r="L609" s="24">
        <v>48</v>
      </c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>
        <v>8</v>
      </c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>
        <v>8</v>
      </c>
      <c r="AN609" s="23"/>
      <c r="AO609" s="23"/>
      <c r="AP609" s="23">
        <v>8</v>
      </c>
      <c r="AQ609" s="23"/>
      <c r="AR609" s="23"/>
      <c r="AS609" s="23"/>
      <c r="AT609" s="23"/>
      <c r="AU609" s="14" t="str">
        <f>HYPERLINK("http://www.openstreetmap.org/?mlat=32.4722&amp;mlon=44.4115&amp;zoom=12#map=12/32.4722/44.4115","Maplink1")</f>
        <v>Maplink1</v>
      </c>
      <c r="AV609" s="14" t="str">
        <f>HYPERLINK("https://www.google.iq/maps/search/+32.4722,44.4115/@32.4722,44.4115,14z?hl=en","Maplink2")</f>
        <v>Maplink2</v>
      </c>
      <c r="AW609" s="14" t="str">
        <f>HYPERLINK("http://www.bing.com/maps/?lvl=14&amp;sty=h&amp;cp=32.4722~44.4115&amp;sp=point.32.4722_44.4115_Hilla-Jamaiat Al Moalmeen","Maplink3")</f>
        <v>Maplink3</v>
      </c>
    </row>
    <row r="610" spans="1:49" ht="15" customHeight="1" x14ac:dyDescent="0.25">
      <c r="A610" s="21">
        <v>25608</v>
      </c>
      <c r="B610" s="22" t="s">
        <v>10</v>
      </c>
      <c r="C610" s="22" t="s">
        <v>1173</v>
      </c>
      <c r="D610" s="22" t="s">
        <v>1409</v>
      </c>
      <c r="E610" s="22" t="s">
        <v>7647</v>
      </c>
      <c r="F610" s="22">
        <v>32.443604999999998</v>
      </c>
      <c r="G610" s="22">
        <v>44.422393</v>
      </c>
      <c r="H610" s="21" t="s">
        <v>802</v>
      </c>
      <c r="I610" s="21" t="s">
        <v>1176</v>
      </c>
      <c r="J610" s="21"/>
      <c r="K610" s="24">
        <v>8</v>
      </c>
      <c r="L610" s="24">
        <v>48</v>
      </c>
      <c r="M610" s="23">
        <v>1</v>
      </c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>
        <v>7</v>
      </c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>
        <v>8</v>
      </c>
      <c r="AL610" s="23"/>
      <c r="AM610" s="23"/>
      <c r="AN610" s="23"/>
      <c r="AO610" s="23"/>
      <c r="AP610" s="23">
        <v>7</v>
      </c>
      <c r="AQ610" s="23"/>
      <c r="AR610" s="23">
        <v>1</v>
      </c>
      <c r="AS610" s="23"/>
      <c r="AT610" s="23"/>
      <c r="AU610" s="14" t="str">
        <f>HYPERLINK("http://www.openstreetmap.org/?mlat=32.4436&amp;mlon=44.4224&amp;zoom=12#map=12/32.4436/44.4224","Maplink1")</f>
        <v>Maplink1</v>
      </c>
      <c r="AV610" s="14" t="str">
        <f>HYPERLINK("https://www.google.iq/maps/search/+32.4436,44.4224/@32.4436,44.4224,14z?hl=en","Maplink2")</f>
        <v>Maplink2</v>
      </c>
      <c r="AW610" s="14" t="str">
        <f>HYPERLINK("http://www.bing.com/maps/?lvl=14&amp;sty=h&amp;cp=32.4436~44.4224&amp;sp=point.32.4436_44.4224_Hilla-Nader Al Baker","Maplink3")</f>
        <v>Maplink3</v>
      </c>
    </row>
    <row r="611" spans="1:49" ht="15" customHeight="1" x14ac:dyDescent="0.25">
      <c r="A611" s="21">
        <v>25828</v>
      </c>
      <c r="B611" s="22" t="s">
        <v>10</v>
      </c>
      <c r="C611" s="22" t="s">
        <v>1173</v>
      </c>
      <c r="D611" s="22" t="s">
        <v>1410</v>
      </c>
      <c r="E611" s="22" t="s">
        <v>7648</v>
      </c>
      <c r="F611" s="22">
        <v>32.433677000000003</v>
      </c>
      <c r="G611" s="22">
        <v>44.433081000000001</v>
      </c>
      <c r="H611" s="21" t="s">
        <v>802</v>
      </c>
      <c r="I611" s="21" t="s">
        <v>1176</v>
      </c>
      <c r="J611" s="21"/>
      <c r="K611" s="24">
        <v>8</v>
      </c>
      <c r="L611" s="24">
        <v>48</v>
      </c>
      <c r="M611" s="23">
        <v>2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>
        <v>6</v>
      </c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>
        <v>8</v>
      </c>
      <c r="AL611" s="23"/>
      <c r="AM611" s="23"/>
      <c r="AN611" s="23"/>
      <c r="AO611" s="23"/>
      <c r="AP611" s="23">
        <v>6</v>
      </c>
      <c r="AQ611" s="23"/>
      <c r="AR611" s="23">
        <v>2</v>
      </c>
      <c r="AS611" s="23"/>
      <c r="AT611" s="23"/>
      <c r="AU611" s="14" t="str">
        <f>HYPERLINK("http://www.openstreetmap.org/?mlat=32.4337&amp;mlon=44.4331&amp;zoom=12#map=12/32.4337/44.4331","Maplink1")</f>
        <v>Maplink1</v>
      </c>
      <c r="AV611" s="14" t="str">
        <f>HYPERLINK("https://www.google.iq/maps/search/+32.4337,44.4331/@32.4337,44.4331,14z?hl=en","Maplink2")</f>
        <v>Maplink2</v>
      </c>
      <c r="AW611" s="14" t="str">
        <f>HYPERLINK("http://www.bing.com/maps/?lvl=14&amp;sty=h&amp;cp=32.4337~44.4331&amp;sp=point.32.4337_44.4331_Hilla-Nadir-Ali Al Hadi","Maplink3")</f>
        <v>Maplink3</v>
      </c>
    </row>
    <row r="612" spans="1:49" ht="15" customHeight="1" x14ac:dyDescent="0.25">
      <c r="A612" s="21">
        <v>24275</v>
      </c>
      <c r="B612" s="22" t="s">
        <v>10</v>
      </c>
      <c r="C612" s="22" t="s">
        <v>1173</v>
      </c>
      <c r="D612" s="22" t="s">
        <v>1411</v>
      </c>
      <c r="E612" s="22" t="s">
        <v>1412</v>
      </c>
      <c r="F612" s="22">
        <v>32.457444000000002</v>
      </c>
      <c r="G612" s="22">
        <v>44.428649999999998</v>
      </c>
      <c r="H612" s="21" t="s">
        <v>802</v>
      </c>
      <c r="I612" s="21" t="s">
        <v>1176</v>
      </c>
      <c r="J612" s="21" t="s">
        <v>1413</v>
      </c>
      <c r="K612" s="24">
        <v>22</v>
      </c>
      <c r="L612" s="24">
        <v>132</v>
      </c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>
        <v>22</v>
      </c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>
        <v>22</v>
      </c>
      <c r="AL612" s="23"/>
      <c r="AM612" s="23"/>
      <c r="AN612" s="23"/>
      <c r="AO612" s="23"/>
      <c r="AP612" s="23">
        <v>22</v>
      </c>
      <c r="AQ612" s="23"/>
      <c r="AR612" s="23"/>
      <c r="AS612" s="23"/>
      <c r="AT612" s="23"/>
      <c r="AU612" s="14" t="str">
        <f>HYPERLINK("http://www.openstreetmap.org/?mlat=32.4574&amp;mlon=44.4286&amp;zoom=12#map=12/32.4574/44.4286","Maplink1")</f>
        <v>Maplink1</v>
      </c>
      <c r="AV612" s="14" t="str">
        <f>HYPERLINK("https://www.google.iq/maps/search/+32.4574,44.4286/@32.4574,44.4286,14z?hl=en","Maplink2")</f>
        <v>Maplink2</v>
      </c>
      <c r="AW612" s="14" t="str">
        <f>HYPERLINK("http://www.bing.com/maps/?lvl=14&amp;sty=h&amp;cp=32.4574~44.4286&amp;sp=point.32.4574_44.4286_Karaghol","Maplink3")</f>
        <v>Maplink3</v>
      </c>
    </row>
    <row r="613" spans="1:49" ht="15" customHeight="1" x14ac:dyDescent="0.25">
      <c r="A613" s="21">
        <v>23951</v>
      </c>
      <c r="B613" s="22" t="s">
        <v>10</v>
      </c>
      <c r="C613" s="22" t="s">
        <v>1173</v>
      </c>
      <c r="D613" s="22" t="s">
        <v>1414</v>
      </c>
      <c r="E613" s="22" t="s">
        <v>1415</v>
      </c>
      <c r="F613" s="22">
        <v>32.475057999999997</v>
      </c>
      <c r="G613" s="22">
        <v>44.441392</v>
      </c>
      <c r="H613" s="21" t="s">
        <v>802</v>
      </c>
      <c r="I613" s="21" t="s">
        <v>1176</v>
      </c>
      <c r="J613" s="21" t="s">
        <v>1416</v>
      </c>
      <c r="K613" s="24">
        <v>120</v>
      </c>
      <c r="L613" s="24">
        <v>720</v>
      </c>
      <c r="M613" s="23">
        <v>70</v>
      </c>
      <c r="N613" s="23"/>
      <c r="O613" s="23"/>
      <c r="P613" s="23"/>
      <c r="Q613" s="23"/>
      <c r="R613" s="23"/>
      <c r="S613" s="23"/>
      <c r="T613" s="23"/>
      <c r="U613" s="23">
        <v>1</v>
      </c>
      <c r="V613" s="23"/>
      <c r="W613" s="23"/>
      <c r="X613" s="23"/>
      <c r="Y613" s="23">
        <v>46</v>
      </c>
      <c r="Z613" s="23"/>
      <c r="AA613" s="23">
        <v>3</v>
      </c>
      <c r="AB613" s="23"/>
      <c r="AC613" s="23"/>
      <c r="AD613" s="23"/>
      <c r="AE613" s="23"/>
      <c r="AF613" s="23">
        <v>29</v>
      </c>
      <c r="AG613" s="23"/>
      <c r="AH613" s="23"/>
      <c r="AI613" s="23"/>
      <c r="AJ613" s="23"/>
      <c r="AK613" s="23">
        <v>91</v>
      </c>
      <c r="AL613" s="23"/>
      <c r="AM613" s="23"/>
      <c r="AN613" s="23"/>
      <c r="AO613" s="23">
        <v>1</v>
      </c>
      <c r="AP613" s="23">
        <v>16</v>
      </c>
      <c r="AQ613" s="23">
        <v>32</v>
      </c>
      <c r="AR613" s="23">
        <v>50</v>
      </c>
      <c r="AS613" s="23">
        <v>21</v>
      </c>
      <c r="AT613" s="23"/>
      <c r="AU613" s="14" t="str">
        <f>HYPERLINK("http://www.openstreetmap.org/?mlat=32.4751&amp;mlon=44.4414&amp;zoom=12#map=12/32.4751/44.4414","Maplink1")</f>
        <v>Maplink1</v>
      </c>
      <c r="AV613" s="14" t="str">
        <f>HYPERLINK("https://www.google.iq/maps/search/+32.4751,44.4414/@32.4751,44.4414,14z?hl=en","Maplink2")</f>
        <v>Maplink2</v>
      </c>
      <c r="AW613" s="14" t="str">
        <f>HYPERLINK("http://www.bing.com/maps/?lvl=14&amp;sty=h&amp;cp=32.4751~44.4414&amp;sp=point.32.4751_44.4414_Kureteah","Maplink3")</f>
        <v>Maplink3</v>
      </c>
    </row>
    <row r="614" spans="1:49" ht="15" customHeight="1" x14ac:dyDescent="0.25">
      <c r="A614" s="21">
        <v>24454</v>
      </c>
      <c r="B614" s="22" t="s">
        <v>10</v>
      </c>
      <c r="C614" s="22" t="s">
        <v>1173</v>
      </c>
      <c r="D614" s="22" t="s">
        <v>1417</v>
      </c>
      <c r="E614" s="22" t="s">
        <v>7649</v>
      </c>
      <c r="F614" s="22">
        <v>32.51164</v>
      </c>
      <c r="G614" s="22">
        <v>44.399006999999997</v>
      </c>
      <c r="H614" s="21" t="s">
        <v>802</v>
      </c>
      <c r="I614" s="21" t="s">
        <v>1176</v>
      </c>
      <c r="J614" s="21"/>
      <c r="K614" s="24">
        <v>30</v>
      </c>
      <c r="L614" s="24">
        <v>180</v>
      </c>
      <c r="M614" s="23">
        <v>2</v>
      </c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>
        <v>28</v>
      </c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>
        <v>9</v>
      </c>
      <c r="AK614" s="23">
        <v>21</v>
      </c>
      <c r="AL614" s="23"/>
      <c r="AM614" s="23"/>
      <c r="AN614" s="23"/>
      <c r="AO614" s="23"/>
      <c r="AP614" s="23">
        <v>28</v>
      </c>
      <c r="AQ614" s="23"/>
      <c r="AR614" s="23">
        <v>2</v>
      </c>
      <c r="AS614" s="23"/>
      <c r="AT614" s="23"/>
      <c r="AU614" s="14" t="str">
        <f>HYPERLINK("http://www.openstreetmap.org/?mlat=32.5116&amp;mlon=44.399&amp;zoom=12#map=12/32.5116/44.399","Maplink1")</f>
        <v>Maplink1</v>
      </c>
      <c r="AV614" s="14" t="str">
        <f>HYPERLINK("https://www.google.iq/maps/search/+32.5116,44.399/@32.5116,44.399,14z?hl=en","Maplink2")</f>
        <v>Maplink2</v>
      </c>
      <c r="AW614" s="14" t="str">
        <f>HYPERLINK("http://www.bing.com/maps/?lvl=14&amp;sty=h&amp;cp=32.5116~44.399&amp;sp=point.32.5116_44.399_Muhaizem 2-Abu Gharaq","Maplink3")</f>
        <v>Maplink3</v>
      </c>
    </row>
    <row r="615" spans="1:49" ht="15" customHeight="1" x14ac:dyDescent="0.25">
      <c r="A615" s="21">
        <v>27373</v>
      </c>
      <c r="B615" s="22" t="s">
        <v>10</v>
      </c>
      <c r="C615" s="22" t="s">
        <v>1173</v>
      </c>
      <c r="D615" s="22" t="s">
        <v>1418</v>
      </c>
      <c r="E615" s="22" t="s">
        <v>1419</v>
      </c>
      <c r="F615" s="22">
        <v>32.510305000000002</v>
      </c>
      <c r="G615" s="22">
        <v>44.398001999999998</v>
      </c>
      <c r="H615" s="21" t="s">
        <v>802</v>
      </c>
      <c r="I615" s="21" t="s">
        <v>1176</v>
      </c>
      <c r="J615" s="21"/>
      <c r="K615" s="24">
        <v>17</v>
      </c>
      <c r="L615" s="24">
        <v>102</v>
      </c>
      <c r="M615" s="23">
        <v>1</v>
      </c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>
        <v>16</v>
      </c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>
        <v>17</v>
      </c>
      <c r="AL615" s="23"/>
      <c r="AM615" s="23"/>
      <c r="AN615" s="23"/>
      <c r="AO615" s="23"/>
      <c r="AP615" s="23">
        <v>16</v>
      </c>
      <c r="AQ615" s="23"/>
      <c r="AR615" s="23">
        <v>1</v>
      </c>
      <c r="AS615" s="23"/>
      <c r="AT615" s="23"/>
      <c r="AU615" s="14" t="str">
        <f>HYPERLINK("http://www.openstreetmap.org/?mlat=32.5103&amp;mlon=44.398&amp;zoom=12#map=12/32.5103/44.398","Maplink1")</f>
        <v>Maplink1</v>
      </c>
      <c r="AV615" s="14" t="str">
        <f>HYPERLINK("https://www.google.iq/maps/search/+32.5103,44.398/@32.5103,44.398,14z?hl=en","Maplink2")</f>
        <v>Maplink2</v>
      </c>
      <c r="AW615" s="14" t="str">
        <f>HYPERLINK("http://www.bing.com/maps/?lvl=14&amp;sty=h&amp;cp=32.5103~44.398&amp;sp=point.32.5103_44.398_Muhezim 1","Maplink3")</f>
        <v>Maplink3</v>
      </c>
    </row>
    <row r="616" spans="1:49" ht="15" customHeight="1" x14ac:dyDescent="0.25">
      <c r="A616" s="21">
        <v>24754</v>
      </c>
      <c r="B616" s="22" t="s">
        <v>10</v>
      </c>
      <c r="C616" s="22" t="s">
        <v>1173</v>
      </c>
      <c r="D616" s="22" t="s">
        <v>1420</v>
      </c>
      <c r="E616" s="22" t="s">
        <v>1421</v>
      </c>
      <c r="F616" s="22">
        <v>32.475662999999997</v>
      </c>
      <c r="G616" s="22">
        <v>44.426482999999998</v>
      </c>
      <c r="H616" s="21" t="s">
        <v>802</v>
      </c>
      <c r="I616" s="21" t="s">
        <v>1176</v>
      </c>
      <c r="J616" s="21"/>
      <c r="K616" s="24">
        <v>24</v>
      </c>
      <c r="L616" s="24">
        <v>144</v>
      </c>
      <c r="M616" s="23">
        <v>8</v>
      </c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>
        <v>16</v>
      </c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>
        <v>24</v>
      </c>
      <c r="AL616" s="23"/>
      <c r="AM616" s="23"/>
      <c r="AN616" s="23"/>
      <c r="AO616" s="23"/>
      <c r="AP616" s="23">
        <v>16</v>
      </c>
      <c r="AQ616" s="23"/>
      <c r="AR616" s="23"/>
      <c r="AS616" s="23">
        <v>8</v>
      </c>
      <c r="AT616" s="23"/>
      <c r="AU616" s="14" t="str">
        <f>HYPERLINK("http://www.openstreetmap.org/?mlat=32.4757&amp;mlon=44.4265&amp;zoom=12#map=12/32.4757/44.4265","Maplink1")</f>
        <v>Maplink1</v>
      </c>
      <c r="AV616" s="14" t="str">
        <f>HYPERLINK("https://www.google.iq/maps/search/+32.4757,44.4265/@32.4757,44.4265,14z?hl=en","Maplink2")</f>
        <v>Maplink2</v>
      </c>
      <c r="AW616" s="14" t="str">
        <f>HYPERLINK("http://www.bing.com/maps/?lvl=14&amp;sty=h&amp;cp=32.4757~44.4265&amp;sp=point.32.4757_44.4265_Mustafa Ragheb","Maplink3")</f>
        <v>Maplink3</v>
      </c>
    </row>
    <row r="617" spans="1:49" ht="15" customHeight="1" x14ac:dyDescent="0.25">
      <c r="A617" s="21">
        <v>25330</v>
      </c>
      <c r="B617" s="22" t="s">
        <v>10</v>
      </c>
      <c r="C617" s="22" t="s">
        <v>1173</v>
      </c>
      <c r="D617" s="22" t="s">
        <v>1422</v>
      </c>
      <c r="E617" s="22" t="s">
        <v>1423</v>
      </c>
      <c r="F617" s="22">
        <v>32.440657000000002</v>
      </c>
      <c r="G617" s="22">
        <v>44.423231000000001</v>
      </c>
      <c r="H617" s="21" t="s">
        <v>802</v>
      </c>
      <c r="I617" s="21" t="s">
        <v>1176</v>
      </c>
      <c r="J617" s="21"/>
      <c r="K617" s="24">
        <v>7</v>
      </c>
      <c r="L617" s="24">
        <v>42</v>
      </c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>
        <v>7</v>
      </c>
      <c r="Z617" s="23"/>
      <c r="AA617" s="23"/>
      <c r="AB617" s="23"/>
      <c r="AC617" s="23"/>
      <c r="AD617" s="23"/>
      <c r="AE617" s="23"/>
      <c r="AF617" s="23">
        <v>7</v>
      </c>
      <c r="AG617" s="23"/>
      <c r="AH617" s="23"/>
      <c r="AI617" s="23"/>
      <c r="AJ617" s="23"/>
      <c r="AK617" s="23"/>
      <c r="AL617" s="23"/>
      <c r="AM617" s="23"/>
      <c r="AN617" s="23"/>
      <c r="AO617" s="23"/>
      <c r="AP617" s="23">
        <v>7</v>
      </c>
      <c r="AQ617" s="23"/>
      <c r="AR617" s="23"/>
      <c r="AS617" s="23"/>
      <c r="AT617" s="23"/>
      <c r="AU617" s="14" t="str">
        <f>HYPERLINK("http://www.openstreetmap.org/?mlat=32.4407&amp;mlon=44.4232&amp;zoom=12#map=12/32.4407/44.4232","Maplink1")</f>
        <v>Maplink1</v>
      </c>
      <c r="AV617" s="14" t="str">
        <f>HYPERLINK("https://www.google.iq/maps/search/+32.4407,44.4232/@32.4407,44.4232,14z?hl=en","Maplink2")</f>
        <v>Maplink2</v>
      </c>
      <c r="AW617" s="14" t="str">
        <f>HYPERLINK("http://www.bing.com/maps/?lvl=14&amp;sty=h&amp;cp=32.4407~44.4232&amp;sp=point.32.4407_44.4232_Nader 3-Al Sajad","Maplink3")</f>
        <v>Maplink3</v>
      </c>
    </row>
    <row r="618" spans="1:49" ht="15" customHeight="1" x14ac:dyDescent="0.25">
      <c r="A618" s="21">
        <v>21673</v>
      </c>
      <c r="B618" s="22" t="s">
        <v>10</v>
      </c>
      <c r="C618" s="22" t="s">
        <v>1173</v>
      </c>
      <c r="D618" s="22" t="s">
        <v>1424</v>
      </c>
      <c r="E618" s="22" t="s">
        <v>1425</v>
      </c>
      <c r="F618" s="22">
        <v>32.457949999999997</v>
      </c>
      <c r="G618" s="22">
        <v>44.428533000000002</v>
      </c>
      <c r="H618" s="21" t="s">
        <v>802</v>
      </c>
      <c r="I618" s="21" t="s">
        <v>1176</v>
      </c>
      <c r="J618" s="21" t="s">
        <v>1426</v>
      </c>
      <c r="K618" s="24">
        <v>7</v>
      </c>
      <c r="L618" s="24">
        <v>42</v>
      </c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>
        <v>7</v>
      </c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>
        <v>7</v>
      </c>
      <c r="AL618" s="23"/>
      <c r="AM618" s="23"/>
      <c r="AN618" s="23"/>
      <c r="AO618" s="23"/>
      <c r="AP618" s="23">
        <v>7</v>
      </c>
      <c r="AQ618" s="23"/>
      <c r="AR618" s="23"/>
      <c r="AS618" s="23"/>
      <c r="AT618" s="23"/>
      <c r="AU618" s="14" t="str">
        <f>HYPERLINK("http://www.openstreetmap.org/?mlat=32.4579&amp;mlon=44.4285&amp;zoom=12#map=12/32.4579/44.4285","Maplink1")</f>
        <v>Maplink1</v>
      </c>
      <c r="AV618" s="14" t="str">
        <f>HYPERLINK("https://www.google.iq/maps/search/+32.4579,44.4285/@32.4579,44.4285,14z?hl=en","Maplink2")</f>
        <v>Maplink2</v>
      </c>
      <c r="AW618" s="14" t="str">
        <f>HYPERLINK("http://www.bing.com/maps/?lvl=14&amp;sty=h&amp;cp=32.4579~44.4285&amp;sp=point.32.4579_44.4285_Nadir Al Ula","Maplink3")</f>
        <v>Maplink3</v>
      </c>
    </row>
    <row r="619" spans="1:49" ht="15" customHeight="1" x14ac:dyDescent="0.25">
      <c r="A619" s="21">
        <v>24975</v>
      </c>
      <c r="B619" s="22" t="s">
        <v>10</v>
      </c>
      <c r="C619" s="22" t="s">
        <v>1173</v>
      </c>
      <c r="D619" s="22" t="s">
        <v>1427</v>
      </c>
      <c r="E619" s="22" t="s">
        <v>1428</v>
      </c>
      <c r="F619" s="22">
        <v>32.422863999999997</v>
      </c>
      <c r="G619" s="22">
        <v>44.299807999999999</v>
      </c>
      <c r="H619" s="21" t="s">
        <v>802</v>
      </c>
      <c r="I619" s="21" t="s">
        <v>1176</v>
      </c>
      <c r="J619" s="21"/>
      <c r="K619" s="24">
        <v>8</v>
      </c>
      <c r="L619" s="24">
        <v>48</v>
      </c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>
        <v>8</v>
      </c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>
        <v>4</v>
      </c>
      <c r="AK619" s="23">
        <v>4</v>
      </c>
      <c r="AL619" s="23"/>
      <c r="AM619" s="23"/>
      <c r="AN619" s="23"/>
      <c r="AO619" s="23"/>
      <c r="AP619" s="23"/>
      <c r="AQ619" s="23">
        <v>8</v>
      </c>
      <c r="AR619" s="23"/>
      <c r="AS619" s="23"/>
      <c r="AT619" s="23"/>
      <c r="AU619" s="14" t="str">
        <f>HYPERLINK("http://www.openstreetmap.org/?mlat=32.4229&amp;mlon=44.2998&amp;zoom=12#map=12/32.4229/44.2998","Maplink1")</f>
        <v>Maplink1</v>
      </c>
      <c r="AV619" s="14" t="str">
        <f>HYPERLINK("https://www.google.iq/maps/search/+32.4229,44.2998/@32.4229,44.2998,14z?hl=en","Maplink2")</f>
        <v>Maplink2</v>
      </c>
      <c r="AW619" s="14" t="str">
        <f>HYPERLINK("http://www.bing.com/maps/?lvl=14&amp;sty=h&amp;cp=32.4229~44.2998&amp;sp=point.32.4229_44.2998_Om Kafsha","Maplink3")</f>
        <v>Maplink3</v>
      </c>
    </row>
    <row r="620" spans="1:49" ht="15" customHeight="1" x14ac:dyDescent="0.25">
      <c r="A620" s="21">
        <v>24976</v>
      </c>
      <c r="B620" s="22" t="s">
        <v>10</v>
      </c>
      <c r="C620" s="22" t="s">
        <v>1173</v>
      </c>
      <c r="D620" s="22" t="s">
        <v>1429</v>
      </c>
      <c r="E620" s="22" t="s">
        <v>1430</v>
      </c>
      <c r="F620" s="22">
        <v>32.198442</v>
      </c>
      <c r="G620" s="22">
        <v>44.347681000000001</v>
      </c>
      <c r="H620" s="21" t="s">
        <v>802</v>
      </c>
      <c r="I620" s="21" t="s">
        <v>1176</v>
      </c>
      <c r="J620" s="21"/>
      <c r="K620" s="24">
        <v>17</v>
      </c>
      <c r="L620" s="24">
        <v>102</v>
      </c>
      <c r="M620" s="23">
        <v>3</v>
      </c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>
        <v>14</v>
      </c>
      <c r="Z620" s="23"/>
      <c r="AA620" s="23"/>
      <c r="AB620" s="23"/>
      <c r="AC620" s="23"/>
      <c r="AD620" s="23"/>
      <c r="AE620" s="23"/>
      <c r="AF620" s="23">
        <v>10</v>
      </c>
      <c r="AG620" s="23"/>
      <c r="AH620" s="23"/>
      <c r="AI620" s="23"/>
      <c r="AJ620" s="23">
        <v>4</v>
      </c>
      <c r="AK620" s="23">
        <v>3</v>
      </c>
      <c r="AL620" s="23"/>
      <c r="AM620" s="23"/>
      <c r="AN620" s="23"/>
      <c r="AO620" s="23"/>
      <c r="AP620" s="23"/>
      <c r="AQ620" s="23">
        <v>14</v>
      </c>
      <c r="AR620" s="23"/>
      <c r="AS620" s="23">
        <v>3</v>
      </c>
      <c r="AT620" s="23"/>
      <c r="AU620" s="14" t="str">
        <f>HYPERLINK("http://www.openstreetmap.org/?mlat=32.1984&amp;mlon=44.3477&amp;zoom=12#map=12/32.1984/44.3477","Maplink1")</f>
        <v>Maplink1</v>
      </c>
      <c r="AV620" s="14" t="str">
        <f>HYPERLINK("https://www.google.iq/maps/search/+32.1984,44.3477/@32.1984,44.3477,14z?hl=en","Maplink2")</f>
        <v>Maplink2</v>
      </c>
      <c r="AW620" s="14" t="str">
        <f>HYPERLINK("http://www.bing.com/maps/?lvl=14&amp;sty=h&amp;cp=32.1984~44.3477&amp;sp=point.32.1984_44.3477_Om Najah","Maplink3")</f>
        <v>Maplink3</v>
      </c>
    </row>
    <row r="621" spans="1:49" ht="15" customHeight="1" x14ac:dyDescent="0.25">
      <c r="A621" s="21">
        <v>23950</v>
      </c>
      <c r="B621" s="22" t="s">
        <v>10</v>
      </c>
      <c r="C621" s="22" t="s">
        <v>1173</v>
      </c>
      <c r="D621" s="22" t="s">
        <v>1431</v>
      </c>
      <c r="E621" s="22" t="s">
        <v>7650</v>
      </c>
      <c r="F621" s="22">
        <v>32.415089999999999</v>
      </c>
      <c r="G621" s="22">
        <v>44.406469999999999</v>
      </c>
      <c r="H621" s="21" t="s">
        <v>802</v>
      </c>
      <c r="I621" s="21" t="s">
        <v>1176</v>
      </c>
      <c r="J621" s="21" t="s">
        <v>1432</v>
      </c>
      <c r="K621" s="24">
        <v>373</v>
      </c>
      <c r="L621" s="24">
        <v>2238</v>
      </c>
      <c r="M621" s="23">
        <v>17</v>
      </c>
      <c r="N621" s="23">
        <v>5</v>
      </c>
      <c r="O621" s="23">
        <v>3</v>
      </c>
      <c r="P621" s="23"/>
      <c r="Q621" s="23"/>
      <c r="R621" s="23">
        <v>2</v>
      </c>
      <c r="S621" s="23"/>
      <c r="T621" s="23"/>
      <c r="U621" s="23"/>
      <c r="V621" s="23"/>
      <c r="W621" s="23"/>
      <c r="X621" s="23"/>
      <c r="Y621" s="23">
        <v>345</v>
      </c>
      <c r="Z621" s="23"/>
      <c r="AA621" s="23">
        <v>1</v>
      </c>
      <c r="AB621" s="23"/>
      <c r="AC621" s="23"/>
      <c r="AD621" s="23"/>
      <c r="AE621" s="23"/>
      <c r="AF621" s="23"/>
      <c r="AG621" s="23"/>
      <c r="AH621" s="23">
        <v>373</v>
      </c>
      <c r="AI621" s="23"/>
      <c r="AJ621" s="23"/>
      <c r="AK621" s="23"/>
      <c r="AL621" s="23"/>
      <c r="AM621" s="23"/>
      <c r="AN621" s="23"/>
      <c r="AO621" s="23"/>
      <c r="AP621" s="23">
        <v>239</v>
      </c>
      <c r="AQ621" s="23">
        <v>117</v>
      </c>
      <c r="AR621" s="23">
        <v>17</v>
      </c>
      <c r="AS621" s="23"/>
      <c r="AT621" s="23"/>
      <c r="AU621" s="14" t="str">
        <f>HYPERLINK("http://www.openstreetmap.org/?mlat=32.4151&amp;mlon=44.4065&amp;zoom=12#map=12/32.4151/44.4065","Maplink1")</f>
        <v>Maplink1</v>
      </c>
      <c r="AV621" s="14" t="str">
        <f>HYPERLINK("https://www.google.iq/maps/search/+32.4151,44.4065/@32.4151,44.4065,14z?hl=en","Maplink2")</f>
        <v>Maplink2</v>
      </c>
      <c r="AW621" s="14" t="str">
        <f>HYPERLINK("http://www.bing.com/maps/?lvl=14&amp;sty=h&amp;cp=32.4151~44.4065&amp;sp=point.32.4151_44.4065_Qas Sowelem-Compound","Maplink3")</f>
        <v>Maplink3</v>
      </c>
    </row>
    <row r="622" spans="1:49" ht="15" customHeight="1" x14ac:dyDescent="0.25">
      <c r="A622" s="21">
        <v>24462</v>
      </c>
      <c r="B622" s="22" t="s">
        <v>10</v>
      </c>
      <c r="C622" s="22" t="s">
        <v>1173</v>
      </c>
      <c r="D622" s="22" t="s">
        <v>1433</v>
      </c>
      <c r="E622" s="22" t="s">
        <v>1434</v>
      </c>
      <c r="F622" s="22">
        <v>32.483061999999997</v>
      </c>
      <c r="G622" s="22">
        <v>44.482576999999999</v>
      </c>
      <c r="H622" s="21" t="s">
        <v>802</v>
      </c>
      <c r="I622" s="21" t="s">
        <v>1176</v>
      </c>
      <c r="J622" s="21"/>
      <c r="K622" s="24">
        <v>80</v>
      </c>
      <c r="L622" s="24">
        <v>480</v>
      </c>
      <c r="M622" s="23">
        <v>57</v>
      </c>
      <c r="N622" s="23"/>
      <c r="O622" s="23">
        <v>1</v>
      </c>
      <c r="P622" s="23"/>
      <c r="Q622" s="23"/>
      <c r="R622" s="23"/>
      <c r="S622" s="23"/>
      <c r="T622" s="23"/>
      <c r="U622" s="23">
        <v>1</v>
      </c>
      <c r="V622" s="23"/>
      <c r="W622" s="23"/>
      <c r="X622" s="23"/>
      <c r="Y622" s="23">
        <v>21</v>
      </c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>
        <v>80</v>
      </c>
      <c r="AL622" s="23"/>
      <c r="AM622" s="23"/>
      <c r="AN622" s="23"/>
      <c r="AO622" s="23"/>
      <c r="AP622" s="23">
        <v>17</v>
      </c>
      <c r="AQ622" s="23">
        <v>4</v>
      </c>
      <c r="AR622" s="23">
        <v>43</v>
      </c>
      <c r="AS622" s="23">
        <v>16</v>
      </c>
      <c r="AT622" s="23"/>
      <c r="AU622" s="14" t="str">
        <f>HYPERLINK("http://www.openstreetmap.org/?mlat=32.4831&amp;mlon=44.4826&amp;zoom=12#map=12/32.4831/44.4826","Maplink1")</f>
        <v>Maplink1</v>
      </c>
      <c r="AV622" s="14" t="str">
        <f>HYPERLINK("https://www.google.iq/maps/search/+32.4831,44.4826/@32.4831,44.4826,14z?hl=en","Maplink2")</f>
        <v>Maplink2</v>
      </c>
      <c r="AW622" s="14" t="str">
        <f>HYPERLINK("http://www.bing.com/maps/?lvl=14&amp;sty=h&amp;cp=32.4831~44.4826&amp;sp=point.32.4831_44.4826_Saif Saad","Maplink3")</f>
        <v>Maplink3</v>
      </c>
    </row>
    <row r="623" spans="1:49" ht="15" customHeight="1" x14ac:dyDescent="0.25">
      <c r="A623" s="21">
        <v>7166</v>
      </c>
      <c r="B623" s="22" t="s">
        <v>10</v>
      </c>
      <c r="C623" s="22" t="s">
        <v>1173</v>
      </c>
      <c r="D623" s="22" t="s">
        <v>1435</v>
      </c>
      <c r="E623" s="22" t="s">
        <v>1436</v>
      </c>
      <c r="F623" s="22">
        <v>32.529000000000003</v>
      </c>
      <c r="G623" s="22">
        <v>44.41</v>
      </c>
      <c r="H623" s="21" t="s">
        <v>802</v>
      </c>
      <c r="I623" s="21" t="s">
        <v>1176</v>
      </c>
      <c r="J623" s="21" t="s">
        <v>1437</v>
      </c>
      <c r="K623" s="24">
        <v>22</v>
      </c>
      <c r="L623" s="24">
        <v>132</v>
      </c>
      <c r="M623" s="23">
        <v>8</v>
      </c>
      <c r="N623" s="23">
        <v>3</v>
      </c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>
        <v>11</v>
      </c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>
        <v>22</v>
      </c>
      <c r="AL623" s="23"/>
      <c r="AM623" s="23"/>
      <c r="AN623" s="23"/>
      <c r="AO623" s="23"/>
      <c r="AP623" s="23">
        <v>11</v>
      </c>
      <c r="AQ623" s="23">
        <v>3</v>
      </c>
      <c r="AR623" s="23"/>
      <c r="AS623" s="23">
        <v>8</v>
      </c>
      <c r="AT623" s="23"/>
      <c r="AU623" s="14" t="str">
        <f>HYPERLINK("http://www.openstreetmap.org/?mlat=32.529&amp;mlon=44.41&amp;zoom=12#map=12/32.529/44.41","Maplink1")</f>
        <v>Maplink1</v>
      </c>
      <c r="AV623" s="14" t="str">
        <f>HYPERLINK("https://www.google.iq/maps/search/+32.529,44.41/@32.529,44.41,14z?hl=en","Maplink2")</f>
        <v>Maplink2</v>
      </c>
      <c r="AW623" s="14" t="str">
        <f>HYPERLINK("http://www.bing.com/maps/?lvl=14&amp;sty=h&amp;cp=32.529~44.41&amp;sp=point.32.529_44.41_Singar","Maplink3")</f>
        <v>Maplink3</v>
      </c>
    </row>
    <row r="624" spans="1:49" ht="15" customHeight="1" x14ac:dyDescent="0.25">
      <c r="A624" s="21">
        <v>7139</v>
      </c>
      <c r="B624" s="22" t="s">
        <v>10</v>
      </c>
      <c r="C624" s="22" t="s">
        <v>1173</v>
      </c>
      <c r="D624" s="22" t="s">
        <v>1438</v>
      </c>
      <c r="E624" s="22" t="s">
        <v>1439</v>
      </c>
      <c r="F624" s="22">
        <v>32.423611000000001</v>
      </c>
      <c r="G624" s="22">
        <v>44.41</v>
      </c>
      <c r="H624" s="21" t="s">
        <v>802</v>
      </c>
      <c r="I624" s="21" t="s">
        <v>1176</v>
      </c>
      <c r="J624" s="21" t="s">
        <v>1440</v>
      </c>
      <c r="K624" s="24">
        <v>9</v>
      </c>
      <c r="L624" s="24">
        <v>54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9</v>
      </c>
      <c r="Z624" s="23"/>
      <c r="AA624" s="23"/>
      <c r="AB624" s="23"/>
      <c r="AC624" s="23"/>
      <c r="AD624" s="23"/>
      <c r="AE624" s="23"/>
      <c r="AF624" s="23">
        <v>9</v>
      </c>
      <c r="AG624" s="23"/>
      <c r="AH624" s="23"/>
      <c r="AI624" s="23"/>
      <c r="AJ624" s="23"/>
      <c r="AK624" s="23"/>
      <c r="AL624" s="23"/>
      <c r="AM624" s="23"/>
      <c r="AN624" s="23"/>
      <c r="AO624" s="23"/>
      <c r="AP624" s="23">
        <v>9</v>
      </c>
      <c r="AQ624" s="23"/>
      <c r="AR624" s="23"/>
      <c r="AS624" s="23"/>
      <c r="AT624" s="23"/>
      <c r="AU624" s="14" t="str">
        <f>HYPERLINK("http://www.openstreetmap.org/?mlat=32.4236&amp;mlon=44.41&amp;zoom=12#map=12/32.4236/44.41","Maplink1")</f>
        <v>Maplink1</v>
      </c>
      <c r="AV624" s="14" t="str">
        <f>HYPERLINK("https://www.google.iq/maps/search/+32.4236,44.41/@32.4236,44.41,14z?hl=en","Maplink2")</f>
        <v>Maplink2</v>
      </c>
      <c r="AW624" s="14" t="str">
        <f>HYPERLINK("http://www.bing.com/maps/?lvl=14&amp;sty=h&amp;cp=32.4236~44.41&amp;sp=point.32.4236_44.41_Tajia village","Maplink3")</f>
        <v>Maplink3</v>
      </c>
    </row>
    <row r="625" spans="1:49" ht="15" customHeight="1" x14ac:dyDescent="0.25">
      <c r="A625" s="21">
        <v>25968</v>
      </c>
      <c r="B625" s="22" t="s">
        <v>10</v>
      </c>
      <c r="C625" s="22" t="s">
        <v>1173</v>
      </c>
      <c r="D625" s="22" t="s">
        <v>1441</v>
      </c>
      <c r="E625" s="22" t="s">
        <v>1442</v>
      </c>
      <c r="F625" s="22">
        <v>32.402383</v>
      </c>
      <c r="G625" s="22">
        <v>44.294623000000001</v>
      </c>
      <c r="H625" s="21" t="s">
        <v>802</v>
      </c>
      <c r="I625" s="21" t="s">
        <v>1176</v>
      </c>
      <c r="J625" s="21"/>
      <c r="K625" s="24">
        <v>21</v>
      </c>
      <c r="L625" s="24">
        <v>126</v>
      </c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>
        <v>21</v>
      </c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>
        <v>21</v>
      </c>
      <c r="AN625" s="23"/>
      <c r="AO625" s="23"/>
      <c r="AP625" s="23"/>
      <c r="AQ625" s="23">
        <v>21</v>
      </c>
      <c r="AR625" s="23"/>
      <c r="AS625" s="23"/>
      <c r="AT625" s="23"/>
      <c r="AU625" s="14" t="str">
        <f>HYPERLINK("http://www.openstreetmap.org/?mlat=32.4024&amp;mlon=44.2946&amp;zoom=12#map=12/32.4024/44.2946","Maplink1")</f>
        <v>Maplink1</v>
      </c>
      <c r="AV625" s="14" t="str">
        <f>HYPERLINK("https://www.google.iq/maps/search/+32.4024,44.2946/@32.4024,44.2946,14z?hl=en","Maplink2")</f>
        <v>Maplink2</v>
      </c>
      <c r="AW625" s="14" t="str">
        <f>HYPERLINK("http://www.bing.com/maps/?lvl=14&amp;sty=h&amp;cp=32.4024~44.2946&amp;sp=point.32.4024_44.2946_Tufail","Maplink3")</f>
        <v>Maplink3</v>
      </c>
    </row>
    <row r="626" spans="1:49" ht="15" customHeight="1" x14ac:dyDescent="0.25">
      <c r="A626" s="21">
        <v>7097</v>
      </c>
      <c r="B626" s="22" t="s">
        <v>10</v>
      </c>
      <c r="C626" s="22" t="s">
        <v>1173</v>
      </c>
      <c r="D626" s="22" t="s">
        <v>1443</v>
      </c>
      <c r="E626" s="22" t="s">
        <v>7651</v>
      </c>
      <c r="F626" s="22">
        <v>32.523055999999997</v>
      </c>
      <c r="G626" s="22">
        <v>44.269722000000002</v>
      </c>
      <c r="H626" s="21" t="s">
        <v>802</v>
      </c>
      <c r="I626" s="21" t="s">
        <v>1176</v>
      </c>
      <c r="J626" s="21" t="s">
        <v>1444</v>
      </c>
      <c r="K626" s="24">
        <v>8</v>
      </c>
      <c r="L626" s="24">
        <v>48</v>
      </c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>
        <v>8</v>
      </c>
      <c r="Z626" s="23"/>
      <c r="AA626" s="23"/>
      <c r="AB626" s="23"/>
      <c r="AC626" s="23"/>
      <c r="AD626" s="23"/>
      <c r="AE626" s="23"/>
      <c r="AF626" s="23">
        <v>3</v>
      </c>
      <c r="AG626" s="23"/>
      <c r="AH626" s="23"/>
      <c r="AI626" s="23"/>
      <c r="AJ626" s="23">
        <v>5</v>
      </c>
      <c r="AK626" s="23"/>
      <c r="AL626" s="23"/>
      <c r="AM626" s="23"/>
      <c r="AN626" s="23"/>
      <c r="AO626" s="23"/>
      <c r="AP626" s="23">
        <v>8</v>
      </c>
      <c r="AQ626" s="23"/>
      <c r="AR626" s="23"/>
      <c r="AS626" s="23"/>
      <c r="AT626" s="23"/>
      <c r="AU626" s="14" t="str">
        <f>HYPERLINK("http://www.openstreetmap.org/?mlat=32.5231&amp;mlon=44.2697&amp;zoom=12#map=12/32.5231/44.2697","Maplink1")</f>
        <v>Maplink1</v>
      </c>
      <c r="AV626" s="14" t="str">
        <f>HYPERLINK("https://www.google.iq/maps/search/+32.5231,44.2697/@32.5231,44.2697,14z?hl=en","Maplink2")</f>
        <v>Maplink2</v>
      </c>
      <c r="AW626" s="14" t="str">
        <f>HYPERLINK("http://www.bing.com/maps/?lvl=14&amp;sty=h&amp;cp=32.5231~44.2697&amp;sp=point.32.5231_44.2697_Zighaib al-arab-1","Maplink3")</f>
        <v>Maplink3</v>
      </c>
    </row>
    <row r="627" spans="1:49" ht="15" customHeight="1" x14ac:dyDescent="0.25">
      <c r="A627" s="21">
        <v>24420</v>
      </c>
      <c r="B627" s="22" t="s">
        <v>10</v>
      </c>
      <c r="C627" s="22" t="s">
        <v>1173</v>
      </c>
      <c r="D627" s="22" t="s">
        <v>1445</v>
      </c>
      <c r="E627" s="22" t="s">
        <v>1446</v>
      </c>
      <c r="F627" s="22">
        <v>32.515512000000001</v>
      </c>
      <c r="G627" s="22">
        <v>44.421289000000002</v>
      </c>
      <c r="H627" s="21" t="s">
        <v>802</v>
      </c>
      <c r="I627" s="21" t="s">
        <v>1176</v>
      </c>
      <c r="J627" s="21"/>
      <c r="K627" s="24">
        <v>20</v>
      </c>
      <c r="L627" s="24">
        <v>120</v>
      </c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>
        <v>20</v>
      </c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>
        <v>20</v>
      </c>
      <c r="AL627" s="23"/>
      <c r="AM627" s="23"/>
      <c r="AN627" s="23"/>
      <c r="AO627" s="23"/>
      <c r="AP627" s="23">
        <v>20</v>
      </c>
      <c r="AQ627" s="23"/>
      <c r="AR627" s="23"/>
      <c r="AS627" s="23"/>
      <c r="AT627" s="23"/>
      <c r="AU627" s="14" t="str">
        <f>HYPERLINK("http://www.openstreetmap.org/?mlat=32.5155&amp;mlon=44.4213&amp;zoom=12#map=12/32.5155/44.4213","Maplink1")</f>
        <v>Maplink1</v>
      </c>
      <c r="AV627" s="14" t="str">
        <f>HYPERLINK("https://www.google.iq/maps/search/+32.5155,44.4213/@32.5155,44.4213,14z?hl=en","Maplink2")</f>
        <v>Maplink2</v>
      </c>
      <c r="AW627" s="14" t="str">
        <f>HYPERLINK("http://www.bing.com/maps/?lvl=14&amp;sty=h&amp;cp=32.5155~44.4213&amp;sp=point.32.5155_44.4213_Zwir AlGharbi","Maplink3")</f>
        <v>Maplink3</v>
      </c>
    </row>
    <row r="628" spans="1:49" ht="15" customHeight="1" x14ac:dyDescent="0.25">
      <c r="A628" s="21">
        <v>21173</v>
      </c>
      <c r="B628" s="22" t="s">
        <v>11</v>
      </c>
      <c r="C628" s="22" t="s">
        <v>1447</v>
      </c>
      <c r="D628" s="22" t="s">
        <v>1451</v>
      </c>
      <c r="E628" s="22" t="s">
        <v>1452</v>
      </c>
      <c r="F628" s="22">
        <v>33.30247</v>
      </c>
      <c r="G628" s="22">
        <v>44.178550000000001</v>
      </c>
      <c r="H628" s="21" t="s">
        <v>1449</v>
      </c>
      <c r="I628" s="21" t="s">
        <v>1450</v>
      </c>
      <c r="J628" s="21" t="s">
        <v>1453</v>
      </c>
      <c r="K628" s="24">
        <v>749</v>
      </c>
      <c r="L628" s="24">
        <v>4494</v>
      </c>
      <c r="M628" s="23">
        <v>749</v>
      </c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>
        <v>190</v>
      </c>
      <c r="AG628" s="23"/>
      <c r="AH628" s="23"/>
      <c r="AI628" s="23">
        <v>8</v>
      </c>
      <c r="AJ628" s="23"/>
      <c r="AK628" s="23">
        <v>539</v>
      </c>
      <c r="AL628" s="23"/>
      <c r="AM628" s="23">
        <v>12</v>
      </c>
      <c r="AN628" s="23"/>
      <c r="AO628" s="23">
        <v>100</v>
      </c>
      <c r="AP628" s="23">
        <v>249</v>
      </c>
      <c r="AQ628" s="23"/>
      <c r="AR628" s="23"/>
      <c r="AS628" s="23">
        <v>400</v>
      </c>
      <c r="AT628" s="23"/>
      <c r="AU628" s="14" t="str">
        <f>HYPERLINK("http://www.openstreetmap.org/?mlat=33.3019&amp;mlon=44.1778&amp;zoom=12#map=12/33.3019/44.1778","Maplink1")</f>
        <v>Maplink1</v>
      </c>
      <c r="AV628" s="14" t="str">
        <f>HYPERLINK("https://www.google.iq/maps/search/+33.3019,44.1778/@33.3019,44.1778,14z?hl=en","Maplink2")</f>
        <v>Maplink2</v>
      </c>
      <c r="AW628" s="14" t="str">
        <f>HYPERLINK("http://www.bing.com/maps/?lvl=14&amp;sty=h&amp;cp=33.3019~44.1778&amp;sp=point.33.3019_44.1778_1 Athar","Maplink3")</f>
        <v>Maplink3</v>
      </c>
    </row>
    <row r="629" spans="1:49" ht="15" customHeight="1" x14ac:dyDescent="0.25">
      <c r="A629" s="21">
        <v>7671</v>
      </c>
      <c r="B629" s="22" t="s">
        <v>11</v>
      </c>
      <c r="C629" s="22" t="s">
        <v>1447</v>
      </c>
      <c r="D629" s="22" t="s">
        <v>1454</v>
      </c>
      <c r="E629" s="22" t="s">
        <v>1455</v>
      </c>
      <c r="F629" s="22">
        <v>33.303025206599997</v>
      </c>
      <c r="G629" s="22">
        <v>44.140793150299999</v>
      </c>
      <c r="H629" s="21" t="s">
        <v>1449</v>
      </c>
      <c r="I629" s="21" t="s">
        <v>1450</v>
      </c>
      <c r="J629" s="21" t="s">
        <v>1456</v>
      </c>
      <c r="K629" s="24">
        <v>166</v>
      </c>
      <c r="L629" s="24">
        <v>996</v>
      </c>
      <c r="M629" s="23">
        <v>166</v>
      </c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>
        <v>36</v>
      </c>
      <c r="AG629" s="23"/>
      <c r="AH629" s="23"/>
      <c r="AI629" s="23"/>
      <c r="AJ629" s="23"/>
      <c r="AK629" s="23">
        <v>130</v>
      </c>
      <c r="AL629" s="23"/>
      <c r="AM629" s="23"/>
      <c r="AN629" s="23"/>
      <c r="AO629" s="23">
        <v>56</v>
      </c>
      <c r="AP629" s="23"/>
      <c r="AQ629" s="23"/>
      <c r="AR629" s="23"/>
      <c r="AS629" s="23">
        <v>110</v>
      </c>
      <c r="AT629" s="23"/>
      <c r="AU629" s="14" t="str">
        <f>HYPERLINK("http://www.openstreetmap.org/?mlat=33.3031&amp;mlon=44.1853&amp;zoom=12#map=12/33.3031/44.1853","Maplink1")</f>
        <v>Maplink1</v>
      </c>
      <c r="AV629" s="14" t="str">
        <f>HYPERLINK("https://www.google.iq/maps/search/+33.3031,44.1853/@33.3031,44.1853,14z?hl=en","Maplink2")</f>
        <v>Maplink2</v>
      </c>
      <c r="AW629" s="14" t="str">
        <f>HYPERLINK("http://www.bing.com/maps/?lvl=14&amp;sty=h&amp;cp=33.3031~44.1853&amp;sp=point.33.3031_44.1853_1 Huzairan","Maplink3")</f>
        <v>Maplink3</v>
      </c>
    </row>
    <row r="630" spans="1:49" ht="15" customHeight="1" x14ac:dyDescent="0.25">
      <c r="A630" s="21">
        <v>24047</v>
      </c>
      <c r="B630" s="22" t="s">
        <v>11</v>
      </c>
      <c r="C630" s="22" t="s">
        <v>1447</v>
      </c>
      <c r="D630" s="22" t="s">
        <v>1457</v>
      </c>
      <c r="E630" s="22" t="s">
        <v>1458</v>
      </c>
      <c r="F630" s="22">
        <v>33.298517868700003</v>
      </c>
      <c r="G630" s="22">
        <v>44.1036375025</v>
      </c>
      <c r="H630" s="21" t="s">
        <v>1449</v>
      </c>
      <c r="I630" s="21" t="s">
        <v>1450</v>
      </c>
      <c r="J630" s="21" t="s">
        <v>1459</v>
      </c>
      <c r="K630" s="24">
        <v>1100</v>
      </c>
      <c r="L630" s="24">
        <v>6600</v>
      </c>
      <c r="M630" s="23">
        <v>657</v>
      </c>
      <c r="N630" s="23"/>
      <c r="O630" s="23">
        <v>443</v>
      </c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>
        <v>377</v>
      </c>
      <c r="AG630" s="23"/>
      <c r="AH630" s="23"/>
      <c r="AI630" s="23"/>
      <c r="AJ630" s="23"/>
      <c r="AK630" s="23">
        <v>489</v>
      </c>
      <c r="AL630" s="23"/>
      <c r="AM630" s="23">
        <v>234</v>
      </c>
      <c r="AN630" s="23"/>
      <c r="AO630" s="23">
        <v>200</v>
      </c>
      <c r="AP630" s="23"/>
      <c r="AQ630" s="23">
        <v>570</v>
      </c>
      <c r="AR630" s="23">
        <v>172</v>
      </c>
      <c r="AS630" s="23">
        <v>158</v>
      </c>
      <c r="AT630" s="23"/>
      <c r="AU630" s="14" t="str">
        <f>HYPERLINK("http://www.openstreetmap.org/?mlat=33.299&amp;mlon=44.1066&amp;zoom=12#map=12/33.299/44.1066","Maplink1")</f>
        <v>Maplink1</v>
      </c>
      <c r="AV630" s="14" t="str">
        <f>HYPERLINK("https://www.google.iq/maps/search/+33.299,44.1066/@33.299,44.1066,14z?hl=en","Maplink2")</f>
        <v>Maplink2</v>
      </c>
      <c r="AW630" s="14" t="str">
        <f>HYPERLINK("http://www.bing.com/maps/?lvl=14&amp;sty=h&amp;cp=33.299~44.1066&amp;sp=point.33.299_44.1066_Abo Moniaser","Maplink3")</f>
        <v>Maplink3</v>
      </c>
    </row>
    <row r="631" spans="1:49" ht="15" customHeight="1" x14ac:dyDescent="0.25">
      <c r="A631" s="21">
        <v>24041</v>
      </c>
      <c r="B631" s="22" t="s">
        <v>11</v>
      </c>
      <c r="C631" s="22" t="s">
        <v>1447</v>
      </c>
      <c r="D631" s="22" t="s">
        <v>1460</v>
      </c>
      <c r="E631" s="22" t="s">
        <v>7652</v>
      </c>
      <c r="F631" s="22">
        <v>33.368260060899999</v>
      </c>
      <c r="G631" s="22">
        <v>44.1673912738</v>
      </c>
      <c r="H631" s="21" t="s">
        <v>1449</v>
      </c>
      <c r="I631" s="21" t="s">
        <v>1450</v>
      </c>
      <c r="J631" s="21" t="s">
        <v>1461</v>
      </c>
      <c r="K631" s="24">
        <v>500</v>
      </c>
      <c r="L631" s="24">
        <v>3000</v>
      </c>
      <c r="M631" s="23">
        <v>390</v>
      </c>
      <c r="N631" s="23"/>
      <c r="O631" s="23">
        <v>110</v>
      </c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>
        <v>151</v>
      </c>
      <c r="AG631" s="23"/>
      <c r="AH631" s="23"/>
      <c r="AI631" s="23"/>
      <c r="AJ631" s="23"/>
      <c r="AK631" s="23">
        <v>349</v>
      </c>
      <c r="AL631" s="23"/>
      <c r="AM631" s="23"/>
      <c r="AN631" s="23"/>
      <c r="AO631" s="23">
        <v>100</v>
      </c>
      <c r="AP631" s="23"/>
      <c r="AQ631" s="23"/>
      <c r="AR631" s="23">
        <v>364</v>
      </c>
      <c r="AS631" s="23">
        <v>36</v>
      </c>
      <c r="AT631" s="23"/>
      <c r="AU631" s="14" t="str">
        <f>HYPERLINK("http://www.openstreetmap.org/?mlat=33.3547&amp;mlon=44.1389&amp;zoom=12#map=12/33.3547/44.1389","Maplink1")</f>
        <v>Maplink1</v>
      </c>
      <c r="AV631" s="14" t="str">
        <f>HYPERLINK("https://www.google.iq/maps/search/+33.3547,44.1389/@33.3547,44.1389,14z?hl=en","Maplink2")</f>
        <v>Maplink2</v>
      </c>
      <c r="AW631" s="14" t="str">
        <f>HYPERLINK("http://www.bing.com/maps/?lvl=14&amp;sty=h&amp;cp=33.3547~44.1389&amp;sp=point.33.3547_44.1389_Akr koof-14","Maplink3")</f>
        <v>Maplink3</v>
      </c>
    </row>
    <row r="632" spans="1:49" ht="15" customHeight="1" x14ac:dyDescent="0.25">
      <c r="A632" s="21">
        <v>24051</v>
      </c>
      <c r="B632" s="22" t="s">
        <v>11</v>
      </c>
      <c r="C632" s="22" t="s">
        <v>1447</v>
      </c>
      <c r="D632" s="22" t="s">
        <v>1462</v>
      </c>
      <c r="E632" s="22" t="s">
        <v>1463</v>
      </c>
      <c r="F632" s="22">
        <v>33.270899999999997</v>
      </c>
      <c r="G632" s="22">
        <v>44.1126</v>
      </c>
      <c r="H632" s="21" t="s">
        <v>1449</v>
      </c>
      <c r="I632" s="21" t="s">
        <v>1450</v>
      </c>
      <c r="J632" s="21" t="s">
        <v>1464</v>
      </c>
      <c r="K632" s="24">
        <v>96</v>
      </c>
      <c r="L632" s="24">
        <v>576</v>
      </c>
      <c r="M632" s="23">
        <v>89</v>
      </c>
      <c r="N632" s="23"/>
      <c r="O632" s="23">
        <v>7</v>
      </c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>
        <v>80</v>
      </c>
      <c r="AG632" s="23"/>
      <c r="AH632" s="23"/>
      <c r="AI632" s="23"/>
      <c r="AJ632" s="23"/>
      <c r="AK632" s="23">
        <v>16</v>
      </c>
      <c r="AL632" s="23"/>
      <c r="AM632" s="23"/>
      <c r="AN632" s="23"/>
      <c r="AO632" s="23">
        <v>13</v>
      </c>
      <c r="AP632" s="23"/>
      <c r="AQ632" s="23"/>
      <c r="AR632" s="23">
        <v>6</v>
      </c>
      <c r="AS632" s="23">
        <v>77</v>
      </c>
      <c r="AT632" s="23"/>
      <c r="AU632" s="14" t="str">
        <f>HYPERLINK("http://www.openstreetmap.org/?mlat=33.2991&amp;mlon=44.063&amp;zoom=12#map=12/33.2991/44.063","Maplink1")</f>
        <v>Maplink1</v>
      </c>
      <c r="AV632" s="14" t="str">
        <f>HYPERLINK("https://www.google.iq/maps/search/+33.2991,44.063/@33.2991,44.063,14z?hl=en","Maplink2")</f>
        <v>Maplink2</v>
      </c>
      <c r="AW632" s="14" t="str">
        <f>HYPERLINK("http://www.bing.com/maps/?lvl=14&amp;sty=h&amp;cp=33.2991~44.063&amp;sp=point.33.2991_44.063_Al Abady","Maplink3")</f>
        <v>Maplink3</v>
      </c>
    </row>
    <row r="633" spans="1:49" ht="15" customHeight="1" x14ac:dyDescent="0.25">
      <c r="A633" s="21">
        <v>24058</v>
      </c>
      <c r="B633" s="22" t="s">
        <v>11</v>
      </c>
      <c r="C633" s="22" t="s">
        <v>1447</v>
      </c>
      <c r="D633" s="22" t="s">
        <v>1465</v>
      </c>
      <c r="E633" s="22" t="s">
        <v>7653</v>
      </c>
      <c r="F633" s="22">
        <v>33.367434084300001</v>
      </c>
      <c r="G633" s="22">
        <v>44.163662429200002</v>
      </c>
      <c r="H633" s="21" t="s">
        <v>1449</v>
      </c>
      <c r="I633" s="21" t="s">
        <v>1450</v>
      </c>
      <c r="J633" s="21" t="s">
        <v>1466</v>
      </c>
      <c r="K633" s="24">
        <v>105</v>
      </c>
      <c r="L633" s="24">
        <v>630</v>
      </c>
      <c r="M633" s="23">
        <v>85</v>
      </c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>
        <v>20</v>
      </c>
      <c r="AB633" s="23"/>
      <c r="AC633" s="23"/>
      <c r="AD633" s="23"/>
      <c r="AE633" s="23"/>
      <c r="AF633" s="23"/>
      <c r="AG633" s="23"/>
      <c r="AH633" s="23">
        <v>42</v>
      </c>
      <c r="AI633" s="23"/>
      <c r="AJ633" s="23"/>
      <c r="AK633" s="23"/>
      <c r="AL633" s="23"/>
      <c r="AM633" s="23">
        <v>63</v>
      </c>
      <c r="AN633" s="23"/>
      <c r="AO633" s="23">
        <v>9</v>
      </c>
      <c r="AP633" s="23"/>
      <c r="AQ633" s="23"/>
      <c r="AR633" s="23">
        <v>11</v>
      </c>
      <c r="AS633" s="23">
        <v>85</v>
      </c>
      <c r="AT633" s="23"/>
      <c r="AU633" s="14" t="str">
        <f>HYPERLINK("http://www.openstreetmap.org/?mlat=33.3051&amp;mlon=44.0685&amp;zoom=12#map=12/33.3051/44.0685","Maplink1")</f>
        <v>Maplink1</v>
      </c>
      <c r="AV633" s="14" t="str">
        <f>HYPERLINK("https://www.google.iq/maps/search/+33.3051,44.0685/@33.3051,44.0685,14z?hl=en","Maplink2")</f>
        <v>Maplink2</v>
      </c>
      <c r="AW633" s="14" t="str">
        <f>HYPERLINK("http://www.bing.com/maps/?lvl=14&amp;sty=h&amp;cp=33.3051~44.0685&amp;sp=point.33.3051_44.0685_Al Ayashiyah 9","Maplink3")</f>
        <v>Maplink3</v>
      </c>
    </row>
    <row r="634" spans="1:49" ht="15" customHeight="1" x14ac:dyDescent="0.25">
      <c r="A634" s="21">
        <v>24038</v>
      </c>
      <c r="B634" s="22" t="s">
        <v>11</v>
      </c>
      <c r="C634" s="22" t="s">
        <v>1447</v>
      </c>
      <c r="D634" s="22" t="s">
        <v>1467</v>
      </c>
      <c r="E634" s="22" t="s">
        <v>1468</v>
      </c>
      <c r="F634" s="22">
        <v>33.312989361600003</v>
      </c>
      <c r="G634" s="22">
        <v>44.174080789100003</v>
      </c>
      <c r="H634" s="21" t="s">
        <v>1449</v>
      </c>
      <c r="I634" s="21" t="s">
        <v>1450</v>
      </c>
      <c r="J634" s="21" t="s">
        <v>1469</v>
      </c>
      <c r="K634" s="24">
        <v>402</v>
      </c>
      <c r="L634" s="24">
        <v>2412</v>
      </c>
      <c r="M634" s="23">
        <v>402</v>
      </c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>
        <v>50</v>
      </c>
      <c r="AG634" s="23"/>
      <c r="AH634" s="23"/>
      <c r="AI634" s="23"/>
      <c r="AJ634" s="23"/>
      <c r="AK634" s="23">
        <v>341</v>
      </c>
      <c r="AL634" s="23"/>
      <c r="AM634" s="23">
        <v>11</v>
      </c>
      <c r="AN634" s="23"/>
      <c r="AO634" s="23">
        <v>31</v>
      </c>
      <c r="AP634" s="23"/>
      <c r="AQ634" s="23"/>
      <c r="AR634" s="23">
        <v>278</v>
      </c>
      <c r="AS634" s="23">
        <v>93</v>
      </c>
      <c r="AT634" s="23"/>
      <c r="AU634" s="14" t="str">
        <f>HYPERLINK("http://www.openstreetmap.org/?mlat=33.3149&amp;mlon=44.1764&amp;zoom=12#map=12/33.3149/44.1764","Maplink1")</f>
        <v>Maplink1</v>
      </c>
      <c r="AV634" s="14" t="str">
        <f>HYPERLINK("https://www.google.iq/maps/search/+33.3149,44.1764/@33.3149,44.1764,14z?hl=en","Maplink2")</f>
        <v>Maplink2</v>
      </c>
      <c r="AW634" s="14" t="str">
        <f>HYPERLINK("http://www.bing.com/maps/?lvl=14&amp;sty=h&amp;cp=33.3149~44.1764&amp;sp=point.33.3149_44.1764_Al Emarat Al Sakaniyah","Maplink3")</f>
        <v>Maplink3</v>
      </c>
    </row>
    <row r="635" spans="1:49" ht="15" customHeight="1" x14ac:dyDescent="0.25">
      <c r="A635" s="21">
        <v>24048</v>
      </c>
      <c r="B635" s="22" t="s">
        <v>11</v>
      </c>
      <c r="C635" s="22" t="s">
        <v>1447</v>
      </c>
      <c r="D635" s="22" t="s">
        <v>1470</v>
      </c>
      <c r="E635" s="22" t="s">
        <v>1471</v>
      </c>
      <c r="F635" s="22">
        <v>33.35866</v>
      </c>
      <c r="G635" s="22">
        <v>44.091540000000002</v>
      </c>
      <c r="H635" s="21" t="s">
        <v>1449</v>
      </c>
      <c r="I635" s="21" t="s">
        <v>1450</v>
      </c>
      <c r="J635" s="21" t="s">
        <v>1472</v>
      </c>
      <c r="K635" s="24">
        <v>508</v>
      </c>
      <c r="L635" s="24">
        <v>3048</v>
      </c>
      <c r="M635" s="23">
        <v>186</v>
      </c>
      <c r="N635" s="23"/>
      <c r="O635" s="23">
        <v>253</v>
      </c>
      <c r="P635" s="23"/>
      <c r="Q635" s="23"/>
      <c r="R635" s="23">
        <v>15</v>
      </c>
      <c r="S635" s="23"/>
      <c r="T635" s="23"/>
      <c r="U635" s="23"/>
      <c r="V635" s="23"/>
      <c r="W635" s="23"/>
      <c r="X635" s="23"/>
      <c r="Y635" s="23"/>
      <c r="Z635" s="23"/>
      <c r="AA635" s="23">
        <v>54</v>
      </c>
      <c r="AB635" s="23"/>
      <c r="AC635" s="23"/>
      <c r="AD635" s="23"/>
      <c r="AE635" s="23"/>
      <c r="AF635" s="23">
        <v>340</v>
      </c>
      <c r="AG635" s="23"/>
      <c r="AH635" s="23"/>
      <c r="AI635" s="23"/>
      <c r="AJ635" s="23"/>
      <c r="AK635" s="23">
        <v>95</v>
      </c>
      <c r="AL635" s="23"/>
      <c r="AM635" s="23">
        <v>73</v>
      </c>
      <c r="AN635" s="23"/>
      <c r="AO635" s="23">
        <v>52</v>
      </c>
      <c r="AP635" s="23"/>
      <c r="AQ635" s="23"/>
      <c r="AR635" s="23">
        <v>337</v>
      </c>
      <c r="AS635" s="23">
        <v>119</v>
      </c>
      <c r="AT635" s="23"/>
      <c r="AU635" s="14" t="str">
        <f>HYPERLINK("http://www.openstreetmap.org/?mlat=33.2991&amp;mlon=44.063&amp;zoom=12#map=12/33.2991/44.063","Maplink1")</f>
        <v>Maplink1</v>
      </c>
      <c r="AV635" s="14" t="str">
        <f>HYPERLINK("https://www.google.iq/maps/search/+33.2991,44.063/@33.2991,44.063,14z?hl=en","Maplink2")</f>
        <v>Maplink2</v>
      </c>
      <c r="AW635" s="14" t="str">
        <f>HYPERLINK("http://www.bing.com/maps/?lvl=14&amp;sty=h&amp;cp=33.2991~44.063&amp;sp=point.33.2991_44.063_Al Hamdaniyah","Maplink3")</f>
        <v>Maplink3</v>
      </c>
    </row>
    <row r="636" spans="1:49" ht="15" customHeight="1" x14ac:dyDescent="0.25">
      <c r="A636" s="21">
        <v>27247</v>
      </c>
      <c r="B636" s="22" t="s">
        <v>11</v>
      </c>
      <c r="C636" s="22" t="s">
        <v>1447</v>
      </c>
      <c r="D636" s="22" t="s">
        <v>8329</v>
      </c>
      <c r="E636" s="22" t="s">
        <v>1448</v>
      </c>
      <c r="F636" s="22">
        <v>33.314583349599999</v>
      </c>
      <c r="G636" s="22">
        <v>44.021264133700001</v>
      </c>
      <c r="H636" s="21" t="s">
        <v>1449</v>
      </c>
      <c r="I636" s="21" t="s">
        <v>1450</v>
      </c>
      <c r="J636" s="21"/>
      <c r="K636" s="24">
        <v>390</v>
      </c>
      <c r="L636" s="24">
        <v>2340</v>
      </c>
      <c r="M636" s="23">
        <v>390</v>
      </c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>
        <v>390</v>
      </c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>
        <v>390</v>
      </c>
      <c r="AT636" s="23"/>
      <c r="AU636" s="14" t="str">
        <f>HYPERLINK("http://www.openstreetmap.org/?mlat=33.3224&amp;mlon=44.0044&amp;zoom=12#map=12/33.3224/44.0044","Maplink1")</f>
        <v>Maplink1</v>
      </c>
      <c r="AV636" s="14" t="str">
        <f>HYPERLINK("https://www.google.iq/maps/search/+33.3224,44.0044/@33.3224,44.0044,14z?hl=en","Maplink2")</f>
        <v>Maplink2</v>
      </c>
      <c r="AW636" s="14" t="str">
        <f>HYPERLINK("http://www.bing.com/maps/?lvl=14&amp;sty=h&amp;cp=33.3224~44.0044&amp;sp=point.33.3224_44.0044_ Sun Complex ","Maplink3")</f>
        <v>Maplink3</v>
      </c>
    </row>
    <row r="637" spans="1:49" ht="15" customHeight="1" x14ac:dyDescent="0.25">
      <c r="A637" s="21">
        <v>27291</v>
      </c>
      <c r="B637" s="22" t="s">
        <v>11</v>
      </c>
      <c r="C637" s="22" t="s">
        <v>1447</v>
      </c>
      <c r="D637" s="22" t="s">
        <v>1473</v>
      </c>
      <c r="E637" s="22" t="s">
        <v>1474</v>
      </c>
      <c r="F637" s="22">
        <v>33.410400000000003</v>
      </c>
      <c r="G637" s="22">
        <v>44.048099999999998</v>
      </c>
      <c r="H637" s="21"/>
      <c r="I637" s="21"/>
      <c r="J637" s="21"/>
      <c r="K637" s="24">
        <v>120</v>
      </c>
      <c r="L637" s="24">
        <v>720</v>
      </c>
      <c r="M637" s="23">
        <v>100</v>
      </c>
      <c r="N637" s="23"/>
      <c r="O637" s="23">
        <v>9</v>
      </c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>
        <v>11</v>
      </c>
      <c r="AB637" s="23"/>
      <c r="AC637" s="23"/>
      <c r="AD637" s="23"/>
      <c r="AE637" s="23"/>
      <c r="AF637" s="23">
        <v>3</v>
      </c>
      <c r="AG637" s="23"/>
      <c r="AH637" s="23">
        <v>15</v>
      </c>
      <c r="AI637" s="23"/>
      <c r="AJ637" s="23"/>
      <c r="AK637" s="23">
        <v>41</v>
      </c>
      <c r="AL637" s="23"/>
      <c r="AM637" s="23">
        <v>61</v>
      </c>
      <c r="AN637" s="23"/>
      <c r="AO637" s="23"/>
      <c r="AP637" s="23"/>
      <c r="AQ637" s="23"/>
      <c r="AR637" s="23">
        <v>20</v>
      </c>
      <c r="AS637" s="23">
        <v>97</v>
      </c>
      <c r="AT637" s="23">
        <v>3</v>
      </c>
      <c r="AU637" s="14" t="str">
        <f>HYPERLINK("http://www.openstreetmap.org/?mlat=33.3546&amp;mlon=44.2024&amp;zoom=12#map=12/33.3546/44.2024","Maplink1")</f>
        <v>Maplink1</v>
      </c>
      <c r="AV637" s="14" t="str">
        <f>HYPERLINK("https://www.google.iq/maps/search/+33.3546,44.2024/@33.3546,44.2024,14z?hl=en","Maplink2")</f>
        <v>Maplink2</v>
      </c>
      <c r="AW637" s="14" t="str">
        <f>HYPERLINK("http://www.bing.com/maps/?lvl=14&amp;sty=h&amp;cp=33.3546~44.2024&amp;sp=point.33.3546_44.2024_Al Thaniya","Maplink3")</f>
        <v>Maplink3</v>
      </c>
    </row>
    <row r="638" spans="1:49" ht="15" customHeight="1" x14ac:dyDescent="0.25">
      <c r="A638" s="21">
        <v>7623</v>
      </c>
      <c r="B638" s="22" t="s">
        <v>11</v>
      </c>
      <c r="C638" s="22" t="s">
        <v>1447</v>
      </c>
      <c r="D638" s="22" t="s">
        <v>8330</v>
      </c>
      <c r="E638" s="22" t="s">
        <v>1526</v>
      </c>
      <c r="F638" s="22">
        <v>33.3106046929</v>
      </c>
      <c r="G638" s="22">
        <v>44.200173108000001</v>
      </c>
      <c r="H638" s="21" t="s">
        <v>1449</v>
      </c>
      <c r="I638" s="21" t="s">
        <v>1450</v>
      </c>
      <c r="J638" s="21" t="s">
        <v>1527</v>
      </c>
      <c r="K638" s="24">
        <v>495</v>
      </c>
      <c r="L638" s="24">
        <v>2970</v>
      </c>
      <c r="M638" s="23">
        <v>466</v>
      </c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>
        <v>29</v>
      </c>
      <c r="AB638" s="23"/>
      <c r="AC638" s="23"/>
      <c r="AD638" s="23"/>
      <c r="AE638" s="23"/>
      <c r="AF638" s="23">
        <v>266</v>
      </c>
      <c r="AG638" s="23"/>
      <c r="AH638" s="23"/>
      <c r="AI638" s="23"/>
      <c r="AJ638" s="23"/>
      <c r="AK638" s="23">
        <v>204</v>
      </c>
      <c r="AL638" s="23"/>
      <c r="AM638" s="23">
        <v>25</v>
      </c>
      <c r="AN638" s="23"/>
      <c r="AO638" s="23">
        <v>70</v>
      </c>
      <c r="AP638" s="23"/>
      <c r="AQ638" s="23"/>
      <c r="AR638" s="23">
        <v>162</v>
      </c>
      <c r="AS638" s="23">
        <v>263</v>
      </c>
      <c r="AT638" s="23"/>
      <c r="AU638" s="14" t="str">
        <f>HYPERLINK("http://www.openstreetmap.org/?mlat=33.3125&amp;mlon=44.1983&amp;zoom=12#map=12/33.3125/44.1983","Maplink1")</f>
        <v>Maplink1</v>
      </c>
      <c r="AV638" s="14" t="str">
        <f>HYPERLINK("https://www.google.iq/maps/search/+33.3125,44.1983/@33.3125,44.1983,14z?hl=en","Maplink2")</f>
        <v>Maplink2</v>
      </c>
      <c r="AW638" s="14" t="str">
        <f>HYPERLINK("http://www.bing.com/maps/?lvl=14&amp;sty=h&amp;cp=33.3125~44.1983&amp;sp=point.33.3125_44.1983_Hay Al Zaitoon","Maplink3")</f>
        <v>Maplink3</v>
      </c>
    </row>
    <row r="639" spans="1:49" ht="15" customHeight="1" x14ac:dyDescent="0.25">
      <c r="A639" s="21">
        <v>24049</v>
      </c>
      <c r="B639" s="22" t="s">
        <v>11</v>
      </c>
      <c r="C639" s="22" t="s">
        <v>1447</v>
      </c>
      <c r="D639" s="22" t="s">
        <v>8331</v>
      </c>
      <c r="E639" s="22" t="s">
        <v>1475</v>
      </c>
      <c r="F639" s="22">
        <v>33.248654000000002</v>
      </c>
      <c r="G639" s="22">
        <v>44.026080999999998</v>
      </c>
      <c r="H639" s="21" t="s">
        <v>1449</v>
      </c>
      <c r="I639" s="21" t="s">
        <v>1450</v>
      </c>
      <c r="J639" s="21" t="s">
        <v>1476</v>
      </c>
      <c r="K639" s="24">
        <v>273</v>
      </c>
      <c r="L639" s="24">
        <v>1638</v>
      </c>
      <c r="M639" s="23">
        <v>150</v>
      </c>
      <c r="N639" s="23"/>
      <c r="O639" s="23">
        <v>123</v>
      </c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>
        <v>268</v>
      </c>
      <c r="AG639" s="23"/>
      <c r="AH639" s="23"/>
      <c r="AI639" s="23"/>
      <c r="AJ639" s="23"/>
      <c r="AK639" s="23">
        <v>5</v>
      </c>
      <c r="AL639" s="23"/>
      <c r="AM639" s="23"/>
      <c r="AN639" s="23"/>
      <c r="AO639" s="23">
        <v>71</v>
      </c>
      <c r="AP639" s="23"/>
      <c r="AQ639" s="23"/>
      <c r="AR639" s="23"/>
      <c r="AS639" s="23">
        <v>185</v>
      </c>
      <c r="AT639" s="23">
        <v>17</v>
      </c>
      <c r="AU639" s="14" t="str">
        <f>HYPERLINK("http://www.openstreetmap.org/?mlat=33.2844&amp;mlon=44.0553&amp;zoom=12#map=12/33.2844/44.0553","Maplink1")</f>
        <v>Maplink1</v>
      </c>
      <c r="AV639" s="14" t="str">
        <f>HYPERLINK("https://www.google.iq/maps/search/+33.2844,44.0553/@33.2844,44.0553,14z?hl=en","Maplink2")</f>
        <v>Maplink2</v>
      </c>
      <c r="AW639" s="14" t="str">
        <f>HYPERLINK("http://www.bing.com/maps/?lvl=14&amp;sty=h&amp;cp=33.2844~44.0553&amp;sp=point.33.2844_44.0553_Al Zaidan","Maplink3")</f>
        <v>Maplink3</v>
      </c>
    </row>
    <row r="640" spans="1:49" ht="15" customHeight="1" x14ac:dyDescent="0.25">
      <c r="A640" s="21">
        <v>29583</v>
      </c>
      <c r="B640" s="22" t="s">
        <v>11</v>
      </c>
      <c r="C640" s="22" t="s">
        <v>1447</v>
      </c>
      <c r="D640" s="22" t="s">
        <v>7654</v>
      </c>
      <c r="E640" s="22" t="s">
        <v>8332</v>
      </c>
      <c r="F640" s="22">
        <v>33.506266670000002</v>
      </c>
      <c r="G640" s="22">
        <v>44.041080000000001</v>
      </c>
      <c r="H640" s="21" t="s">
        <v>1449</v>
      </c>
      <c r="I640" s="21" t="s">
        <v>1450</v>
      </c>
      <c r="J640" s="21"/>
      <c r="K640" s="24">
        <v>196</v>
      </c>
      <c r="L640" s="24">
        <v>1176</v>
      </c>
      <c r="M640" s="23">
        <v>196</v>
      </c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>
        <v>196</v>
      </c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>
        <v>196</v>
      </c>
      <c r="AT640" s="23"/>
      <c r="AU640" s="14" t="str">
        <f>HYPERLINK("http://www.openstreetmap.org/?mlat=33.5063&amp;mlon=44.0411&amp;zoom=12#map=12/33.5063/44.0411","Maplink1")</f>
        <v>Maplink1</v>
      </c>
      <c r="AV640" s="14" t="str">
        <f>HYPERLINK("https://www.google.iq/maps/search/+33.5063,44.0411/@33.5063,44.0411,14z?hl=en","Maplink2")</f>
        <v>Maplink2</v>
      </c>
      <c r="AW640" s="14" t="str">
        <f>HYPERLINK("http://www.bing.com/maps/?lvl=14&amp;sty=h&amp;cp=33.5063~44.0411&amp;sp=point.33.5063_44.0411","Maplink3")</f>
        <v>Maplink3</v>
      </c>
    </row>
    <row r="641" spans="1:49" ht="15" customHeight="1" x14ac:dyDescent="0.25">
      <c r="A641" s="21">
        <v>7662</v>
      </c>
      <c r="B641" s="22" t="s">
        <v>11</v>
      </c>
      <c r="C641" s="22" t="s">
        <v>1447</v>
      </c>
      <c r="D641" s="22" t="s">
        <v>1477</v>
      </c>
      <c r="E641" s="22" t="s">
        <v>1478</v>
      </c>
      <c r="F641" s="22">
        <v>33.3092000965</v>
      </c>
      <c r="G641" s="22">
        <v>44.170314919299997</v>
      </c>
      <c r="H641" s="21" t="s">
        <v>1449</v>
      </c>
      <c r="I641" s="21" t="s">
        <v>1450</v>
      </c>
      <c r="J641" s="21" t="s">
        <v>1479</v>
      </c>
      <c r="K641" s="24">
        <v>748</v>
      </c>
      <c r="L641" s="24">
        <v>4488</v>
      </c>
      <c r="M641" s="23">
        <v>748</v>
      </c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>
        <v>164</v>
      </c>
      <c r="AG641" s="23"/>
      <c r="AH641" s="23"/>
      <c r="AI641" s="23"/>
      <c r="AJ641" s="23"/>
      <c r="AK641" s="23">
        <v>584</v>
      </c>
      <c r="AL641" s="23"/>
      <c r="AM641" s="23"/>
      <c r="AN641" s="23"/>
      <c r="AO641" s="23">
        <v>53</v>
      </c>
      <c r="AP641" s="23"/>
      <c r="AQ641" s="23"/>
      <c r="AR641" s="23">
        <v>143</v>
      </c>
      <c r="AS641" s="23">
        <v>552</v>
      </c>
      <c r="AT641" s="23"/>
      <c r="AU641" s="14" t="str">
        <f>HYPERLINK("http://www.openstreetmap.org/?mlat=33.2534&amp;mlon=44.1371&amp;zoom=12#map=12/33.2534/44.1371","Maplink1")</f>
        <v>Maplink1</v>
      </c>
      <c r="AV641" s="14" t="str">
        <f>HYPERLINK("https://www.google.iq/maps/search/+33.2534,44.1371/@33.2534,44.1371,14z?hl=en","Maplink2")</f>
        <v>Maplink2</v>
      </c>
      <c r="AW641" s="14" t="str">
        <f>HYPERLINK("http://www.bing.com/maps/?lvl=14&amp;sty=h&amp;cp=33.2534~44.1371&amp;sp=point.33.2534_44.1371_Al-Dhahab Al-Abyadh","Maplink3")</f>
        <v>Maplink3</v>
      </c>
    </row>
    <row r="642" spans="1:49" ht="15" customHeight="1" x14ac:dyDescent="0.25">
      <c r="A642" s="21">
        <v>23867</v>
      </c>
      <c r="B642" s="22" t="s">
        <v>11</v>
      </c>
      <c r="C642" s="22" t="s">
        <v>1447</v>
      </c>
      <c r="D642" s="22" t="s">
        <v>1488</v>
      </c>
      <c r="E642" s="22" t="s">
        <v>1489</v>
      </c>
      <c r="F642" s="22">
        <v>33.300429533699997</v>
      </c>
      <c r="G642" s="22">
        <v>44.041708848900001</v>
      </c>
      <c r="H642" s="21" t="s">
        <v>1449</v>
      </c>
      <c r="I642" s="21" t="s">
        <v>1450</v>
      </c>
      <c r="J642" s="21" t="s">
        <v>1490</v>
      </c>
      <c r="K642" s="24">
        <v>300</v>
      </c>
      <c r="L642" s="24">
        <v>1800</v>
      </c>
      <c r="M642" s="23">
        <v>200</v>
      </c>
      <c r="N642" s="23"/>
      <c r="O642" s="23">
        <v>100</v>
      </c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>
        <v>152</v>
      </c>
      <c r="AG642" s="23"/>
      <c r="AH642" s="23">
        <v>27</v>
      </c>
      <c r="AI642" s="23"/>
      <c r="AJ642" s="23"/>
      <c r="AK642" s="23">
        <v>121</v>
      </c>
      <c r="AL642" s="23"/>
      <c r="AM642" s="23"/>
      <c r="AN642" s="23"/>
      <c r="AO642" s="23">
        <v>100</v>
      </c>
      <c r="AP642" s="23"/>
      <c r="AQ642" s="23"/>
      <c r="AR642" s="23">
        <v>100</v>
      </c>
      <c r="AS642" s="23">
        <v>100</v>
      </c>
      <c r="AT642" s="23"/>
      <c r="AU642" s="14" t="str">
        <f>HYPERLINK("http://www.openstreetmap.org/?mlat=33.3092&amp;mlon=44.032&amp;zoom=12#map=12/33.3092/44.032","Maplink1")</f>
        <v>Maplink1</v>
      </c>
      <c r="AV642" s="14" t="str">
        <f>HYPERLINK("https://www.google.iq/maps/search/+33.3092,44.032/@33.3092,44.032,14z?hl=en","Maplink2")</f>
        <v>Maplink2</v>
      </c>
      <c r="AW642" s="14" t="str">
        <f>HYPERLINK("http://www.bing.com/maps/?lvl=14&amp;sty=h&amp;cp=33.3092~44.032&amp;sp=point.33.3092_44.032_Al-Nasir Walsalam- 1000","Maplink3")</f>
        <v>Maplink3</v>
      </c>
    </row>
    <row r="643" spans="1:49" ht="15" customHeight="1" x14ac:dyDescent="0.25">
      <c r="A643" s="21">
        <v>23864</v>
      </c>
      <c r="B643" s="22" t="s">
        <v>11</v>
      </c>
      <c r="C643" s="22" t="s">
        <v>1447</v>
      </c>
      <c r="D643" s="22" t="s">
        <v>1491</v>
      </c>
      <c r="E643" s="22" t="s">
        <v>1492</v>
      </c>
      <c r="F643" s="22">
        <v>33.306065071399999</v>
      </c>
      <c r="G643" s="22">
        <v>44.031835617500001</v>
      </c>
      <c r="H643" s="21" t="s">
        <v>1449</v>
      </c>
      <c r="I643" s="21" t="s">
        <v>1450</v>
      </c>
      <c r="J643" s="21" t="s">
        <v>1493</v>
      </c>
      <c r="K643" s="24">
        <v>159</v>
      </c>
      <c r="L643" s="24">
        <v>954</v>
      </c>
      <c r="M643" s="23">
        <v>74</v>
      </c>
      <c r="N643" s="23"/>
      <c r="O643" s="23">
        <v>85</v>
      </c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>
        <v>77</v>
      </c>
      <c r="AG643" s="23"/>
      <c r="AH643" s="23">
        <v>32</v>
      </c>
      <c r="AI643" s="23"/>
      <c r="AJ643" s="23"/>
      <c r="AK643" s="23">
        <v>50</v>
      </c>
      <c r="AL643" s="23"/>
      <c r="AM643" s="23"/>
      <c r="AN643" s="23"/>
      <c r="AO643" s="23"/>
      <c r="AP643" s="23"/>
      <c r="AQ643" s="23"/>
      <c r="AR643" s="23">
        <v>73</v>
      </c>
      <c r="AS643" s="23">
        <v>86</v>
      </c>
      <c r="AT643" s="23"/>
      <c r="AU643" s="14" t="str">
        <f>HYPERLINK("http://www.openstreetmap.org/?mlat=33.3102&amp;mlon=44.0285&amp;zoom=12#map=12/33.3102/44.0285","Maplink1")</f>
        <v>Maplink1</v>
      </c>
      <c r="AV643" s="14" t="str">
        <f>HYPERLINK("https://www.google.iq/maps/search/+33.3102,44.0285/@33.3102,44.0285,14z?hl=en","Maplink2")</f>
        <v>Maplink2</v>
      </c>
      <c r="AW643" s="14" t="str">
        <f>HYPERLINK("http://www.bing.com/maps/?lvl=14&amp;sty=h&amp;cp=33.3102~44.0285&amp;sp=point.33.3102_44.0285_Al-Nasir Walsalam- 2000","Maplink3")</f>
        <v>Maplink3</v>
      </c>
    </row>
    <row r="644" spans="1:49" ht="15" customHeight="1" x14ac:dyDescent="0.25">
      <c r="A644" s="21">
        <v>23866</v>
      </c>
      <c r="B644" s="22" t="s">
        <v>11</v>
      </c>
      <c r="C644" s="22" t="s">
        <v>1447</v>
      </c>
      <c r="D644" s="22" t="s">
        <v>1494</v>
      </c>
      <c r="E644" s="22" t="s">
        <v>1495</v>
      </c>
      <c r="F644" s="22">
        <v>33.305443469399997</v>
      </c>
      <c r="G644" s="22">
        <v>44.030535332900001</v>
      </c>
      <c r="H644" s="21" t="s">
        <v>1449</v>
      </c>
      <c r="I644" s="21" t="s">
        <v>1450</v>
      </c>
      <c r="J644" s="21" t="s">
        <v>1496</v>
      </c>
      <c r="K644" s="24">
        <v>325</v>
      </c>
      <c r="L644" s="24">
        <v>1950</v>
      </c>
      <c r="M644" s="23">
        <v>210</v>
      </c>
      <c r="N644" s="23"/>
      <c r="O644" s="23">
        <v>115</v>
      </c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>
        <v>145</v>
      </c>
      <c r="AG644" s="23"/>
      <c r="AH644" s="23"/>
      <c r="AI644" s="23"/>
      <c r="AJ644" s="23"/>
      <c r="AK644" s="23">
        <v>180</v>
      </c>
      <c r="AL644" s="23"/>
      <c r="AM644" s="23"/>
      <c r="AN644" s="23"/>
      <c r="AO644" s="23">
        <v>100</v>
      </c>
      <c r="AP644" s="23"/>
      <c r="AQ644" s="23"/>
      <c r="AR644" s="23">
        <v>165</v>
      </c>
      <c r="AS644" s="23">
        <v>60</v>
      </c>
      <c r="AT644" s="23"/>
      <c r="AU644" s="14" t="str">
        <f>HYPERLINK("http://www.openstreetmap.org/?mlat=33.3057&amp;mlon=44.0362&amp;zoom=12#map=12/33.3057/44.0362","Maplink1")</f>
        <v>Maplink1</v>
      </c>
      <c r="AV644" s="14" t="str">
        <f>HYPERLINK("https://www.google.iq/maps/search/+33.3057,44.0362/@33.3057,44.0362,14z?hl=en","Maplink2")</f>
        <v>Maplink2</v>
      </c>
      <c r="AW644" s="14" t="str">
        <f>HYPERLINK("http://www.bing.com/maps/?lvl=14&amp;sty=h&amp;cp=33.3057~44.0362&amp;sp=point.33.3057_44.0362_Al-Nasir Walsalam- 5000","Maplink3")</f>
        <v>Maplink3</v>
      </c>
    </row>
    <row r="645" spans="1:49" ht="15" customHeight="1" x14ac:dyDescent="0.25">
      <c r="A645" s="21">
        <v>23865</v>
      </c>
      <c r="B645" s="22" t="s">
        <v>11</v>
      </c>
      <c r="C645" s="22" t="s">
        <v>1447</v>
      </c>
      <c r="D645" s="22" t="s">
        <v>1497</v>
      </c>
      <c r="E645" s="22" t="s">
        <v>1498</v>
      </c>
      <c r="F645" s="22">
        <v>33.296599999999998</v>
      </c>
      <c r="G645" s="22">
        <v>44.029200000000003</v>
      </c>
      <c r="H645" s="21" t="s">
        <v>1449</v>
      </c>
      <c r="I645" s="21" t="s">
        <v>1450</v>
      </c>
      <c r="J645" s="21" t="s">
        <v>1499</v>
      </c>
      <c r="K645" s="24">
        <v>378</v>
      </c>
      <c r="L645" s="24">
        <v>2268</v>
      </c>
      <c r="M645" s="23">
        <v>214</v>
      </c>
      <c r="N645" s="23"/>
      <c r="O645" s="23">
        <v>164</v>
      </c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>
        <v>173</v>
      </c>
      <c r="AG645" s="23"/>
      <c r="AH645" s="23"/>
      <c r="AI645" s="23"/>
      <c r="AJ645" s="23"/>
      <c r="AK645" s="23">
        <v>205</v>
      </c>
      <c r="AL645" s="23"/>
      <c r="AM645" s="23"/>
      <c r="AN645" s="23"/>
      <c r="AO645" s="23">
        <v>60</v>
      </c>
      <c r="AP645" s="23"/>
      <c r="AQ645" s="23"/>
      <c r="AR645" s="23">
        <v>94</v>
      </c>
      <c r="AS645" s="23">
        <v>224</v>
      </c>
      <c r="AT645" s="23"/>
      <c r="AU645" s="14" t="str">
        <f>HYPERLINK("http://www.openstreetmap.org/?mlat=33.2982&amp;mlon=44.0269&amp;zoom=12#map=12/33.2982/44.0269","Maplink1")</f>
        <v>Maplink1</v>
      </c>
      <c r="AV645" s="14" t="str">
        <f>HYPERLINK("https://www.google.iq/maps/search/+33.2982,44.0269/@33.2982,44.0269,14z?hl=en","Maplink2")</f>
        <v>Maplink2</v>
      </c>
      <c r="AW645" s="14" t="str">
        <f>HYPERLINK("http://www.bing.com/maps/?lvl=14&amp;sty=h&amp;cp=33.2982~44.0269&amp;sp=point.33.2982_44.0269_Al-Nasir Walsalam- 6000","Maplink3")</f>
        <v>Maplink3</v>
      </c>
    </row>
    <row r="646" spans="1:49" ht="15" customHeight="1" x14ac:dyDescent="0.25">
      <c r="A646" s="21">
        <v>7626</v>
      </c>
      <c r="B646" s="22" t="s">
        <v>11</v>
      </c>
      <c r="C646" s="22" t="s">
        <v>1447</v>
      </c>
      <c r="D646" s="22" t="s">
        <v>7526</v>
      </c>
      <c r="E646" s="22" t="s">
        <v>1480</v>
      </c>
      <c r="F646" s="22">
        <v>33.306332288599997</v>
      </c>
      <c r="G646" s="22">
        <v>44.0319645756</v>
      </c>
      <c r="H646" s="21" t="s">
        <v>1449</v>
      </c>
      <c r="I646" s="21" t="s">
        <v>1450</v>
      </c>
      <c r="J646" s="21" t="s">
        <v>1481</v>
      </c>
      <c r="K646" s="24">
        <v>697</v>
      </c>
      <c r="L646" s="24">
        <v>4182</v>
      </c>
      <c r="M646" s="23">
        <v>635</v>
      </c>
      <c r="N646" s="23"/>
      <c r="O646" s="23">
        <v>62</v>
      </c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>
        <v>322</v>
      </c>
      <c r="AG646" s="23"/>
      <c r="AH646" s="23"/>
      <c r="AI646" s="23"/>
      <c r="AJ646" s="23"/>
      <c r="AK646" s="23">
        <v>375</v>
      </c>
      <c r="AL646" s="23"/>
      <c r="AM646" s="23"/>
      <c r="AN646" s="23"/>
      <c r="AO646" s="23">
        <v>90</v>
      </c>
      <c r="AP646" s="23"/>
      <c r="AQ646" s="23"/>
      <c r="AR646" s="23">
        <v>507</v>
      </c>
      <c r="AS646" s="23">
        <v>100</v>
      </c>
      <c r="AT646" s="23"/>
      <c r="AU646" s="14" t="str">
        <f>HYPERLINK("http://www.openstreetmap.org/?mlat=33.3093&amp;mlon=44.029&amp;zoom=12#map=12/33.3093/44.029","Maplink1")</f>
        <v>Maplink1</v>
      </c>
      <c r="AV646" s="14" t="str">
        <f>HYPERLINK("https://www.google.iq/maps/search/+33.3093,44.029/@33.3093,44.029,14z?hl=en","Maplink2")</f>
        <v>Maplink2</v>
      </c>
      <c r="AW646" s="14" t="str">
        <f>HYPERLINK("http://www.bing.com/maps/?lvl=14&amp;sty=h&amp;cp=33.3093~44.029&amp;sp=point.33.3093_44.029_Al-Nasir Walsalam -3000","Maplink3")</f>
        <v>Maplink3</v>
      </c>
    </row>
    <row r="647" spans="1:49" ht="15" customHeight="1" x14ac:dyDescent="0.25">
      <c r="A647" s="21">
        <v>24044</v>
      </c>
      <c r="B647" s="22" t="s">
        <v>11</v>
      </c>
      <c r="C647" s="22" t="s">
        <v>1447</v>
      </c>
      <c r="D647" s="22" t="s">
        <v>7527</v>
      </c>
      <c r="E647" s="22" t="s">
        <v>1482</v>
      </c>
      <c r="F647" s="22">
        <v>33.308349139999997</v>
      </c>
      <c r="G647" s="22">
        <v>44.0261210874</v>
      </c>
      <c r="H647" s="21" t="s">
        <v>1449</v>
      </c>
      <c r="I647" s="21" t="s">
        <v>1450</v>
      </c>
      <c r="J647" s="21" t="s">
        <v>1483</v>
      </c>
      <c r="K647" s="24">
        <v>622</v>
      </c>
      <c r="L647" s="24">
        <v>3732</v>
      </c>
      <c r="M647" s="23">
        <v>487</v>
      </c>
      <c r="N647" s="23"/>
      <c r="O647" s="23">
        <v>135</v>
      </c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>
        <v>232</v>
      </c>
      <c r="AG647" s="23"/>
      <c r="AH647" s="23"/>
      <c r="AI647" s="23"/>
      <c r="AJ647" s="23"/>
      <c r="AK647" s="23">
        <v>390</v>
      </c>
      <c r="AL647" s="23"/>
      <c r="AM647" s="23"/>
      <c r="AN647" s="23"/>
      <c r="AO647" s="23">
        <v>149</v>
      </c>
      <c r="AP647" s="23"/>
      <c r="AQ647" s="23"/>
      <c r="AR647" s="23">
        <v>311</v>
      </c>
      <c r="AS647" s="23">
        <v>162</v>
      </c>
      <c r="AT647" s="23"/>
      <c r="AU647" s="14" t="str">
        <f>HYPERLINK("http://www.openstreetmap.org/?mlat=33.3093&amp;mlon=44.029&amp;zoom=12#map=12/33.3093/44.029","Maplink1")</f>
        <v>Maplink1</v>
      </c>
      <c r="AV647" s="14" t="str">
        <f>HYPERLINK("https://www.google.iq/maps/search/+33.3093,44.029/@33.3093,44.029,14z?hl=en","Maplink2")</f>
        <v>Maplink2</v>
      </c>
      <c r="AW647" s="14" t="str">
        <f>HYPERLINK("http://www.bing.com/maps/?lvl=14&amp;sty=h&amp;cp=33.3093~44.029&amp;sp=point.33.3093_44.029_Al-Nasir Walsalam -4000","Maplink3")</f>
        <v>Maplink3</v>
      </c>
    </row>
    <row r="648" spans="1:49" ht="15" customHeight="1" x14ac:dyDescent="0.25">
      <c r="A648" s="21">
        <v>24045</v>
      </c>
      <c r="B648" s="22" t="s">
        <v>11</v>
      </c>
      <c r="C648" s="22" t="s">
        <v>1447</v>
      </c>
      <c r="D648" s="22" t="s">
        <v>7528</v>
      </c>
      <c r="E648" s="22" t="s">
        <v>1484</v>
      </c>
      <c r="F648" s="22">
        <v>33.302145861100001</v>
      </c>
      <c r="G648" s="22">
        <v>44.0291268378</v>
      </c>
      <c r="H648" s="21" t="s">
        <v>1449</v>
      </c>
      <c r="I648" s="21" t="s">
        <v>1450</v>
      </c>
      <c r="J648" s="21" t="s">
        <v>1485</v>
      </c>
      <c r="K648" s="24">
        <v>532</v>
      </c>
      <c r="L648" s="24">
        <v>3192</v>
      </c>
      <c r="M648" s="23">
        <v>500</v>
      </c>
      <c r="N648" s="23"/>
      <c r="O648" s="23">
        <v>32</v>
      </c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>
        <v>332</v>
      </c>
      <c r="AG648" s="23"/>
      <c r="AH648" s="23"/>
      <c r="AI648" s="23"/>
      <c r="AJ648" s="23"/>
      <c r="AK648" s="23">
        <v>200</v>
      </c>
      <c r="AL648" s="23"/>
      <c r="AM648" s="23"/>
      <c r="AN648" s="23"/>
      <c r="AO648" s="23">
        <v>98</v>
      </c>
      <c r="AP648" s="23"/>
      <c r="AQ648" s="23"/>
      <c r="AR648" s="23">
        <v>263</v>
      </c>
      <c r="AS648" s="23">
        <v>171</v>
      </c>
      <c r="AT648" s="23"/>
      <c r="AU648" s="14" t="str">
        <f>HYPERLINK("http://www.openstreetmap.org/?mlat=33.3093&amp;mlon=44.029&amp;zoom=12#map=12/33.3093/44.029","Maplink1")</f>
        <v>Maplink1</v>
      </c>
      <c r="AV648" s="14" t="str">
        <f>HYPERLINK("https://www.google.iq/maps/search/+33.3093,44.029/@33.3093,44.029,14z?hl=en","Maplink2")</f>
        <v>Maplink2</v>
      </c>
      <c r="AW648" s="14" t="str">
        <f>HYPERLINK("http://www.bing.com/maps/?lvl=14&amp;sty=h&amp;cp=33.3093~44.029&amp;sp=point.33.3093_44.029_Al-Nasir Walsalam -7000","Maplink3")</f>
        <v>Maplink3</v>
      </c>
    </row>
    <row r="649" spans="1:49" ht="15" customHeight="1" x14ac:dyDescent="0.25">
      <c r="A649" s="21">
        <v>24046</v>
      </c>
      <c r="B649" s="22" t="s">
        <v>11</v>
      </c>
      <c r="C649" s="22" t="s">
        <v>1447</v>
      </c>
      <c r="D649" s="22" t="s">
        <v>7529</v>
      </c>
      <c r="E649" s="22" t="s">
        <v>1486</v>
      </c>
      <c r="F649" s="22">
        <v>33.297537101099998</v>
      </c>
      <c r="G649" s="22">
        <v>44.023792957700003</v>
      </c>
      <c r="H649" s="21" t="s">
        <v>1449</v>
      </c>
      <c r="I649" s="21" t="s">
        <v>1450</v>
      </c>
      <c r="J649" s="21" t="s">
        <v>1487</v>
      </c>
      <c r="K649" s="24">
        <v>507</v>
      </c>
      <c r="L649" s="24">
        <v>3042</v>
      </c>
      <c r="M649" s="23">
        <v>367</v>
      </c>
      <c r="N649" s="23"/>
      <c r="O649" s="23">
        <v>140</v>
      </c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>
        <v>201</v>
      </c>
      <c r="AG649" s="23"/>
      <c r="AH649" s="23"/>
      <c r="AI649" s="23"/>
      <c r="AJ649" s="23"/>
      <c r="AK649" s="23">
        <v>306</v>
      </c>
      <c r="AL649" s="23"/>
      <c r="AM649" s="23"/>
      <c r="AN649" s="23"/>
      <c r="AO649" s="23">
        <v>102</v>
      </c>
      <c r="AP649" s="23"/>
      <c r="AQ649" s="23"/>
      <c r="AR649" s="23">
        <v>394</v>
      </c>
      <c r="AS649" s="23"/>
      <c r="AT649" s="23">
        <v>11</v>
      </c>
      <c r="AU649" s="14" t="str">
        <f>HYPERLINK("http://www.openstreetmap.org/?mlat=33.3093&amp;mlon=44.029&amp;zoom=12#map=12/33.3093/44.029","Maplink1")</f>
        <v>Maplink1</v>
      </c>
      <c r="AV649" s="14" t="str">
        <f>HYPERLINK("https://www.google.iq/maps/search/+33.3093,44.029/@33.3093,44.029,14z?hl=en","Maplink2")</f>
        <v>Maplink2</v>
      </c>
      <c r="AW649" s="14" t="str">
        <f>HYPERLINK("http://www.bing.com/maps/?lvl=14&amp;sty=h&amp;cp=33.3093~44.029&amp;sp=point.33.3093_44.029_Al-Nasir Walsalam -8000","Maplink3")</f>
        <v>Maplink3</v>
      </c>
    </row>
    <row r="650" spans="1:49" ht="15" customHeight="1" x14ac:dyDescent="0.25">
      <c r="A650" s="21">
        <v>7658</v>
      </c>
      <c r="B650" s="22" t="s">
        <v>11</v>
      </c>
      <c r="C650" s="22" t="s">
        <v>1447</v>
      </c>
      <c r="D650" s="22" t="s">
        <v>1500</v>
      </c>
      <c r="E650" s="22" t="s">
        <v>1501</v>
      </c>
      <c r="F650" s="22">
        <v>33.297561839700002</v>
      </c>
      <c r="G650" s="22">
        <v>44.1197613983</v>
      </c>
      <c r="H650" s="21" t="s">
        <v>1449</v>
      </c>
      <c r="I650" s="21" t="s">
        <v>1450</v>
      </c>
      <c r="J650" s="21" t="s">
        <v>1502</v>
      </c>
      <c r="K650" s="24">
        <v>932</v>
      </c>
      <c r="L650" s="24">
        <v>5592</v>
      </c>
      <c r="M650" s="23">
        <v>869</v>
      </c>
      <c r="N650" s="23"/>
      <c r="O650" s="23">
        <v>53</v>
      </c>
      <c r="P650" s="23"/>
      <c r="Q650" s="23"/>
      <c r="R650" s="23">
        <v>3</v>
      </c>
      <c r="S650" s="23"/>
      <c r="T650" s="23"/>
      <c r="U650" s="23"/>
      <c r="V650" s="23"/>
      <c r="W650" s="23"/>
      <c r="X650" s="23"/>
      <c r="Y650" s="23"/>
      <c r="Z650" s="23"/>
      <c r="AA650" s="23">
        <v>7</v>
      </c>
      <c r="AB650" s="23"/>
      <c r="AC650" s="23"/>
      <c r="AD650" s="23"/>
      <c r="AE650" s="23"/>
      <c r="AF650" s="23">
        <v>443</v>
      </c>
      <c r="AG650" s="23"/>
      <c r="AH650" s="23"/>
      <c r="AI650" s="23"/>
      <c r="AJ650" s="23">
        <v>9</v>
      </c>
      <c r="AK650" s="23">
        <v>480</v>
      </c>
      <c r="AL650" s="23"/>
      <c r="AM650" s="23"/>
      <c r="AN650" s="23"/>
      <c r="AO650" s="23">
        <v>54</v>
      </c>
      <c r="AP650" s="23">
        <v>66</v>
      </c>
      <c r="AQ650" s="23"/>
      <c r="AR650" s="23">
        <v>474</v>
      </c>
      <c r="AS650" s="23">
        <v>314</v>
      </c>
      <c r="AT650" s="23">
        <v>24</v>
      </c>
      <c r="AU650" s="14" t="str">
        <f>HYPERLINK("http://www.openstreetmap.org/?mlat=33.2989&amp;mlon=44.0464&amp;zoom=12#map=12/33.2989/44.0464","Maplink1")</f>
        <v>Maplink1</v>
      </c>
      <c r="AV650" s="14" t="str">
        <f>HYPERLINK("https://www.google.iq/maps/search/+33.2989,44.0464/@33.2989,44.0464,14z?hl=en","Maplink2")</f>
        <v>Maplink2</v>
      </c>
      <c r="AW650" s="14" t="str">
        <f>HYPERLINK("http://www.bing.com/maps/?lvl=14&amp;sty=h&amp;cp=33.2989~44.0464&amp;sp=point.33.2989_44.0464_Al-Resalah","Maplink3")</f>
        <v>Maplink3</v>
      </c>
    </row>
    <row r="651" spans="1:49" ht="15" customHeight="1" x14ac:dyDescent="0.25">
      <c r="A651" s="21">
        <v>25829</v>
      </c>
      <c r="B651" s="22" t="s">
        <v>11</v>
      </c>
      <c r="C651" s="22" t="s">
        <v>1447</v>
      </c>
      <c r="D651" s="22" t="s">
        <v>8333</v>
      </c>
      <c r="E651" s="22" t="s">
        <v>8334</v>
      </c>
      <c r="F651" s="22">
        <v>33.290997836499997</v>
      </c>
      <c r="G651" s="22">
        <v>44.110346611899999</v>
      </c>
      <c r="H651" s="21" t="s">
        <v>1449</v>
      </c>
      <c r="I651" s="21" t="s">
        <v>1450</v>
      </c>
      <c r="J651" s="21"/>
      <c r="K651" s="24">
        <v>338</v>
      </c>
      <c r="L651" s="24">
        <v>2028</v>
      </c>
      <c r="M651" s="23">
        <v>338</v>
      </c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>
        <v>338</v>
      </c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>
        <v>139</v>
      </c>
      <c r="AT651" s="23">
        <v>199</v>
      </c>
      <c r="AU651" s="14" t="str">
        <f>HYPERLINK("http://www.openstreetmap.org/?mlat=33.2961&amp;mlon=44.1163&amp;zoom=12#map=12/33.2961/44.1163","Maplink1")</f>
        <v>Maplink1</v>
      </c>
      <c r="AV651" s="14" t="str">
        <f>HYPERLINK("https://www.google.iq/maps/search/+33.2961,44.1163/@33.2961,44.1163,14z?hl=en","Maplink2")</f>
        <v>Maplink2</v>
      </c>
      <c r="AW651" s="14" t="str">
        <f>HYPERLINK("http://www.bing.com/maps/?lvl=14&amp;sty=h&amp;cp=33.2961~44.1163&amp;sp=point.33.2961_44.1163_Abu Ghraib-Al-Resalah Camp","Maplink3")</f>
        <v>Maplink3</v>
      </c>
    </row>
    <row r="652" spans="1:49" ht="15" customHeight="1" x14ac:dyDescent="0.25">
      <c r="A652" s="21">
        <v>24054</v>
      </c>
      <c r="B652" s="22" t="s">
        <v>11</v>
      </c>
      <c r="C652" s="22" t="s">
        <v>1447</v>
      </c>
      <c r="D652" s="22" t="s">
        <v>1503</v>
      </c>
      <c r="E652" s="22" t="s">
        <v>1504</v>
      </c>
      <c r="F652" s="22">
        <v>33.294379999999997</v>
      </c>
      <c r="G652" s="22">
        <v>43.975409999999997</v>
      </c>
      <c r="H652" s="21" t="s">
        <v>1449</v>
      </c>
      <c r="I652" s="21" t="s">
        <v>1450</v>
      </c>
      <c r="J652" s="21" t="s">
        <v>1505</v>
      </c>
      <c r="K652" s="24">
        <v>45</v>
      </c>
      <c r="L652" s="24">
        <v>270</v>
      </c>
      <c r="M652" s="23">
        <v>45</v>
      </c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>
        <v>45</v>
      </c>
      <c r="AG652" s="23"/>
      <c r="AH652" s="23"/>
      <c r="AI652" s="23"/>
      <c r="AJ652" s="23"/>
      <c r="AK652" s="23"/>
      <c r="AL652" s="23"/>
      <c r="AM652" s="23"/>
      <c r="AN652" s="23"/>
      <c r="AO652" s="23">
        <v>5</v>
      </c>
      <c r="AP652" s="23"/>
      <c r="AQ652" s="23"/>
      <c r="AR652" s="23"/>
      <c r="AS652" s="23">
        <v>34</v>
      </c>
      <c r="AT652" s="23">
        <v>6</v>
      </c>
      <c r="AU652" s="14" t="str">
        <f>HYPERLINK("http://www.openstreetmap.org/?mlat=33.2863&amp;mlon=44.0733&amp;zoom=12#map=12/33.2863/44.0733","Maplink1")</f>
        <v>Maplink1</v>
      </c>
      <c r="AV652" s="14" t="str">
        <f>HYPERLINK("https://www.google.iq/maps/search/+33.2863,44.0733/@33.2863,44.0733,14z?hl=en","Maplink2")</f>
        <v>Maplink2</v>
      </c>
      <c r="AW652" s="14" t="str">
        <f>HYPERLINK("http://www.bing.com/maps/?lvl=14&amp;sty=h&amp;cp=33.2863~44.0733&amp;sp=point.33.2863_44.0733_Arab Tahoos","Maplink3")</f>
        <v>Maplink3</v>
      </c>
    </row>
    <row r="653" spans="1:49" ht="15" customHeight="1" x14ac:dyDescent="0.25">
      <c r="A653" s="21">
        <v>24036</v>
      </c>
      <c r="B653" s="22" t="s">
        <v>11</v>
      </c>
      <c r="C653" s="22" t="s">
        <v>1447</v>
      </c>
      <c r="D653" s="22" t="s">
        <v>1506</v>
      </c>
      <c r="E653" s="22" t="s">
        <v>1507</v>
      </c>
      <c r="F653" s="22">
        <v>33.313901228799999</v>
      </c>
      <c r="G653" s="22">
        <v>44.176168218299999</v>
      </c>
      <c r="H653" s="21" t="s">
        <v>1449</v>
      </c>
      <c r="I653" s="21" t="s">
        <v>1450</v>
      </c>
      <c r="J653" s="21" t="s">
        <v>1508</v>
      </c>
      <c r="K653" s="24">
        <v>142</v>
      </c>
      <c r="L653" s="24">
        <v>852</v>
      </c>
      <c r="M653" s="23">
        <v>142</v>
      </c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>
        <v>100</v>
      </c>
      <c r="AG653" s="23"/>
      <c r="AH653" s="23"/>
      <c r="AI653" s="23"/>
      <c r="AJ653" s="23"/>
      <c r="AK653" s="23">
        <v>42</v>
      </c>
      <c r="AL653" s="23"/>
      <c r="AM653" s="23"/>
      <c r="AN653" s="23"/>
      <c r="AO653" s="23">
        <v>12</v>
      </c>
      <c r="AP653" s="23">
        <v>30</v>
      </c>
      <c r="AQ653" s="23"/>
      <c r="AR653" s="23"/>
      <c r="AS653" s="23">
        <v>100</v>
      </c>
      <c r="AT653" s="23"/>
      <c r="AU653" s="14" t="str">
        <f>HYPERLINK("http://www.openstreetmap.org/?mlat=33.3064&amp;mlon=44.187&amp;zoom=12#map=12/33.3064/44.187","Maplink1")</f>
        <v>Maplink1</v>
      </c>
      <c r="AV653" s="14" t="str">
        <f>HYPERLINK("https://www.google.iq/maps/search/+33.3064,44.187/@33.3064,44.187,14z?hl=en","Maplink2")</f>
        <v>Maplink2</v>
      </c>
      <c r="AW653" s="14" t="str">
        <f>HYPERLINK("http://www.bing.com/maps/?lvl=14&amp;sty=h&amp;cp=33.3064~44.187&amp;sp=point.33.3064_44.187_Door Al hummer","Maplink3")</f>
        <v>Maplink3</v>
      </c>
    </row>
    <row r="654" spans="1:49" ht="15" customHeight="1" x14ac:dyDescent="0.25">
      <c r="A654" s="21">
        <v>24042</v>
      </c>
      <c r="B654" s="22" t="s">
        <v>11</v>
      </c>
      <c r="C654" s="22" t="s">
        <v>1447</v>
      </c>
      <c r="D654" s="22" t="s">
        <v>1509</v>
      </c>
      <c r="E654" s="22" t="s">
        <v>1510</v>
      </c>
      <c r="F654" s="22">
        <v>33.287999999999997</v>
      </c>
      <c r="G654" s="22">
        <v>43.918700000000001</v>
      </c>
      <c r="H654" s="21" t="s">
        <v>1449</v>
      </c>
      <c r="I654" s="21" t="s">
        <v>1450</v>
      </c>
      <c r="J654" s="21" t="s">
        <v>1511</v>
      </c>
      <c r="K654" s="24">
        <v>57</v>
      </c>
      <c r="L654" s="24">
        <v>342</v>
      </c>
      <c r="M654" s="23">
        <v>51</v>
      </c>
      <c r="N654" s="23"/>
      <c r="O654" s="23">
        <v>6</v>
      </c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>
        <v>42</v>
      </c>
      <c r="AG654" s="23"/>
      <c r="AH654" s="23"/>
      <c r="AI654" s="23"/>
      <c r="AJ654" s="23"/>
      <c r="AK654" s="23">
        <v>15</v>
      </c>
      <c r="AL654" s="23"/>
      <c r="AM654" s="23"/>
      <c r="AN654" s="23"/>
      <c r="AO654" s="23">
        <v>32</v>
      </c>
      <c r="AP654" s="23"/>
      <c r="AQ654" s="23"/>
      <c r="AR654" s="23"/>
      <c r="AS654" s="23">
        <v>19</v>
      </c>
      <c r="AT654" s="23">
        <v>6</v>
      </c>
      <c r="AU654" s="14" t="str">
        <f>HYPERLINK("http://www.openstreetmap.org/?mlat=33.3525&amp;mlon=44.2014&amp;zoom=12#map=12/33.3525/44.2014","Maplink1")</f>
        <v>Maplink1</v>
      </c>
      <c r="AV654" s="14" t="str">
        <f>HYPERLINK("https://www.google.iq/maps/search/+33.3525,44.2014/@33.3525,44.2014,14z?hl=en","Maplink2")</f>
        <v>Maplink2</v>
      </c>
      <c r="AW654" s="14" t="str">
        <f>HYPERLINK("http://www.bing.com/maps/?lvl=14&amp;sty=h&amp;cp=33.3525~44.2014&amp;sp=point.33.3525_44.2014_Ghirbawy 1","Maplink3")</f>
        <v>Maplink3</v>
      </c>
    </row>
    <row r="655" spans="1:49" ht="15" customHeight="1" x14ac:dyDescent="0.25">
      <c r="A655" s="21">
        <v>24055</v>
      </c>
      <c r="B655" s="22" t="s">
        <v>11</v>
      </c>
      <c r="C655" s="22" t="s">
        <v>1447</v>
      </c>
      <c r="D655" s="22" t="s">
        <v>1512</v>
      </c>
      <c r="E655" s="22" t="s">
        <v>1513</v>
      </c>
      <c r="F655" s="22">
        <v>33.296883744100001</v>
      </c>
      <c r="G655" s="22">
        <v>44.083782288499997</v>
      </c>
      <c r="H655" s="21" t="s">
        <v>1449</v>
      </c>
      <c r="I655" s="21" t="s">
        <v>1450</v>
      </c>
      <c r="J655" s="21" t="s">
        <v>1514</v>
      </c>
      <c r="K655" s="24">
        <v>132</v>
      </c>
      <c r="L655" s="24">
        <v>792</v>
      </c>
      <c r="M655" s="23">
        <v>87</v>
      </c>
      <c r="N655" s="23"/>
      <c r="O655" s="23">
        <v>45</v>
      </c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>
        <v>109</v>
      </c>
      <c r="AG655" s="23"/>
      <c r="AH655" s="23"/>
      <c r="AI655" s="23"/>
      <c r="AJ655" s="23"/>
      <c r="AK655" s="23">
        <v>23</v>
      </c>
      <c r="AL655" s="23"/>
      <c r="AM655" s="23"/>
      <c r="AN655" s="23"/>
      <c r="AO655" s="23">
        <v>29</v>
      </c>
      <c r="AP655" s="23"/>
      <c r="AQ655" s="23">
        <v>14</v>
      </c>
      <c r="AR655" s="23">
        <v>67</v>
      </c>
      <c r="AS655" s="23">
        <v>13</v>
      </c>
      <c r="AT655" s="23">
        <v>9</v>
      </c>
      <c r="AU655" s="14" t="str">
        <f>HYPERLINK("http://www.openstreetmap.org/?mlat=33.2991&amp;mlon=44.063&amp;zoom=12#map=12/33.2991/44.063","Maplink1")</f>
        <v>Maplink1</v>
      </c>
      <c r="AV655" s="14" t="str">
        <f>HYPERLINK("https://www.google.iq/maps/search/+33.2991,44.063/@33.2991,44.063,14z?hl=en","Maplink2")</f>
        <v>Maplink2</v>
      </c>
      <c r="AW655" s="14" t="str">
        <f>HYPERLINK("http://www.bing.com/maps/?lvl=14&amp;sty=h&amp;cp=33.2991~44.063&amp;sp=point.33.2991_44.063_Hamid Al Hasan","Maplink3")</f>
        <v>Maplink3</v>
      </c>
    </row>
    <row r="656" spans="1:49" ht="15" customHeight="1" x14ac:dyDescent="0.25">
      <c r="A656" s="21">
        <v>24033</v>
      </c>
      <c r="B656" s="22" t="s">
        <v>11</v>
      </c>
      <c r="C656" s="22" t="s">
        <v>1447</v>
      </c>
      <c r="D656" s="22" t="s">
        <v>1515</v>
      </c>
      <c r="E656" s="22" t="s">
        <v>1516</v>
      </c>
      <c r="F656" s="22">
        <v>33.325308202800002</v>
      </c>
      <c r="G656" s="22">
        <v>44.191679935899998</v>
      </c>
      <c r="H656" s="21" t="s">
        <v>1449</v>
      </c>
      <c r="I656" s="21" t="s">
        <v>1450</v>
      </c>
      <c r="J656" s="21" t="s">
        <v>1517</v>
      </c>
      <c r="K656" s="24">
        <v>178</v>
      </c>
      <c r="L656" s="24">
        <v>1068</v>
      </c>
      <c r="M656" s="23">
        <v>178</v>
      </c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>
        <v>72</v>
      </c>
      <c r="AG656" s="23"/>
      <c r="AH656" s="23"/>
      <c r="AI656" s="23"/>
      <c r="AJ656" s="23"/>
      <c r="AK656" s="23">
        <v>106</v>
      </c>
      <c r="AL656" s="23"/>
      <c r="AM656" s="23"/>
      <c r="AN656" s="23"/>
      <c r="AO656" s="23">
        <v>30</v>
      </c>
      <c r="AP656" s="23"/>
      <c r="AQ656" s="23"/>
      <c r="AR656" s="23">
        <v>58</v>
      </c>
      <c r="AS656" s="23">
        <v>90</v>
      </c>
      <c r="AT656" s="23"/>
      <c r="AU656" s="14" t="str">
        <f>HYPERLINK("http://www.openstreetmap.org/?mlat=33.3065&amp;mlon=44.186&amp;zoom=12#map=12/33.3065/44.186","Maplink1")</f>
        <v>Maplink1</v>
      </c>
      <c r="AV656" s="14" t="str">
        <f>HYPERLINK("https://www.google.iq/maps/search/+33.3065,44.186/@33.3065,44.186,14z?hl=en","Maplink2")</f>
        <v>Maplink2</v>
      </c>
      <c r="AW656" s="14" t="str">
        <f>HYPERLINK("http://www.bing.com/maps/?lvl=14&amp;sty=h&amp;cp=33.3065~44.186&amp;sp=point.33.3065_44.186_Hay Al Asreyah","Maplink3")</f>
        <v>Maplink3</v>
      </c>
    </row>
    <row r="657" spans="1:49" ht="15" customHeight="1" x14ac:dyDescent="0.25">
      <c r="A657" s="21">
        <v>24034</v>
      </c>
      <c r="B657" s="22" t="s">
        <v>11</v>
      </c>
      <c r="C657" s="22" t="s">
        <v>1447</v>
      </c>
      <c r="D657" s="22" t="s">
        <v>1518</v>
      </c>
      <c r="E657" s="22" t="s">
        <v>1519</v>
      </c>
      <c r="F657" s="22">
        <v>33.311708523</v>
      </c>
      <c r="G657" s="22">
        <v>44.141720272599997</v>
      </c>
      <c r="H657" s="21" t="s">
        <v>1449</v>
      </c>
      <c r="I657" s="21" t="s">
        <v>1450</v>
      </c>
      <c r="J657" s="21" t="s">
        <v>1520</v>
      </c>
      <c r="K657" s="24">
        <v>153</v>
      </c>
      <c r="L657" s="24">
        <v>918</v>
      </c>
      <c r="M657" s="23">
        <v>153</v>
      </c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>
        <v>102</v>
      </c>
      <c r="AG657" s="23"/>
      <c r="AH657" s="23"/>
      <c r="AI657" s="23"/>
      <c r="AJ657" s="23"/>
      <c r="AK657" s="23">
        <v>51</v>
      </c>
      <c r="AL657" s="23"/>
      <c r="AM657" s="23"/>
      <c r="AN657" s="23"/>
      <c r="AO657" s="23"/>
      <c r="AP657" s="23"/>
      <c r="AQ657" s="23"/>
      <c r="AR657" s="23">
        <v>23</v>
      </c>
      <c r="AS657" s="23">
        <v>130</v>
      </c>
      <c r="AT657" s="23"/>
      <c r="AU657" s="14" t="str">
        <f>HYPERLINK("http://www.openstreetmap.org/?mlat=33.3065&amp;mlon=44.1869&amp;zoom=12#map=12/33.3065/44.1869","Maplink1")</f>
        <v>Maplink1</v>
      </c>
      <c r="AV657" s="14" t="str">
        <f>HYPERLINK("https://www.google.iq/maps/search/+33.3065,44.1869/@33.3065,44.1869,14z?hl=en","Maplink2")</f>
        <v>Maplink2</v>
      </c>
      <c r="AW657" s="14" t="str">
        <f>HYPERLINK("http://www.bing.com/maps/?lvl=14&amp;sty=h&amp;cp=33.3065~44.1869&amp;sp=point.33.3065_44.1869_Hay Al Ghawassah","Maplink3")</f>
        <v>Maplink3</v>
      </c>
    </row>
    <row r="658" spans="1:49" ht="15" customHeight="1" x14ac:dyDescent="0.25">
      <c r="A658" s="21">
        <v>24043</v>
      </c>
      <c r="B658" s="22" t="s">
        <v>11</v>
      </c>
      <c r="C658" s="22" t="s">
        <v>1447</v>
      </c>
      <c r="D658" s="22" t="s">
        <v>1521</v>
      </c>
      <c r="E658" s="22" t="s">
        <v>1522</v>
      </c>
      <c r="F658" s="22">
        <v>33.304682560300002</v>
      </c>
      <c r="G658" s="22">
        <v>44.1675933637</v>
      </c>
      <c r="H658" s="21" t="s">
        <v>1449</v>
      </c>
      <c r="I658" s="21" t="s">
        <v>1450</v>
      </c>
      <c r="J658" s="21" t="s">
        <v>1523</v>
      </c>
      <c r="K658" s="24">
        <v>109</v>
      </c>
      <c r="L658" s="24">
        <v>654</v>
      </c>
      <c r="M658" s="23">
        <v>109</v>
      </c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>
        <v>37</v>
      </c>
      <c r="AG658" s="23"/>
      <c r="AH658" s="23"/>
      <c r="AI658" s="23"/>
      <c r="AJ658" s="23"/>
      <c r="AK658" s="23">
        <v>72</v>
      </c>
      <c r="AL658" s="23"/>
      <c r="AM658" s="23"/>
      <c r="AN658" s="23"/>
      <c r="AO658" s="23">
        <v>19</v>
      </c>
      <c r="AP658" s="23"/>
      <c r="AQ658" s="23"/>
      <c r="AR658" s="23"/>
      <c r="AS658" s="23">
        <v>90</v>
      </c>
      <c r="AT658" s="23"/>
      <c r="AU658" s="14" t="str">
        <f>HYPERLINK("http://www.openstreetmap.org/?mlat=33.3064&amp;mlon=44.1869&amp;zoom=12#map=12/33.3064/44.1869","Maplink1")</f>
        <v>Maplink1</v>
      </c>
      <c r="AV658" s="14" t="str">
        <f>HYPERLINK("https://www.google.iq/maps/search/+33.3064,44.1869/@33.3064,44.1869,14z?hl=en","Maplink2")</f>
        <v>Maplink2</v>
      </c>
      <c r="AW658" s="14" t="str">
        <f>HYPERLINK("http://www.bing.com/maps/?lvl=14&amp;sty=h&amp;cp=33.3064~44.1869&amp;sp=point.33.3064_44.1869_Hay Al Madfay","Maplink3")</f>
        <v>Maplink3</v>
      </c>
    </row>
    <row r="659" spans="1:49" ht="15" customHeight="1" x14ac:dyDescent="0.25">
      <c r="A659" s="21">
        <v>24032</v>
      </c>
      <c r="B659" s="22" t="s">
        <v>11</v>
      </c>
      <c r="C659" s="22" t="s">
        <v>1447</v>
      </c>
      <c r="D659" s="22" t="s">
        <v>1524</v>
      </c>
      <c r="E659" s="22" t="s">
        <v>436</v>
      </c>
      <c r="F659" s="22">
        <v>33.68233</v>
      </c>
      <c r="G659" s="22">
        <v>44.331969999999998</v>
      </c>
      <c r="H659" s="21" t="s">
        <v>1449</v>
      </c>
      <c r="I659" s="21" t="s">
        <v>1450</v>
      </c>
      <c r="J659" s="21" t="s">
        <v>1525</v>
      </c>
      <c r="K659" s="24">
        <v>275</v>
      </c>
      <c r="L659" s="24">
        <v>1650</v>
      </c>
      <c r="M659" s="23">
        <v>253</v>
      </c>
      <c r="N659" s="23"/>
      <c r="O659" s="23">
        <v>22</v>
      </c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>
        <v>123</v>
      </c>
      <c r="AG659" s="23"/>
      <c r="AH659" s="23"/>
      <c r="AI659" s="23"/>
      <c r="AJ659" s="23"/>
      <c r="AK659" s="23">
        <v>152</v>
      </c>
      <c r="AL659" s="23"/>
      <c r="AM659" s="23"/>
      <c r="AN659" s="23"/>
      <c r="AO659" s="23">
        <v>50</v>
      </c>
      <c r="AP659" s="23">
        <v>105</v>
      </c>
      <c r="AQ659" s="23"/>
      <c r="AR659" s="23"/>
      <c r="AS659" s="23">
        <v>120</v>
      </c>
      <c r="AT659" s="23"/>
      <c r="AU659" s="14" t="str">
        <f>HYPERLINK("http://www.openstreetmap.org/?mlat=33.3065&amp;mlon=44.1869&amp;zoom=12#map=12/33.3065/44.1869","Maplink1")</f>
        <v>Maplink1</v>
      </c>
      <c r="AV659" s="14" t="str">
        <f>HYPERLINK("https://www.google.iq/maps/search/+33.3065,44.1869/@33.3065,44.1869,14z?hl=en","Maplink2")</f>
        <v>Maplink2</v>
      </c>
      <c r="AW659" s="14" t="str">
        <f>HYPERLINK("http://www.bing.com/maps/?lvl=14&amp;sty=h&amp;cp=33.3065~44.1869&amp;sp=point.33.3065_44.1869_Hay Al Sadiq","Maplink3")</f>
        <v>Maplink3</v>
      </c>
    </row>
    <row r="660" spans="1:49" ht="15" customHeight="1" x14ac:dyDescent="0.25">
      <c r="A660" s="21">
        <v>24039</v>
      </c>
      <c r="B660" s="22" t="s">
        <v>11</v>
      </c>
      <c r="C660" s="22" t="s">
        <v>1447</v>
      </c>
      <c r="D660" s="22" t="s">
        <v>1528</v>
      </c>
      <c r="E660" s="22" t="s">
        <v>655</v>
      </c>
      <c r="F660" s="22">
        <v>33.310505888599998</v>
      </c>
      <c r="G660" s="22">
        <v>44.185740989300001</v>
      </c>
      <c r="H660" s="21" t="s">
        <v>1449</v>
      </c>
      <c r="I660" s="21" t="s">
        <v>1450</v>
      </c>
      <c r="J660" s="21" t="s">
        <v>1530</v>
      </c>
      <c r="K660" s="24">
        <v>845</v>
      </c>
      <c r="L660" s="24">
        <v>5070</v>
      </c>
      <c r="M660" s="23">
        <v>845</v>
      </c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>
        <v>512</v>
      </c>
      <c r="AG660" s="23"/>
      <c r="AH660" s="23"/>
      <c r="AI660" s="23"/>
      <c r="AJ660" s="23"/>
      <c r="AK660" s="23">
        <v>320</v>
      </c>
      <c r="AL660" s="23"/>
      <c r="AM660" s="23">
        <v>13</v>
      </c>
      <c r="AN660" s="23"/>
      <c r="AO660" s="23">
        <v>58</v>
      </c>
      <c r="AP660" s="23"/>
      <c r="AQ660" s="23"/>
      <c r="AR660" s="23">
        <v>290</v>
      </c>
      <c r="AS660" s="23">
        <v>497</v>
      </c>
      <c r="AT660" s="23"/>
      <c r="AU660" s="14" t="str">
        <f>HYPERLINK("http://www.openstreetmap.org/?mlat=33.3146&amp;mlon=44.171&amp;zoom=12#map=12/33.3146/44.171","Maplink1")</f>
        <v>Maplink1</v>
      </c>
      <c r="AV660" s="14" t="str">
        <f>HYPERLINK("https://www.google.iq/maps/search/+33.3146,44.171/@33.3146,44.171,14z?hl=en","Maplink2")</f>
        <v>Maplink2</v>
      </c>
      <c r="AW660" s="14" t="str">
        <f>HYPERLINK("http://www.bing.com/maps/?lvl=14&amp;sty=h&amp;cp=33.3146~44.171&amp;sp=point.33.3146_44.171_Hay Al Zohor","Maplink3")</f>
        <v>Maplink3</v>
      </c>
    </row>
    <row r="661" spans="1:49" ht="15" customHeight="1" x14ac:dyDescent="0.25">
      <c r="A661" s="21">
        <v>7553</v>
      </c>
      <c r="B661" s="22" t="s">
        <v>11</v>
      </c>
      <c r="C661" s="22" t="s">
        <v>1447</v>
      </c>
      <c r="D661" s="22" t="s">
        <v>1009</v>
      </c>
      <c r="E661" s="22" t="s">
        <v>7655</v>
      </c>
      <c r="F661" s="22">
        <v>33.292959445500003</v>
      </c>
      <c r="G661" s="22">
        <v>44.055421587200001</v>
      </c>
      <c r="H661" s="21" t="s">
        <v>1449</v>
      </c>
      <c r="I661" s="21" t="s">
        <v>1450</v>
      </c>
      <c r="J661" s="21" t="s">
        <v>1531</v>
      </c>
      <c r="K661" s="24">
        <v>741</v>
      </c>
      <c r="L661" s="24">
        <v>4446</v>
      </c>
      <c r="M661" s="23">
        <v>306</v>
      </c>
      <c r="N661" s="23"/>
      <c r="O661" s="23">
        <v>435</v>
      </c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>
        <v>362</v>
      </c>
      <c r="AG661" s="23"/>
      <c r="AH661" s="23"/>
      <c r="AI661" s="23"/>
      <c r="AJ661" s="23"/>
      <c r="AK661" s="23">
        <v>322</v>
      </c>
      <c r="AL661" s="23">
        <v>57</v>
      </c>
      <c r="AM661" s="23"/>
      <c r="AN661" s="23"/>
      <c r="AO661" s="23">
        <v>228</v>
      </c>
      <c r="AP661" s="23"/>
      <c r="AQ661" s="23"/>
      <c r="AR661" s="23">
        <v>281</v>
      </c>
      <c r="AS661" s="23">
        <v>232</v>
      </c>
      <c r="AT661" s="23"/>
      <c r="AU661" s="14" t="str">
        <f>HYPERLINK("http://www.openstreetmap.org/?mlat=33.2968&amp;mlon=44.0591&amp;zoom=12#map=12/33.2968/44.0591","Maplink1")</f>
        <v>Maplink1</v>
      </c>
      <c r="AV661" s="14" t="str">
        <f>HYPERLINK("https://www.google.iq/maps/search/+33.2968,44.0591/@33.2968,44.0591,14z?hl=en","Maplink2")</f>
        <v>Maplink2</v>
      </c>
      <c r="AW661" s="14" t="str">
        <f>HYPERLINK("http://www.bing.com/maps/?lvl=14&amp;sty=h&amp;cp=33.2968~44.0591&amp;sp=point.33.2968_44.0591_Hay Al-Shuhadaa","Maplink3")</f>
        <v>Maplink3</v>
      </c>
    </row>
    <row r="662" spans="1:49" ht="15" customHeight="1" x14ac:dyDescent="0.25">
      <c r="A662" s="21">
        <v>22050</v>
      </c>
      <c r="B662" s="22" t="s">
        <v>11</v>
      </c>
      <c r="C662" s="22" t="s">
        <v>1447</v>
      </c>
      <c r="D662" s="22" t="s">
        <v>1532</v>
      </c>
      <c r="E662" s="22" t="s">
        <v>1533</v>
      </c>
      <c r="F662" s="22">
        <v>33.302862517400001</v>
      </c>
      <c r="G662" s="22">
        <v>44.169808240000002</v>
      </c>
      <c r="H662" s="21" t="s">
        <v>1449</v>
      </c>
      <c r="I662" s="21" t="s">
        <v>1450</v>
      </c>
      <c r="J662" s="21" t="s">
        <v>1534</v>
      </c>
      <c r="K662" s="24">
        <v>100</v>
      </c>
      <c r="L662" s="24">
        <v>600</v>
      </c>
      <c r="M662" s="23">
        <v>100</v>
      </c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>
        <v>100</v>
      </c>
      <c r="AL662" s="23"/>
      <c r="AM662" s="23"/>
      <c r="AN662" s="23"/>
      <c r="AO662" s="23"/>
      <c r="AP662" s="23">
        <v>18</v>
      </c>
      <c r="AQ662" s="23"/>
      <c r="AR662" s="23"/>
      <c r="AS662" s="23">
        <v>82</v>
      </c>
      <c r="AT662" s="23"/>
      <c r="AU662" s="14" t="str">
        <f>HYPERLINK("http://www.openstreetmap.org/?mlat=33.3056&amp;mlon=44.1868&amp;zoom=12#map=12/33.3056/44.1868","Maplink1")</f>
        <v>Maplink1</v>
      </c>
      <c r="AV662" s="14" t="str">
        <f>HYPERLINK("https://www.google.iq/maps/search/+33.3056,44.1868/@33.3056,44.1868,14z?hl=en","Maplink2")</f>
        <v>Maplink2</v>
      </c>
      <c r="AW662" s="14" t="str">
        <f>HYPERLINK("http://www.bing.com/maps/?lvl=14&amp;sty=h&amp;cp=33.3056~44.1868&amp;sp=point.33.3056_44.1868_Hay Ashbilia","Maplink3")</f>
        <v>Maplink3</v>
      </c>
    </row>
    <row r="663" spans="1:49" ht="15" customHeight="1" x14ac:dyDescent="0.25">
      <c r="A663" s="21">
        <v>20971</v>
      </c>
      <c r="B663" s="22" t="s">
        <v>11</v>
      </c>
      <c r="C663" s="22" t="s">
        <v>1447</v>
      </c>
      <c r="D663" s="22" t="s">
        <v>8335</v>
      </c>
      <c r="E663" s="22" t="s">
        <v>7656</v>
      </c>
      <c r="F663" s="22">
        <v>33.301699999999997</v>
      </c>
      <c r="G663" s="22">
        <v>44.138399999999997</v>
      </c>
      <c r="H663" s="21" t="s">
        <v>1449</v>
      </c>
      <c r="I663" s="21" t="s">
        <v>1450</v>
      </c>
      <c r="J663" s="21" t="s">
        <v>1535</v>
      </c>
      <c r="K663" s="24">
        <v>1375</v>
      </c>
      <c r="L663" s="24">
        <v>8250</v>
      </c>
      <c r="M663" s="23">
        <v>1314</v>
      </c>
      <c r="N663" s="23"/>
      <c r="O663" s="23">
        <v>28</v>
      </c>
      <c r="P663" s="23"/>
      <c r="Q663" s="23"/>
      <c r="R663" s="23">
        <v>8</v>
      </c>
      <c r="S663" s="23"/>
      <c r="T663" s="23"/>
      <c r="U663" s="23"/>
      <c r="V663" s="23"/>
      <c r="W663" s="23"/>
      <c r="X663" s="23"/>
      <c r="Y663" s="23">
        <v>6</v>
      </c>
      <c r="Z663" s="23"/>
      <c r="AA663" s="23">
        <v>19</v>
      </c>
      <c r="AB663" s="23"/>
      <c r="AC663" s="23"/>
      <c r="AD663" s="23"/>
      <c r="AE663" s="23"/>
      <c r="AF663" s="23">
        <v>251</v>
      </c>
      <c r="AG663" s="23"/>
      <c r="AH663" s="23"/>
      <c r="AI663" s="23"/>
      <c r="AJ663" s="23">
        <v>6</v>
      </c>
      <c r="AK663" s="23">
        <v>1034</v>
      </c>
      <c r="AL663" s="23"/>
      <c r="AM663" s="23">
        <v>84</v>
      </c>
      <c r="AN663" s="23"/>
      <c r="AO663" s="23">
        <v>140</v>
      </c>
      <c r="AP663" s="23">
        <v>100</v>
      </c>
      <c r="AQ663" s="23"/>
      <c r="AR663" s="23">
        <v>587</v>
      </c>
      <c r="AS663" s="23">
        <v>548</v>
      </c>
      <c r="AT663" s="23"/>
      <c r="AU663" s="14" t="str">
        <f>HYPERLINK("http://www.openstreetmap.org/?mlat=33.3031&amp;mlon=44.1853&amp;zoom=12#map=12/33.3031/44.1853","Maplink1")</f>
        <v>Maplink1</v>
      </c>
      <c r="AV663" s="14" t="str">
        <f>HYPERLINK("https://www.google.iq/maps/search/+33.3031,44.1853/@33.3031,44.1853,14z?hl=en","Maplink2")</f>
        <v>Maplink2</v>
      </c>
      <c r="AW663" s="14" t="str">
        <f>HYPERLINK("http://www.bing.com/maps/?lvl=14&amp;sty=h&amp;cp=33.3031~44.1853&amp;sp=point.33.3031_44.1853_Hay Shuhada","Maplink3")</f>
        <v>Maplink3</v>
      </c>
    </row>
    <row r="664" spans="1:49" ht="15" customHeight="1" x14ac:dyDescent="0.25">
      <c r="A664" s="21">
        <v>24052</v>
      </c>
      <c r="B664" s="22" t="s">
        <v>11</v>
      </c>
      <c r="C664" s="22" t="s">
        <v>1447</v>
      </c>
      <c r="D664" s="22" t="s">
        <v>1536</v>
      </c>
      <c r="E664" s="22" t="s">
        <v>8336</v>
      </c>
      <c r="F664" s="22">
        <v>33.283787108299997</v>
      </c>
      <c r="G664" s="22">
        <v>44.054551195400002</v>
      </c>
      <c r="H664" s="21" t="s">
        <v>1449</v>
      </c>
      <c r="I664" s="21" t="s">
        <v>1450</v>
      </c>
      <c r="J664" s="21" t="s">
        <v>1537</v>
      </c>
      <c r="K664" s="24">
        <v>89</v>
      </c>
      <c r="L664" s="24">
        <v>534</v>
      </c>
      <c r="M664" s="23">
        <v>34</v>
      </c>
      <c r="N664" s="23"/>
      <c r="O664" s="23">
        <v>55</v>
      </c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>
        <v>66</v>
      </c>
      <c r="AG664" s="23"/>
      <c r="AH664" s="23"/>
      <c r="AI664" s="23"/>
      <c r="AJ664" s="23"/>
      <c r="AK664" s="23">
        <v>23</v>
      </c>
      <c r="AL664" s="23"/>
      <c r="AM664" s="23"/>
      <c r="AN664" s="23"/>
      <c r="AO664" s="23">
        <v>5</v>
      </c>
      <c r="AP664" s="23"/>
      <c r="AQ664" s="23"/>
      <c r="AR664" s="23">
        <v>31</v>
      </c>
      <c r="AS664" s="23">
        <v>53</v>
      </c>
      <c r="AT664" s="23"/>
      <c r="AU664" s="14" t="str">
        <f>HYPERLINK("http://www.openstreetmap.org/?mlat=33.2991&amp;mlon=44.063&amp;zoom=12#map=12/33.2991/44.063","Maplink1")</f>
        <v>Maplink1</v>
      </c>
      <c r="AV664" s="14" t="str">
        <f>HYPERLINK("https://www.google.iq/maps/search/+33.2991,44.063/@33.2991,44.063,14z?hl=en","Maplink2")</f>
        <v>Maplink2</v>
      </c>
      <c r="AW664" s="14" t="str">
        <f>HYPERLINK("http://www.bing.com/maps/?lvl=14&amp;sty=h&amp;cp=33.2991~44.063&amp;sp=point.33.2991_44.063_Hay Sinaa","Maplink3")</f>
        <v>Maplink3</v>
      </c>
    </row>
    <row r="665" spans="1:49" ht="15" customHeight="1" x14ac:dyDescent="0.25">
      <c r="A665" s="21">
        <v>25129</v>
      </c>
      <c r="B665" s="22" t="s">
        <v>11</v>
      </c>
      <c r="C665" s="22" t="s">
        <v>1447</v>
      </c>
      <c r="D665" s="22" t="s">
        <v>1538</v>
      </c>
      <c r="E665" s="22" t="s">
        <v>1539</v>
      </c>
      <c r="F665" s="22">
        <v>33.30068</v>
      </c>
      <c r="G665" s="22">
        <v>44.167499999999997</v>
      </c>
      <c r="H665" s="21" t="s">
        <v>1449</v>
      </c>
      <c r="I665" s="21" t="s">
        <v>1450</v>
      </c>
      <c r="J665" s="21"/>
      <c r="K665" s="24">
        <v>686</v>
      </c>
      <c r="L665" s="24">
        <v>4116</v>
      </c>
      <c r="M665" s="23">
        <v>658</v>
      </c>
      <c r="N665" s="23"/>
      <c r="O665" s="23">
        <v>22</v>
      </c>
      <c r="P665" s="23"/>
      <c r="Q665" s="23"/>
      <c r="R665" s="23"/>
      <c r="S665" s="23"/>
      <c r="T665" s="23"/>
      <c r="U665" s="23"/>
      <c r="V665" s="23"/>
      <c r="W665" s="23"/>
      <c r="X665" s="23"/>
      <c r="Y665" s="23">
        <v>6</v>
      </c>
      <c r="Z665" s="23"/>
      <c r="AA665" s="23"/>
      <c r="AB665" s="23"/>
      <c r="AC665" s="23"/>
      <c r="AD665" s="23"/>
      <c r="AE665" s="23"/>
      <c r="AF665" s="23">
        <v>147</v>
      </c>
      <c r="AG665" s="23"/>
      <c r="AH665" s="23"/>
      <c r="AI665" s="23"/>
      <c r="AJ665" s="23"/>
      <c r="AK665" s="23">
        <v>539</v>
      </c>
      <c r="AL665" s="23"/>
      <c r="AM665" s="23"/>
      <c r="AN665" s="23"/>
      <c r="AO665" s="23"/>
      <c r="AP665" s="23">
        <v>38</v>
      </c>
      <c r="AQ665" s="23"/>
      <c r="AR665" s="23">
        <v>128</v>
      </c>
      <c r="AS665" s="23">
        <v>520</v>
      </c>
      <c r="AT665" s="23"/>
      <c r="AU665" s="14" t="str">
        <f>HYPERLINK("http://www.openstreetmap.org/?mlat=33.2948&amp;mlon=44.0658&amp;zoom=12#map=12/33.2948/44.0658","Maplink1")</f>
        <v>Maplink1</v>
      </c>
      <c r="AV665" s="14" t="str">
        <f>HYPERLINK("https://www.google.iq/maps/search/+33.2948,44.0658/@33.2948,44.0658,14z?hl=en","Maplink2")</f>
        <v>Maplink2</v>
      </c>
      <c r="AW665" s="14" t="str">
        <f>HYPERLINK("http://www.bing.com/maps/?lvl=14&amp;sty=h&amp;cp=33.2948~44.0658&amp;sp=point.33.2948_44.0658_Hay-Busatan","Maplink3")</f>
        <v>Maplink3</v>
      </c>
    </row>
    <row r="666" spans="1:49" ht="15" customHeight="1" x14ac:dyDescent="0.25">
      <c r="A666" s="21">
        <v>27290</v>
      </c>
      <c r="B666" s="22" t="s">
        <v>11</v>
      </c>
      <c r="C666" s="22" t="s">
        <v>1447</v>
      </c>
      <c r="D666" s="22" t="s">
        <v>1540</v>
      </c>
      <c r="E666" s="22" t="s">
        <v>1541</v>
      </c>
      <c r="F666" s="22">
        <v>33.390074755999997</v>
      </c>
      <c r="G666" s="22">
        <v>44.131248368199998</v>
      </c>
      <c r="H666" s="21"/>
      <c r="I666" s="21"/>
      <c r="J666" s="21"/>
      <c r="K666" s="24">
        <v>58</v>
      </c>
      <c r="L666" s="24">
        <v>348</v>
      </c>
      <c r="M666" s="23">
        <v>55</v>
      </c>
      <c r="N666" s="23"/>
      <c r="O666" s="23">
        <v>3</v>
      </c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>
        <v>35</v>
      </c>
      <c r="AG666" s="23"/>
      <c r="AH666" s="23"/>
      <c r="AI666" s="23"/>
      <c r="AJ666" s="23"/>
      <c r="AK666" s="23">
        <v>23</v>
      </c>
      <c r="AL666" s="23"/>
      <c r="AM666" s="23"/>
      <c r="AN666" s="23"/>
      <c r="AO666" s="23"/>
      <c r="AP666" s="23"/>
      <c r="AQ666" s="23"/>
      <c r="AR666" s="23">
        <v>3</v>
      </c>
      <c r="AS666" s="23">
        <v>44</v>
      </c>
      <c r="AT666" s="23">
        <v>11</v>
      </c>
      <c r="AU666" s="14" t="str">
        <f>HYPERLINK("http://www.openstreetmap.org/?mlat=33.3546&amp;mlon=44.2024&amp;zoom=12#map=12/33.3546/44.2024","Maplink1")</f>
        <v>Maplink1</v>
      </c>
      <c r="AV666" s="14" t="str">
        <f>HYPERLINK("https://www.google.iq/maps/search/+33.3546,44.2024/@33.3546,44.2024,14z?hl=en","Maplink2")</f>
        <v>Maplink2</v>
      </c>
      <c r="AW666" s="14" t="str">
        <f>HYPERLINK("http://www.bing.com/maps/?lvl=14&amp;sty=h&amp;cp=33.3546~44.2024&amp;sp=point.33.3546_44.2024_Joabh- 3","Maplink3")</f>
        <v>Maplink3</v>
      </c>
    </row>
    <row r="667" spans="1:49" ht="15" customHeight="1" x14ac:dyDescent="0.25">
      <c r="A667" s="21">
        <v>24056</v>
      </c>
      <c r="B667" s="22" t="s">
        <v>11</v>
      </c>
      <c r="C667" s="22" t="s">
        <v>1447</v>
      </c>
      <c r="D667" s="22" t="s">
        <v>1542</v>
      </c>
      <c r="E667" s="22" t="s">
        <v>1543</v>
      </c>
      <c r="F667" s="22">
        <v>33.318559999999998</v>
      </c>
      <c r="G667" s="22">
        <v>44.066690000000001</v>
      </c>
      <c r="H667" s="21" t="s">
        <v>1449</v>
      </c>
      <c r="I667" s="21" t="s">
        <v>1450</v>
      </c>
      <c r="J667" s="21" t="s">
        <v>1544</v>
      </c>
      <c r="K667" s="24">
        <v>8</v>
      </c>
      <c r="L667" s="24">
        <v>48</v>
      </c>
      <c r="M667" s="23">
        <v>8</v>
      </c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>
        <v>8</v>
      </c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>
        <v>8</v>
      </c>
      <c r="AT667" s="23"/>
      <c r="AU667" s="14" t="str">
        <f>HYPERLINK("http://www.openstreetmap.org/?mlat=33.2991&amp;mlon=44.0631&amp;zoom=12#map=12/33.2991/44.0631","Maplink1")</f>
        <v>Maplink1</v>
      </c>
      <c r="AV667" s="14" t="str">
        <f>HYPERLINK("https://www.google.iq/maps/search/+33.2991,44.0631/@33.2991,44.0631,14z?hl=en","Maplink2")</f>
        <v>Maplink2</v>
      </c>
      <c r="AW667" s="14" t="str">
        <f>HYPERLINK("http://www.bing.com/maps/?lvl=14&amp;sty=h&amp;cp=33.2991~44.0631&amp;sp=point.33.2991_44.0631_Kadem Al Athab village","Maplink3")</f>
        <v>Maplink3</v>
      </c>
    </row>
    <row r="668" spans="1:49" ht="15" customHeight="1" x14ac:dyDescent="0.25">
      <c r="A668" s="21">
        <v>25126</v>
      </c>
      <c r="B668" s="22" t="s">
        <v>11</v>
      </c>
      <c r="C668" s="22" t="s">
        <v>1447</v>
      </c>
      <c r="D668" s="22" t="s">
        <v>1545</v>
      </c>
      <c r="E668" s="22" t="s">
        <v>1546</v>
      </c>
      <c r="F668" s="22">
        <v>33.295946024800003</v>
      </c>
      <c r="G668" s="22">
        <v>44.059759450400001</v>
      </c>
      <c r="H668" s="21" t="s">
        <v>1449</v>
      </c>
      <c r="I668" s="21" t="s">
        <v>1450</v>
      </c>
      <c r="J668" s="21"/>
      <c r="K668" s="24">
        <v>833</v>
      </c>
      <c r="L668" s="24">
        <v>4998</v>
      </c>
      <c r="M668" s="23">
        <v>376</v>
      </c>
      <c r="N668" s="23"/>
      <c r="O668" s="23">
        <v>448</v>
      </c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>
        <v>9</v>
      </c>
      <c r="AB668" s="23"/>
      <c r="AC668" s="23"/>
      <c r="AD668" s="23"/>
      <c r="AE668" s="23"/>
      <c r="AF668" s="23">
        <v>403</v>
      </c>
      <c r="AG668" s="23"/>
      <c r="AH668" s="23"/>
      <c r="AI668" s="23"/>
      <c r="AJ668" s="23"/>
      <c r="AK668" s="23">
        <v>430</v>
      </c>
      <c r="AL668" s="23"/>
      <c r="AM668" s="23"/>
      <c r="AN668" s="23"/>
      <c r="AO668" s="23"/>
      <c r="AP668" s="23"/>
      <c r="AQ668" s="23"/>
      <c r="AR668" s="23">
        <v>742</v>
      </c>
      <c r="AS668" s="23">
        <v>91</v>
      </c>
      <c r="AT668" s="23"/>
      <c r="AU668" s="14" t="str">
        <f>HYPERLINK("http://www.openstreetmap.org/?mlat=33.2962&amp;mlon=44.0588&amp;zoom=12#map=12/33.2962/44.0588","Maplink1")</f>
        <v>Maplink1</v>
      </c>
      <c r="AV668" s="14" t="str">
        <f>HYPERLINK("https://www.google.iq/maps/search/+33.2962,44.0588/@33.2962,44.0588,14z?hl=en","Maplink2")</f>
        <v>Maplink2</v>
      </c>
      <c r="AW668" s="14" t="str">
        <f>HYPERLINK("http://www.bing.com/maps/?lvl=14&amp;sty=h&amp;cp=33.2962~44.0588&amp;sp=point.33.2962_44.0588_Khan Dhari Center","Maplink3")</f>
        <v>Maplink3</v>
      </c>
    </row>
    <row r="669" spans="1:49" ht="15" customHeight="1" x14ac:dyDescent="0.25">
      <c r="A669" s="21">
        <v>25128</v>
      </c>
      <c r="B669" s="22" t="s">
        <v>11</v>
      </c>
      <c r="C669" s="22" t="s">
        <v>1447</v>
      </c>
      <c r="D669" s="22" t="s">
        <v>7530</v>
      </c>
      <c r="E669" s="22" t="s">
        <v>1548</v>
      </c>
      <c r="F669" s="22">
        <v>33.312802320700001</v>
      </c>
      <c r="G669" s="22">
        <v>44.1855456889</v>
      </c>
      <c r="H669" s="21" t="s">
        <v>1449</v>
      </c>
      <c r="I669" s="21" t="s">
        <v>1450</v>
      </c>
      <c r="J669" s="21"/>
      <c r="K669" s="24">
        <v>569</v>
      </c>
      <c r="L669" s="24">
        <v>3414</v>
      </c>
      <c r="M669" s="23">
        <v>569</v>
      </c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>
        <v>136</v>
      </c>
      <c r="AG669" s="23"/>
      <c r="AH669" s="23"/>
      <c r="AI669" s="23"/>
      <c r="AJ669" s="23"/>
      <c r="AK669" s="23">
        <v>433</v>
      </c>
      <c r="AL669" s="23"/>
      <c r="AM669" s="23"/>
      <c r="AN669" s="23"/>
      <c r="AO669" s="23"/>
      <c r="AP669" s="23">
        <v>225</v>
      </c>
      <c r="AQ669" s="23"/>
      <c r="AR669" s="23"/>
      <c r="AS669" s="23">
        <v>344</v>
      </c>
      <c r="AT669" s="23"/>
      <c r="AU669" s="14" t="str">
        <f>HYPERLINK("http://www.openstreetmap.org/?mlat=33.3237&amp;mlon=44.1919&amp;zoom=12#map=12/33.3237/44.1919","Maplink1")</f>
        <v>Maplink1</v>
      </c>
      <c r="AV669" s="14" t="str">
        <f>HYPERLINK("https://www.google.iq/maps/search/+33.3237,44.1919/@33.3237,44.1919,14z?hl=en","Maplink2")</f>
        <v>Maplink2</v>
      </c>
      <c r="AW669" s="14" t="str">
        <f>HYPERLINK("http://www.bing.com/maps/?lvl=14&amp;sty=h&amp;cp=33.3237~44.1919&amp;sp=point.33.3237_44.1919_Khernabat -South","Maplink3")</f>
        <v>Maplink3</v>
      </c>
    </row>
    <row r="670" spans="1:49" ht="15" customHeight="1" x14ac:dyDescent="0.25">
      <c r="A670" s="21">
        <v>7709</v>
      </c>
      <c r="B670" s="22" t="s">
        <v>11</v>
      </c>
      <c r="C670" s="22" t="s">
        <v>1447</v>
      </c>
      <c r="D670" s="22" t="s">
        <v>8337</v>
      </c>
      <c r="E670" s="22" t="s">
        <v>7657</v>
      </c>
      <c r="F670" s="22">
        <v>33.330280711599997</v>
      </c>
      <c r="G670" s="22">
        <v>44.202951753999997</v>
      </c>
      <c r="H670" s="21" t="s">
        <v>1449</v>
      </c>
      <c r="I670" s="21" t="s">
        <v>1450</v>
      </c>
      <c r="J670" s="21" t="s">
        <v>1547</v>
      </c>
      <c r="K670" s="24">
        <v>643</v>
      </c>
      <c r="L670" s="24">
        <v>3858</v>
      </c>
      <c r="M670" s="23">
        <v>627</v>
      </c>
      <c r="N670" s="23"/>
      <c r="O670" s="23">
        <v>16</v>
      </c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>
        <v>243</v>
      </c>
      <c r="AG670" s="23"/>
      <c r="AH670" s="23"/>
      <c r="AI670" s="23"/>
      <c r="AJ670" s="23"/>
      <c r="AK670" s="23">
        <v>400</v>
      </c>
      <c r="AL670" s="23"/>
      <c r="AM670" s="23"/>
      <c r="AN670" s="23"/>
      <c r="AO670" s="23">
        <v>378</v>
      </c>
      <c r="AP670" s="23"/>
      <c r="AQ670" s="23"/>
      <c r="AR670" s="23">
        <v>19</v>
      </c>
      <c r="AS670" s="23">
        <v>246</v>
      </c>
      <c r="AT670" s="23"/>
      <c r="AU670" s="14" t="str">
        <f>HYPERLINK("http://www.openstreetmap.org/?mlat=33.3226&amp;mlon=44.1927&amp;zoom=12#map=12/33.3226/44.1927","Maplink1")</f>
        <v>Maplink1</v>
      </c>
      <c r="AV670" s="14" t="str">
        <f>HYPERLINK("https://www.google.iq/maps/search/+33.3226,44.1927/@33.3226,44.1927,14z?hl=en","Maplink2")</f>
        <v>Maplink2</v>
      </c>
      <c r="AW670" s="14" t="str">
        <f>HYPERLINK("http://www.bing.com/maps/?lvl=14&amp;sty=h&amp;cp=33.3226~44.1927&amp;sp=point.33.3226_44.1927_Khernabat (North-South)","Maplink3")</f>
        <v>Maplink3</v>
      </c>
    </row>
    <row r="671" spans="1:49" ht="15" customHeight="1" x14ac:dyDescent="0.25">
      <c r="A671" s="21">
        <v>24035</v>
      </c>
      <c r="B671" s="22" t="s">
        <v>11</v>
      </c>
      <c r="C671" s="22" t="s">
        <v>1447</v>
      </c>
      <c r="D671" s="22" t="s">
        <v>1549</v>
      </c>
      <c r="E671" s="22" t="s">
        <v>1550</v>
      </c>
      <c r="F671" s="22">
        <v>33.3250318933</v>
      </c>
      <c r="G671" s="22">
        <v>44.187562745100003</v>
      </c>
      <c r="H671" s="21" t="s">
        <v>1449</v>
      </c>
      <c r="I671" s="21" t="s">
        <v>1450</v>
      </c>
      <c r="J671" s="21" t="s">
        <v>1551</v>
      </c>
      <c r="K671" s="24">
        <v>350</v>
      </c>
      <c r="L671" s="24">
        <v>2100</v>
      </c>
      <c r="M671" s="23">
        <v>350</v>
      </c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>
        <v>106</v>
      </c>
      <c r="AG671" s="23"/>
      <c r="AH671" s="23"/>
      <c r="AI671" s="23"/>
      <c r="AJ671" s="23"/>
      <c r="AK671" s="23">
        <v>244</v>
      </c>
      <c r="AL671" s="23"/>
      <c r="AM671" s="23"/>
      <c r="AN671" s="23"/>
      <c r="AO671" s="23">
        <v>10</v>
      </c>
      <c r="AP671" s="23"/>
      <c r="AQ671" s="23"/>
      <c r="AR671" s="23">
        <v>154</v>
      </c>
      <c r="AS671" s="23">
        <v>186</v>
      </c>
      <c r="AT671" s="23"/>
      <c r="AU671" s="14" t="str">
        <f>HYPERLINK("http://www.openstreetmap.org/?mlat=33.3064&amp;mlon=44.1869&amp;zoom=12#map=12/33.3064/44.1869","Maplink1")</f>
        <v>Maplink1</v>
      </c>
      <c r="AV671" s="14" t="str">
        <f>HYPERLINK("https://www.google.iq/maps/search/+33.3064,44.1869/@33.3064,44.1869,14z?hl=en","Maplink2")</f>
        <v>Maplink2</v>
      </c>
      <c r="AW671" s="14" t="str">
        <f>HYPERLINK("http://www.bing.com/maps/?lvl=14&amp;sty=h&amp;cp=33.3064~44.1869&amp;sp=point.33.3064_44.1869_Sayed Sajit","Maplink3")</f>
        <v>Maplink3</v>
      </c>
    </row>
    <row r="672" spans="1:49" ht="15" customHeight="1" x14ac:dyDescent="0.25">
      <c r="A672" s="21">
        <v>25209</v>
      </c>
      <c r="B672" s="22" t="s">
        <v>11</v>
      </c>
      <c r="C672" s="22" t="s">
        <v>1552</v>
      </c>
      <c r="D672" s="22" t="s">
        <v>1553</v>
      </c>
      <c r="E672" s="22" t="s">
        <v>1554</v>
      </c>
      <c r="F672" s="22">
        <v>33.537057189999999</v>
      </c>
      <c r="G672" s="22">
        <v>44.349406959299998</v>
      </c>
      <c r="H672" s="21" t="s">
        <v>1449</v>
      </c>
      <c r="I672" s="21" t="s">
        <v>1555</v>
      </c>
      <c r="J672" s="21"/>
      <c r="K672" s="24">
        <v>18</v>
      </c>
      <c r="L672" s="24">
        <v>108</v>
      </c>
      <c r="M672" s="23">
        <v>4</v>
      </c>
      <c r="N672" s="23"/>
      <c r="O672" s="23"/>
      <c r="P672" s="23"/>
      <c r="Q672" s="23"/>
      <c r="R672" s="23">
        <v>6</v>
      </c>
      <c r="S672" s="23"/>
      <c r="T672" s="23"/>
      <c r="U672" s="23"/>
      <c r="V672" s="23"/>
      <c r="W672" s="23"/>
      <c r="X672" s="23"/>
      <c r="Y672" s="23"/>
      <c r="Z672" s="23"/>
      <c r="AA672" s="23">
        <v>8</v>
      </c>
      <c r="AB672" s="23"/>
      <c r="AC672" s="23"/>
      <c r="AD672" s="23"/>
      <c r="AE672" s="23"/>
      <c r="AF672" s="23">
        <v>15</v>
      </c>
      <c r="AG672" s="23"/>
      <c r="AH672" s="23"/>
      <c r="AI672" s="23"/>
      <c r="AJ672" s="23"/>
      <c r="AK672" s="23">
        <v>3</v>
      </c>
      <c r="AL672" s="23"/>
      <c r="AM672" s="23"/>
      <c r="AN672" s="23"/>
      <c r="AO672" s="23"/>
      <c r="AP672" s="23"/>
      <c r="AQ672" s="23">
        <v>8</v>
      </c>
      <c r="AR672" s="23">
        <v>6</v>
      </c>
      <c r="AS672" s="23">
        <v>4</v>
      </c>
      <c r="AT672" s="23"/>
      <c r="AU672" s="14" t="str">
        <f>HYPERLINK("http://www.openstreetmap.org/?mlat=33.5361&amp;mlon=44.3342&amp;zoom=12#map=12/33.5361/44.3342","Maplink1")</f>
        <v>Maplink1</v>
      </c>
      <c r="AV672" s="14" t="str">
        <f>HYPERLINK("https://www.google.iq/maps/search/+33.5361,44.3342/@33.5361,44.3342,14z?hl=en","Maplink2")</f>
        <v>Maplink2</v>
      </c>
      <c r="AW672" s="14" t="str">
        <f>HYPERLINK("http://www.bing.com/maps/?lvl=14&amp;sty=h&amp;cp=33.5361~44.3342&amp;sp=point.33.5361_44.3342_Abdualzobaa village","Maplink3")</f>
        <v>Maplink3</v>
      </c>
    </row>
    <row r="673" spans="1:49" ht="15" customHeight="1" x14ac:dyDescent="0.25">
      <c r="A673" s="21">
        <v>24989</v>
      </c>
      <c r="B673" s="22" t="s">
        <v>11</v>
      </c>
      <c r="C673" s="22" t="s">
        <v>1552</v>
      </c>
      <c r="D673" s="22" t="s">
        <v>1556</v>
      </c>
      <c r="E673" s="22" t="s">
        <v>1557</v>
      </c>
      <c r="F673" s="22">
        <v>33.458517967299997</v>
      </c>
      <c r="G673" s="22">
        <v>44.343839532600001</v>
      </c>
      <c r="H673" s="21" t="s">
        <v>1449</v>
      </c>
      <c r="I673" s="21" t="s">
        <v>1555</v>
      </c>
      <c r="J673" s="21"/>
      <c r="K673" s="24">
        <v>30</v>
      </c>
      <c r="L673" s="24">
        <v>180</v>
      </c>
      <c r="M673" s="23"/>
      <c r="N673" s="23"/>
      <c r="O673" s="23"/>
      <c r="P673" s="23"/>
      <c r="Q673" s="23"/>
      <c r="R673" s="23">
        <v>6</v>
      </c>
      <c r="S673" s="23"/>
      <c r="T673" s="23"/>
      <c r="U673" s="23"/>
      <c r="V673" s="23"/>
      <c r="W673" s="23"/>
      <c r="X673" s="23"/>
      <c r="Y673" s="23">
        <v>14</v>
      </c>
      <c r="Z673" s="23"/>
      <c r="AA673" s="23">
        <v>10</v>
      </c>
      <c r="AB673" s="23"/>
      <c r="AC673" s="23"/>
      <c r="AD673" s="23"/>
      <c r="AE673" s="23"/>
      <c r="AF673" s="23">
        <v>2</v>
      </c>
      <c r="AG673" s="23"/>
      <c r="AH673" s="23"/>
      <c r="AI673" s="23"/>
      <c r="AJ673" s="23"/>
      <c r="AK673" s="23">
        <v>28</v>
      </c>
      <c r="AL673" s="23"/>
      <c r="AM673" s="23"/>
      <c r="AN673" s="23"/>
      <c r="AO673" s="23"/>
      <c r="AP673" s="23">
        <v>14</v>
      </c>
      <c r="AQ673" s="23">
        <v>16</v>
      </c>
      <c r="AR673" s="23"/>
      <c r="AS673" s="23"/>
      <c r="AT673" s="23"/>
      <c r="AU673" s="14" t="str">
        <f>HYPERLINK("http://www.openstreetmap.org/?mlat=33.4617&amp;mlon=44.362&amp;zoom=12#map=12/33.4617/44.362","Maplink1")</f>
        <v>Maplink1</v>
      </c>
      <c r="AV673" s="14" t="str">
        <f>HYPERLINK("https://www.google.iq/maps/search/+33.4617,44.362/@33.4617,44.362,14z?hl=en","Maplink2")</f>
        <v>Maplink2</v>
      </c>
      <c r="AW673" s="14" t="str">
        <f>HYPERLINK("http://www.bing.com/maps/?lvl=14&amp;sty=h&amp;cp=33.4617~44.362&amp;sp=point.33.4617_44.362_Abu Guffa Village","Maplink3")</f>
        <v>Maplink3</v>
      </c>
    </row>
    <row r="674" spans="1:49" ht="15" customHeight="1" x14ac:dyDescent="0.25">
      <c r="A674" s="21">
        <v>7717</v>
      </c>
      <c r="B674" s="22" t="s">
        <v>11</v>
      </c>
      <c r="C674" s="22" t="s">
        <v>1552</v>
      </c>
      <c r="D674" s="22" t="s">
        <v>8338</v>
      </c>
      <c r="E674" s="22" t="s">
        <v>7658</v>
      </c>
      <c r="F674" s="22">
        <v>33.367241858500002</v>
      </c>
      <c r="G674" s="22">
        <v>44.363475391999998</v>
      </c>
      <c r="H674" s="21" t="s">
        <v>1449</v>
      </c>
      <c r="I674" s="21" t="s">
        <v>1555</v>
      </c>
      <c r="J674" s="21" t="s">
        <v>1558</v>
      </c>
      <c r="K674" s="24">
        <v>181</v>
      </c>
      <c r="L674" s="24">
        <v>1086</v>
      </c>
      <c r="M674" s="23">
        <v>138</v>
      </c>
      <c r="N674" s="23"/>
      <c r="O674" s="23"/>
      <c r="P674" s="23"/>
      <c r="Q674" s="23"/>
      <c r="R674" s="23">
        <v>3</v>
      </c>
      <c r="S674" s="23"/>
      <c r="T674" s="23"/>
      <c r="U674" s="23"/>
      <c r="V674" s="23"/>
      <c r="W674" s="23"/>
      <c r="X674" s="23"/>
      <c r="Y674" s="23">
        <v>14</v>
      </c>
      <c r="Z674" s="23"/>
      <c r="AA674" s="23">
        <v>26</v>
      </c>
      <c r="AB674" s="23"/>
      <c r="AC674" s="23"/>
      <c r="AD674" s="23"/>
      <c r="AE674" s="23"/>
      <c r="AF674" s="23">
        <v>84</v>
      </c>
      <c r="AG674" s="23"/>
      <c r="AH674" s="23"/>
      <c r="AI674" s="23"/>
      <c r="AJ674" s="23"/>
      <c r="AK674" s="23">
        <v>97</v>
      </c>
      <c r="AL674" s="23"/>
      <c r="AM674" s="23"/>
      <c r="AN674" s="23"/>
      <c r="AO674" s="23">
        <v>41</v>
      </c>
      <c r="AP674" s="23">
        <v>81</v>
      </c>
      <c r="AQ674" s="23"/>
      <c r="AR674" s="23">
        <v>16</v>
      </c>
      <c r="AS674" s="23">
        <v>43</v>
      </c>
      <c r="AT674" s="23"/>
      <c r="AU674" s="14" t="str">
        <f>HYPERLINK("http://www.openstreetmap.org/?mlat=33.3769&amp;mlon=44.3673&amp;zoom=12#map=12/33.3769/44.3673","Maplink1")</f>
        <v>Maplink1</v>
      </c>
      <c r="AV674" s="14" t="str">
        <f>HYPERLINK("https://www.google.iq/maps/search/+33.3769,44.3673/@33.3769,44.3673,14z?hl=en","Maplink2")</f>
        <v>Maplink2</v>
      </c>
      <c r="AW674" s="14" t="str">
        <f>HYPERLINK("http://www.bing.com/maps/?lvl=14&amp;sty=h&amp;cp=33.3769~44.3673&amp;sp=point.33.3769_44.3673_Adhamia 308","Maplink3")</f>
        <v>Maplink3</v>
      </c>
    </row>
    <row r="675" spans="1:49" ht="15" customHeight="1" x14ac:dyDescent="0.25">
      <c r="A675" s="21">
        <v>7730</v>
      </c>
      <c r="B675" s="22" t="s">
        <v>11</v>
      </c>
      <c r="C675" s="22" t="s">
        <v>1552</v>
      </c>
      <c r="D675" s="22" t="s">
        <v>8339</v>
      </c>
      <c r="E675" s="22" t="s">
        <v>7659</v>
      </c>
      <c r="F675" s="22">
        <v>33.3687742125</v>
      </c>
      <c r="G675" s="22">
        <v>44.357466671799997</v>
      </c>
      <c r="H675" s="21" t="s">
        <v>1449</v>
      </c>
      <c r="I675" s="21" t="s">
        <v>1555</v>
      </c>
      <c r="J675" s="21" t="s">
        <v>1559</v>
      </c>
      <c r="K675" s="24">
        <v>505</v>
      </c>
      <c r="L675" s="24">
        <v>3030</v>
      </c>
      <c r="M675" s="23">
        <v>371</v>
      </c>
      <c r="N675" s="23"/>
      <c r="O675" s="23"/>
      <c r="P675" s="23"/>
      <c r="Q675" s="23"/>
      <c r="R675" s="23">
        <v>5</v>
      </c>
      <c r="S675" s="23"/>
      <c r="T675" s="23"/>
      <c r="U675" s="23"/>
      <c r="V675" s="23"/>
      <c r="W675" s="23"/>
      <c r="X675" s="23"/>
      <c r="Y675" s="23">
        <v>79</v>
      </c>
      <c r="Z675" s="23"/>
      <c r="AA675" s="23">
        <v>50</v>
      </c>
      <c r="AB675" s="23"/>
      <c r="AC675" s="23"/>
      <c r="AD675" s="23"/>
      <c r="AE675" s="23"/>
      <c r="AF675" s="23">
        <v>92</v>
      </c>
      <c r="AG675" s="23"/>
      <c r="AH675" s="23">
        <v>115</v>
      </c>
      <c r="AI675" s="23"/>
      <c r="AJ675" s="23">
        <v>17</v>
      </c>
      <c r="AK675" s="23">
        <v>281</v>
      </c>
      <c r="AL675" s="23"/>
      <c r="AM675" s="23"/>
      <c r="AN675" s="23"/>
      <c r="AO675" s="23">
        <v>154</v>
      </c>
      <c r="AP675" s="23">
        <v>43</v>
      </c>
      <c r="AQ675" s="23">
        <v>21</v>
      </c>
      <c r="AR675" s="23">
        <v>147</v>
      </c>
      <c r="AS675" s="23">
        <v>131</v>
      </c>
      <c r="AT675" s="23">
        <v>9</v>
      </c>
      <c r="AU675" s="14" t="str">
        <f>HYPERLINK("http://www.openstreetmap.org/?mlat=33.3722&amp;mlon=44.3627&amp;zoom=12#map=12/33.3722/44.3627","Maplink1")</f>
        <v>Maplink1</v>
      </c>
      <c r="AV675" s="14" t="str">
        <f>HYPERLINK("https://www.google.iq/maps/search/+33.3722,44.3627/@33.3722,44.3627,14z?hl=en","Maplink2")</f>
        <v>Maplink2</v>
      </c>
      <c r="AW675" s="14" t="str">
        <f>HYPERLINK("http://www.bing.com/maps/?lvl=14&amp;sty=h&amp;cp=33.3722~44.3627&amp;sp=point.33.3722_44.3627_Adhamia 312","Maplink3")</f>
        <v>Maplink3</v>
      </c>
    </row>
    <row r="676" spans="1:49" ht="15" customHeight="1" x14ac:dyDescent="0.25">
      <c r="A676" s="21">
        <v>23646</v>
      </c>
      <c r="B676" s="22" t="s">
        <v>11</v>
      </c>
      <c r="C676" s="22" t="s">
        <v>1552</v>
      </c>
      <c r="D676" s="22" t="s">
        <v>1560</v>
      </c>
      <c r="E676" s="22" t="s">
        <v>1561</v>
      </c>
      <c r="F676" s="22">
        <v>33.376857632799997</v>
      </c>
      <c r="G676" s="22">
        <v>44.362131632100002</v>
      </c>
      <c r="H676" s="21" t="s">
        <v>1449</v>
      </c>
      <c r="I676" s="21" t="s">
        <v>1555</v>
      </c>
      <c r="J676" s="21" t="s">
        <v>1562</v>
      </c>
      <c r="K676" s="24">
        <v>546</v>
      </c>
      <c r="L676" s="24">
        <v>3276</v>
      </c>
      <c r="M676" s="23">
        <v>299</v>
      </c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>
        <v>247</v>
      </c>
      <c r="AB676" s="23"/>
      <c r="AC676" s="23"/>
      <c r="AD676" s="23"/>
      <c r="AE676" s="23"/>
      <c r="AF676" s="23">
        <v>546</v>
      </c>
      <c r="AG676" s="23"/>
      <c r="AH676" s="23"/>
      <c r="AI676" s="23"/>
      <c r="AJ676" s="23"/>
      <c r="AK676" s="23"/>
      <c r="AL676" s="23"/>
      <c r="AM676" s="23"/>
      <c r="AN676" s="23"/>
      <c r="AO676" s="23">
        <v>57</v>
      </c>
      <c r="AP676" s="23">
        <v>64</v>
      </c>
      <c r="AQ676" s="23">
        <v>113</v>
      </c>
      <c r="AR676" s="23">
        <v>128</v>
      </c>
      <c r="AS676" s="23">
        <v>159</v>
      </c>
      <c r="AT676" s="23">
        <v>25</v>
      </c>
      <c r="AU676" s="14" t="str">
        <f>HYPERLINK("http://www.openstreetmap.org/?mlat=33.3669&amp;mlon=44.3711&amp;zoom=12#map=12/33.3669/44.3711","Maplink1")</f>
        <v>Maplink1</v>
      </c>
      <c r="AV676" s="14" t="str">
        <f>HYPERLINK("https://www.google.iq/maps/search/+33.3669,44.3711/@33.3669,44.3711,14z?hl=en","Maplink2")</f>
        <v>Maplink2</v>
      </c>
      <c r="AW676" s="14" t="str">
        <f>HYPERLINK("http://www.bing.com/maps/?lvl=14&amp;sty=h&amp;cp=33.3669~44.3711&amp;sp=point.33.3669_44.3711_Adhamia-314","Maplink3")</f>
        <v>Maplink3</v>
      </c>
    </row>
    <row r="677" spans="1:49" ht="15" customHeight="1" x14ac:dyDescent="0.25">
      <c r="A677" s="21">
        <v>23728</v>
      </c>
      <c r="B677" s="22" t="s">
        <v>11</v>
      </c>
      <c r="C677" s="22" t="s">
        <v>1552</v>
      </c>
      <c r="D677" s="22" t="s">
        <v>1563</v>
      </c>
      <c r="E677" s="22" t="s">
        <v>7660</v>
      </c>
      <c r="F677" s="22">
        <v>33.362056657899998</v>
      </c>
      <c r="G677" s="22">
        <v>44.353814722700001</v>
      </c>
      <c r="H677" s="21" t="s">
        <v>1449</v>
      </c>
      <c r="I677" s="21" t="s">
        <v>1555</v>
      </c>
      <c r="J677" s="21" t="s">
        <v>1564</v>
      </c>
      <c r="K677" s="24">
        <v>218</v>
      </c>
      <c r="L677" s="24">
        <v>1308</v>
      </c>
      <c r="M677" s="23">
        <v>128</v>
      </c>
      <c r="N677" s="23"/>
      <c r="O677" s="23"/>
      <c r="P677" s="23"/>
      <c r="Q677" s="23"/>
      <c r="R677" s="23">
        <v>4</v>
      </c>
      <c r="S677" s="23"/>
      <c r="T677" s="23"/>
      <c r="U677" s="23"/>
      <c r="V677" s="23"/>
      <c r="W677" s="23"/>
      <c r="X677" s="23"/>
      <c r="Y677" s="23">
        <v>41</v>
      </c>
      <c r="Z677" s="23"/>
      <c r="AA677" s="23">
        <v>45</v>
      </c>
      <c r="AB677" s="23"/>
      <c r="AC677" s="23"/>
      <c r="AD677" s="23"/>
      <c r="AE677" s="23"/>
      <c r="AF677" s="23">
        <v>55</v>
      </c>
      <c r="AG677" s="23"/>
      <c r="AH677" s="23">
        <v>13</v>
      </c>
      <c r="AI677" s="23"/>
      <c r="AJ677" s="23"/>
      <c r="AK677" s="23">
        <v>80</v>
      </c>
      <c r="AL677" s="23"/>
      <c r="AM677" s="23">
        <v>70</v>
      </c>
      <c r="AN677" s="23"/>
      <c r="AO677" s="23">
        <v>26</v>
      </c>
      <c r="AP677" s="23">
        <v>23</v>
      </c>
      <c r="AQ677" s="23">
        <v>31</v>
      </c>
      <c r="AR677" s="23">
        <v>49</v>
      </c>
      <c r="AS677" s="23">
        <v>72</v>
      </c>
      <c r="AT677" s="23">
        <v>17</v>
      </c>
      <c r="AU677" s="14" t="str">
        <f>HYPERLINK("http://www.openstreetmap.org/?mlat=33.3665&amp;mlon=44.3573&amp;zoom=12#map=12/33.3665/44.3573","Maplink1")</f>
        <v>Maplink1</v>
      </c>
      <c r="AV677" s="14" t="str">
        <f>HYPERLINK("https://www.google.iq/maps/search/+33.3665,44.3573/@33.3665,44.3573,14z?hl=en","Maplink2")</f>
        <v>Maplink2</v>
      </c>
      <c r="AW677" s="14" t="str">
        <f>HYPERLINK("http://www.bing.com/maps/?lvl=14&amp;sty=h&amp;cp=33.3665~44.3573&amp;sp=point.33.3665_44.3573_Adhamiya-310","Maplink3")</f>
        <v>Maplink3</v>
      </c>
    </row>
    <row r="678" spans="1:49" ht="15" customHeight="1" x14ac:dyDescent="0.25">
      <c r="A678" s="21">
        <v>27192</v>
      </c>
      <c r="B678" s="22" t="s">
        <v>11</v>
      </c>
      <c r="C678" s="22" t="s">
        <v>1552</v>
      </c>
      <c r="D678" s="22" t="s">
        <v>1566</v>
      </c>
      <c r="E678" s="22" t="s">
        <v>1567</v>
      </c>
      <c r="F678" s="22">
        <v>33.533329999999999</v>
      </c>
      <c r="G678" s="22">
        <v>44.345939999999999</v>
      </c>
      <c r="H678" s="21"/>
      <c r="I678" s="21"/>
      <c r="J678" s="21"/>
      <c r="K678" s="24">
        <v>15</v>
      </c>
      <c r="L678" s="24">
        <v>90</v>
      </c>
      <c r="M678" s="23">
        <v>14</v>
      </c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>
        <v>1</v>
      </c>
      <c r="Z678" s="23"/>
      <c r="AA678" s="23"/>
      <c r="AB678" s="23"/>
      <c r="AC678" s="23"/>
      <c r="AD678" s="23"/>
      <c r="AE678" s="23"/>
      <c r="AF678" s="23">
        <v>15</v>
      </c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>
        <v>3</v>
      </c>
      <c r="AS678" s="23">
        <v>12</v>
      </c>
      <c r="AT678" s="23"/>
      <c r="AU678" s="14" t="str">
        <f>HYPERLINK("http://www.openstreetmap.org/?mlat=33.564&amp;mlon=44.3315&amp;zoom=12#map=12/33.564/44.3315","Maplink1")</f>
        <v>Maplink1</v>
      </c>
      <c r="AV678" s="14" t="str">
        <f>HYPERLINK("https://www.google.iq/maps/search/+33.564,44.3315/@33.564,44.3315,14z?hl=en","Maplink2")</f>
        <v>Maplink2</v>
      </c>
      <c r="AW678" s="14" t="str">
        <f>HYPERLINK("http://www.bing.com/maps/?lvl=14&amp;sty=h&amp;cp=33.564~44.3315&amp;sp=point.33.564_44.3315_Al Arakna Village","Maplink3")</f>
        <v>Maplink3</v>
      </c>
    </row>
    <row r="679" spans="1:49" ht="15" customHeight="1" x14ac:dyDescent="0.25">
      <c r="A679" s="21">
        <v>7331</v>
      </c>
      <c r="B679" s="22" t="s">
        <v>11</v>
      </c>
      <c r="C679" s="22" t="s">
        <v>1552</v>
      </c>
      <c r="D679" s="22" t="s">
        <v>1568</v>
      </c>
      <c r="E679" s="22" t="s">
        <v>1569</v>
      </c>
      <c r="F679" s="22">
        <v>33.553470816699999</v>
      </c>
      <c r="G679" s="22">
        <v>44.383077791300003</v>
      </c>
      <c r="H679" s="21" t="s">
        <v>1449</v>
      </c>
      <c r="I679" s="21" t="s">
        <v>1555</v>
      </c>
      <c r="J679" s="21" t="s">
        <v>1570</v>
      </c>
      <c r="K679" s="24">
        <v>10</v>
      </c>
      <c r="L679" s="24">
        <v>60</v>
      </c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>
        <v>10</v>
      </c>
      <c r="AB679" s="23"/>
      <c r="AC679" s="23"/>
      <c r="AD679" s="23"/>
      <c r="AE679" s="23"/>
      <c r="AF679" s="23">
        <v>5</v>
      </c>
      <c r="AG679" s="23"/>
      <c r="AH679" s="23"/>
      <c r="AI679" s="23"/>
      <c r="AJ679" s="23"/>
      <c r="AK679" s="23">
        <v>5</v>
      </c>
      <c r="AL679" s="23"/>
      <c r="AM679" s="23"/>
      <c r="AN679" s="23"/>
      <c r="AO679" s="23"/>
      <c r="AP679" s="23"/>
      <c r="AQ679" s="23">
        <v>8</v>
      </c>
      <c r="AR679" s="23">
        <v>2</v>
      </c>
      <c r="AS679" s="23"/>
      <c r="AT679" s="23"/>
      <c r="AU679" s="14" t="str">
        <f>HYPERLINK("http://www.openstreetmap.org/?mlat=33.5413&amp;mlon=44.3812&amp;zoom=12#map=12/33.5413/44.3812","Maplink1")</f>
        <v>Maplink1</v>
      </c>
      <c r="AV679" s="14" t="str">
        <f>HYPERLINK("https://www.google.iq/maps/search/+33.5413,44.3812/@33.5413,44.3812,14z?hl=en","Maplink2")</f>
        <v>Maplink2</v>
      </c>
      <c r="AW679" s="14" t="str">
        <f>HYPERLINK("http://www.bing.com/maps/?lvl=14&amp;sty=h&amp;cp=33.5413~44.3812&amp;sp=point.33.5413_44.3812_Al Badaa village","Maplink3")</f>
        <v>Maplink3</v>
      </c>
    </row>
    <row r="680" spans="1:49" ht="15" customHeight="1" x14ac:dyDescent="0.25">
      <c r="A680" s="21">
        <v>24175</v>
      </c>
      <c r="B680" s="22" t="s">
        <v>11</v>
      </c>
      <c r="C680" s="22" t="s">
        <v>1552</v>
      </c>
      <c r="D680" s="22" t="s">
        <v>1574</v>
      </c>
      <c r="E680" s="22" t="s">
        <v>7661</v>
      </c>
      <c r="F680" s="22">
        <v>33.418802046099998</v>
      </c>
      <c r="G680" s="22">
        <v>44.381247328299999</v>
      </c>
      <c r="H680" s="21" t="s">
        <v>1449</v>
      </c>
      <c r="I680" s="21" t="s">
        <v>1555</v>
      </c>
      <c r="J680" s="21" t="s">
        <v>1575</v>
      </c>
      <c r="K680" s="24">
        <v>50</v>
      </c>
      <c r="L680" s="24">
        <v>300</v>
      </c>
      <c r="M680" s="23">
        <v>11</v>
      </c>
      <c r="N680" s="23"/>
      <c r="O680" s="23"/>
      <c r="P680" s="23"/>
      <c r="Q680" s="23"/>
      <c r="R680" s="23">
        <v>7</v>
      </c>
      <c r="S680" s="23"/>
      <c r="T680" s="23"/>
      <c r="U680" s="23"/>
      <c r="V680" s="23"/>
      <c r="W680" s="23"/>
      <c r="X680" s="23"/>
      <c r="Y680" s="23">
        <v>32</v>
      </c>
      <c r="Z680" s="23"/>
      <c r="AA680" s="23"/>
      <c r="AB680" s="23"/>
      <c r="AC680" s="23"/>
      <c r="AD680" s="23"/>
      <c r="AE680" s="23"/>
      <c r="AF680" s="23">
        <v>17</v>
      </c>
      <c r="AG680" s="23"/>
      <c r="AH680" s="23"/>
      <c r="AI680" s="23"/>
      <c r="AJ680" s="23"/>
      <c r="AK680" s="23">
        <v>33</v>
      </c>
      <c r="AL680" s="23"/>
      <c r="AM680" s="23"/>
      <c r="AN680" s="23"/>
      <c r="AO680" s="23"/>
      <c r="AP680" s="23">
        <v>47</v>
      </c>
      <c r="AQ680" s="23"/>
      <c r="AR680" s="23"/>
      <c r="AS680" s="23">
        <v>3</v>
      </c>
      <c r="AT680" s="23"/>
      <c r="AU680" s="14" t="str">
        <f>HYPERLINK("http://www.openstreetmap.org/?mlat=33.4174&amp;mlon=44.3703&amp;zoom=12#map=12/33.4174/44.3703","Maplink1")</f>
        <v>Maplink1</v>
      </c>
      <c r="AV680" s="14" t="str">
        <f>HYPERLINK("https://www.google.iq/maps/search/+33.4174,44.3703/@33.4174,44.3703,14z?hl=en","Maplink2")</f>
        <v>Maplink2</v>
      </c>
      <c r="AW680" s="14" t="str">
        <f>HYPERLINK("http://www.bing.com/maps/?lvl=14&amp;sty=h&amp;cp=33.4174~44.3703&amp;sp=point.33.4174_44.3703_Al Basaten Al sadren complex","Maplink3")</f>
        <v>Maplink3</v>
      </c>
    </row>
    <row r="681" spans="1:49" ht="15" customHeight="1" x14ac:dyDescent="0.25">
      <c r="A681" s="21">
        <v>24173</v>
      </c>
      <c r="B681" s="22" t="s">
        <v>11</v>
      </c>
      <c r="C681" s="22" t="s">
        <v>1552</v>
      </c>
      <c r="D681" s="22" t="s">
        <v>8340</v>
      </c>
      <c r="E681" s="22" t="s">
        <v>8341</v>
      </c>
      <c r="F681" s="22">
        <v>33.433089207099997</v>
      </c>
      <c r="G681" s="22">
        <v>44.379268101800001</v>
      </c>
      <c r="H681" s="21" t="s">
        <v>1449</v>
      </c>
      <c r="I681" s="21" t="s">
        <v>1555</v>
      </c>
      <c r="J681" s="21" t="s">
        <v>1571</v>
      </c>
      <c r="K681" s="24">
        <v>36</v>
      </c>
      <c r="L681" s="24">
        <v>216</v>
      </c>
      <c r="M681" s="23">
        <v>19</v>
      </c>
      <c r="N681" s="23">
        <v>5</v>
      </c>
      <c r="O681" s="23"/>
      <c r="P681" s="23"/>
      <c r="Q681" s="23"/>
      <c r="R681" s="23">
        <v>7</v>
      </c>
      <c r="S681" s="23"/>
      <c r="T681" s="23"/>
      <c r="U681" s="23"/>
      <c r="V681" s="23"/>
      <c r="W681" s="23"/>
      <c r="X681" s="23"/>
      <c r="Y681" s="23"/>
      <c r="Z681" s="23"/>
      <c r="AA681" s="23">
        <v>5</v>
      </c>
      <c r="AB681" s="23"/>
      <c r="AC681" s="23"/>
      <c r="AD681" s="23"/>
      <c r="AE681" s="23"/>
      <c r="AF681" s="23">
        <v>8</v>
      </c>
      <c r="AG681" s="23"/>
      <c r="AH681" s="23"/>
      <c r="AI681" s="23"/>
      <c r="AJ681" s="23"/>
      <c r="AK681" s="23">
        <v>28</v>
      </c>
      <c r="AL681" s="23"/>
      <c r="AM681" s="23"/>
      <c r="AN681" s="23"/>
      <c r="AO681" s="23"/>
      <c r="AP681" s="23">
        <v>11</v>
      </c>
      <c r="AQ681" s="23"/>
      <c r="AR681" s="23">
        <v>6</v>
      </c>
      <c r="AS681" s="23">
        <v>19</v>
      </c>
      <c r="AT681" s="23"/>
      <c r="AU681" s="14" t="str">
        <f>HYPERLINK("http://www.openstreetmap.org/?mlat=33.4088&amp;mlon=44.3754&amp;zoom=12#map=12/33.4088/44.3754","Maplink1")</f>
        <v>Maplink1</v>
      </c>
      <c r="AV681" s="14" t="str">
        <f>HYPERLINK("https://www.google.iq/maps/search/+33.4088,44.3754/@33.4088,44.3754,14z?hl=en","Maplink2")</f>
        <v>Maplink2</v>
      </c>
      <c r="AW681" s="14" t="str">
        <f>HYPERLINK("http://www.bing.com/maps/?lvl=14&amp;sty=h&amp;cp=33.4088~44.3754&amp;sp=point.33.4088_44.3754_Al Basaten","Maplink3")</f>
        <v>Maplink3</v>
      </c>
    </row>
    <row r="682" spans="1:49" ht="15" customHeight="1" x14ac:dyDescent="0.25">
      <c r="A682" s="21">
        <v>22612</v>
      </c>
      <c r="B682" s="22" t="s">
        <v>11</v>
      </c>
      <c r="C682" s="22" t="s">
        <v>1552</v>
      </c>
      <c r="D682" s="22" t="s">
        <v>7396</v>
      </c>
      <c r="E682" s="22" t="s">
        <v>7662</v>
      </c>
      <c r="F682" s="22">
        <v>33.411913949700001</v>
      </c>
      <c r="G682" s="22">
        <v>44.380905661699998</v>
      </c>
      <c r="H682" s="21" t="s">
        <v>1449</v>
      </c>
      <c r="I682" s="21" t="s">
        <v>1555</v>
      </c>
      <c r="J682" s="21" t="s">
        <v>1572</v>
      </c>
      <c r="K682" s="24">
        <v>67</v>
      </c>
      <c r="L682" s="24">
        <v>402</v>
      </c>
      <c r="M682" s="23">
        <v>45</v>
      </c>
      <c r="N682" s="23"/>
      <c r="O682" s="23"/>
      <c r="P682" s="23"/>
      <c r="Q682" s="23"/>
      <c r="R682" s="23">
        <v>4</v>
      </c>
      <c r="S682" s="23"/>
      <c r="T682" s="23"/>
      <c r="U682" s="23"/>
      <c r="V682" s="23"/>
      <c r="W682" s="23"/>
      <c r="X682" s="23"/>
      <c r="Y682" s="23">
        <v>11</v>
      </c>
      <c r="Z682" s="23"/>
      <c r="AA682" s="23">
        <v>7</v>
      </c>
      <c r="AB682" s="23"/>
      <c r="AC682" s="23"/>
      <c r="AD682" s="23"/>
      <c r="AE682" s="23"/>
      <c r="AF682" s="23">
        <v>24</v>
      </c>
      <c r="AG682" s="23"/>
      <c r="AH682" s="23"/>
      <c r="AI682" s="23"/>
      <c r="AJ682" s="23"/>
      <c r="AK682" s="23">
        <v>43</v>
      </c>
      <c r="AL682" s="23"/>
      <c r="AM682" s="23"/>
      <c r="AN682" s="23"/>
      <c r="AO682" s="23">
        <v>9</v>
      </c>
      <c r="AP682" s="23">
        <v>18</v>
      </c>
      <c r="AQ682" s="23"/>
      <c r="AR682" s="23">
        <v>11</v>
      </c>
      <c r="AS682" s="23">
        <v>29</v>
      </c>
      <c r="AT682" s="23"/>
      <c r="AU682" s="14" t="str">
        <f>HYPERLINK("http://www.openstreetmap.org/?mlat=33.4174&amp;mlon=44.3703&amp;zoom=12#map=12/33.4174/44.3703","Maplink1")</f>
        <v>Maplink1</v>
      </c>
      <c r="AV682" s="14" t="str">
        <f>HYPERLINK("https://www.google.iq/maps/search/+33.4174,44.3703/@33.4174,44.3703,14z?hl=en","Maplink2")</f>
        <v>Maplink2</v>
      </c>
      <c r="AW682" s="14" t="str">
        <f>HYPERLINK("http://www.bing.com/maps/?lvl=14&amp;sty=h&amp;cp=33.4174~44.3703&amp;sp=point.33.4174_44.3703_Al Basaten - 346 ","Maplink3")</f>
        <v>Maplink3</v>
      </c>
    </row>
    <row r="683" spans="1:49" ht="15" customHeight="1" x14ac:dyDescent="0.25">
      <c r="A683" s="21">
        <v>22696</v>
      </c>
      <c r="B683" s="22" t="s">
        <v>11</v>
      </c>
      <c r="C683" s="22" t="s">
        <v>1552</v>
      </c>
      <c r="D683" s="22" t="s">
        <v>7397</v>
      </c>
      <c r="E683" s="22" t="s">
        <v>7663</v>
      </c>
      <c r="F683" s="22">
        <v>33.426874710500002</v>
      </c>
      <c r="G683" s="22">
        <v>44.379967628499998</v>
      </c>
      <c r="H683" s="21" t="s">
        <v>1449</v>
      </c>
      <c r="I683" s="21" t="s">
        <v>1555</v>
      </c>
      <c r="J683" s="21" t="s">
        <v>1573</v>
      </c>
      <c r="K683" s="24">
        <v>19</v>
      </c>
      <c r="L683" s="24">
        <v>114</v>
      </c>
      <c r="M683" s="23">
        <v>10</v>
      </c>
      <c r="N683" s="23"/>
      <c r="O683" s="23"/>
      <c r="P683" s="23"/>
      <c r="Q683" s="23"/>
      <c r="R683" s="23">
        <v>2</v>
      </c>
      <c r="S683" s="23"/>
      <c r="T683" s="23"/>
      <c r="U683" s="23"/>
      <c r="V683" s="23"/>
      <c r="W683" s="23"/>
      <c r="X683" s="23"/>
      <c r="Y683" s="23">
        <v>5</v>
      </c>
      <c r="Z683" s="23"/>
      <c r="AA683" s="23">
        <v>2</v>
      </c>
      <c r="AB683" s="23"/>
      <c r="AC683" s="23"/>
      <c r="AD683" s="23"/>
      <c r="AE683" s="23"/>
      <c r="AF683" s="23">
        <v>3</v>
      </c>
      <c r="AG683" s="23"/>
      <c r="AH683" s="23"/>
      <c r="AI683" s="23"/>
      <c r="AJ683" s="23"/>
      <c r="AK683" s="23">
        <v>16</v>
      </c>
      <c r="AL683" s="23"/>
      <c r="AM683" s="23"/>
      <c r="AN683" s="23"/>
      <c r="AO683" s="23"/>
      <c r="AP683" s="23">
        <v>5</v>
      </c>
      <c r="AQ683" s="23"/>
      <c r="AR683" s="23">
        <v>12</v>
      </c>
      <c r="AS683" s="23">
        <v>2</v>
      </c>
      <c r="AT683" s="23"/>
      <c r="AU683" s="14" t="str">
        <f>HYPERLINK("http://www.openstreetmap.org/?mlat=33.4174&amp;mlon=44.3703&amp;zoom=12#map=12/33.4174/44.3703","Maplink1")</f>
        <v>Maplink1</v>
      </c>
      <c r="AV683" s="14" t="str">
        <f>HYPERLINK("https://www.google.iq/maps/search/+33.4174,44.3703/@33.4174,44.3703,14z?hl=en","Maplink2")</f>
        <v>Maplink2</v>
      </c>
      <c r="AW683" s="14" t="str">
        <f>HYPERLINK("http://www.bing.com/maps/?lvl=14&amp;sty=h&amp;cp=33.4174~44.3703&amp;sp=point.33.4174_44.3703_Al Basaten - 348","Maplink3")</f>
        <v>Maplink3</v>
      </c>
    </row>
    <row r="684" spans="1:49" ht="15" customHeight="1" x14ac:dyDescent="0.25">
      <c r="A684" s="21">
        <v>7740</v>
      </c>
      <c r="B684" s="22" t="s">
        <v>11</v>
      </c>
      <c r="C684" s="22" t="s">
        <v>1552</v>
      </c>
      <c r="D684" s="22" t="s">
        <v>1576</v>
      </c>
      <c r="E684" s="22" t="s">
        <v>1577</v>
      </c>
      <c r="F684" s="22">
        <v>33.454207540500001</v>
      </c>
      <c r="G684" s="22">
        <v>44.335562931399998</v>
      </c>
      <c r="H684" s="21" t="s">
        <v>1449</v>
      </c>
      <c r="I684" s="21" t="s">
        <v>1555</v>
      </c>
      <c r="J684" s="21" t="s">
        <v>1578</v>
      </c>
      <c r="K684" s="24">
        <v>24</v>
      </c>
      <c r="L684" s="24">
        <v>144</v>
      </c>
      <c r="M684" s="23">
        <v>18</v>
      </c>
      <c r="N684" s="23"/>
      <c r="O684" s="23"/>
      <c r="P684" s="23"/>
      <c r="Q684" s="23"/>
      <c r="R684" s="23">
        <v>6</v>
      </c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>
        <v>8</v>
      </c>
      <c r="AG684" s="23"/>
      <c r="AH684" s="23"/>
      <c r="AI684" s="23"/>
      <c r="AJ684" s="23"/>
      <c r="AK684" s="23">
        <v>16</v>
      </c>
      <c r="AL684" s="23"/>
      <c r="AM684" s="23"/>
      <c r="AN684" s="23"/>
      <c r="AO684" s="23"/>
      <c r="AP684" s="23"/>
      <c r="AQ684" s="23">
        <v>18</v>
      </c>
      <c r="AR684" s="23">
        <v>6</v>
      </c>
      <c r="AS684" s="23"/>
      <c r="AT684" s="23"/>
      <c r="AU684" s="14" t="str">
        <f>HYPERLINK("http://www.openstreetmap.org/?mlat=33.4614&amp;mlon=44.362&amp;zoom=12#map=12/33.4614/44.362","Maplink1")</f>
        <v>Maplink1</v>
      </c>
      <c r="AV684" s="14" t="str">
        <f>HYPERLINK("https://www.google.iq/maps/search/+33.4614,44.362/@33.4614,44.362,14z?hl=en","Maplink2")</f>
        <v>Maplink2</v>
      </c>
      <c r="AW684" s="14" t="str">
        <f>HYPERLINK("http://www.bing.com/maps/?lvl=14&amp;sty=h&amp;cp=33.4614~44.362&amp;sp=point.33.4614_44.362_Al Bayariq village","Maplink3")</f>
        <v>Maplink3</v>
      </c>
    </row>
    <row r="685" spans="1:49" ht="15" customHeight="1" x14ac:dyDescent="0.25">
      <c r="A685" s="21">
        <v>23732</v>
      </c>
      <c r="B685" s="22" t="s">
        <v>11</v>
      </c>
      <c r="C685" s="22" t="s">
        <v>1552</v>
      </c>
      <c r="D685" s="22" t="s">
        <v>8342</v>
      </c>
      <c r="E685" s="22" t="s">
        <v>7677</v>
      </c>
      <c r="F685" s="22">
        <v>33.399112549999998</v>
      </c>
      <c r="G685" s="22">
        <v>44.4016647654</v>
      </c>
      <c r="H685" s="21" t="s">
        <v>1449</v>
      </c>
      <c r="I685" s="21" t="s">
        <v>1555</v>
      </c>
      <c r="J685" s="21" t="s">
        <v>1672</v>
      </c>
      <c r="K685" s="24">
        <v>72</v>
      </c>
      <c r="L685" s="24">
        <v>432</v>
      </c>
      <c r="M685" s="23">
        <v>11</v>
      </c>
      <c r="N685" s="23"/>
      <c r="O685" s="23"/>
      <c r="P685" s="23"/>
      <c r="Q685" s="23"/>
      <c r="R685" s="23">
        <v>8</v>
      </c>
      <c r="S685" s="23"/>
      <c r="T685" s="23"/>
      <c r="U685" s="23"/>
      <c r="V685" s="23"/>
      <c r="W685" s="23"/>
      <c r="X685" s="23"/>
      <c r="Y685" s="23">
        <v>36</v>
      </c>
      <c r="Z685" s="23"/>
      <c r="AA685" s="23">
        <v>17</v>
      </c>
      <c r="AB685" s="23"/>
      <c r="AC685" s="23"/>
      <c r="AD685" s="23"/>
      <c r="AE685" s="23"/>
      <c r="AF685" s="23">
        <v>21</v>
      </c>
      <c r="AG685" s="23"/>
      <c r="AH685" s="23"/>
      <c r="AI685" s="23"/>
      <c r="AJ685" s="23"/>
      <c r="AK685" s="23">
        <v>51</v>
      </c>
      <c r="AL685" s="23"/>
      <c r="AM685" s="23"/>
      <c r="AN685" s="23"/>
      <c r="AO685" s="23">
        <v>9</v>
      </c>
      <c r="AP685" s="23">
        <v>16</v>
      </c>
      <c r="AQ685" s="23">
        <v>7</v>
      </c>
      <c r="AR685" s="23">
        <v>34</v>
      </c>
      <c r="AS685" s="23">
        <v>6</v>
      </c>
      <c r="AT685" s="23"/>
      <c r="AU685" s="14" t="str">
        <f>HYPERLINK("http://www.openstreetmap.org/?mlat=33.3824&amp;mlon=44.4146&amp;zoom=12#map=12/33.3824/44.4146","Maplink1")</f>
        <v>Maplink1</v>
      </c>
      <c r="AV685" s="14" t="str">
        <f>HYPERLINK("https://www.google.iq/maps/search/+33.3824,44.4146/@33.3824,44.4146,14z?hl=en","Maplink2")</f>
        <v>Maplink2</v>
      </c>
      <c r="AW685" s="14" t="str">
        <f>HYPERLINK("http://www.bing.com/maps/?lvl=14&amp;sty=h&amp;cp=33.3824~44.4146&amp;sp=point.33.3824_44.4146_Al-baida-315","Maplink3")</f>
        <v>Maplink3</v>
      </c>
    </row>
    <row r="686" spans="1:49" ht="15" customHeight="1" x14ac:dyDescent="0.25">
      <c r="A686" s="21">
        <v>27117</v>
      </c>
      <c r="B686" s="22" t="s">
        <v>11</v>
      </c>
      <c r="C686" s="22" t="s">
        <v>1552</v>
      </c>
      <c r="D686" s="22" t="s">
        <v>8343</v>
      </c>
      <c r="E686" s="22" t="s">
        <v>7678</v>
      </c>
      <c r="F686" s="22">
        <v>33.400371557100001</v>
      </c>
      <c r="G686" s="22">
        <v>44.406720475500002</v>
      </c>
      <c r="H686" s="21" t="s">
        <v>1449</v>
      </c>
      <c r="I686" s="21" t="s">
        <v>1555</v>
      </c>
      <c r="J686" s="21"/>
      <c r="K686" s="24">
        <v>86</v>
      </c>
      <c r="L686" s="24">
        <v>516</v>
      </c>
      <c r="M686" s="23">
        <v>10</v>
      </c>
      <c r="N686" s="23"/>
      <c r="O686" s="23"/>
      <c r="P686" s="23"/>
      <c r="Q686" s="23"/>
      <c r="R686" s="23">
        <v>5</v>
      </c>
      <c r="S686" s="23"/>
      <c r="T686" s="23"/>
      <c r="U686" s="23"/>
      <c r="V686" s="23"/>
      <c r="W686" s="23"/>
      <c r="X686" s="23"/>
      <c r="Y686" s="23">
        <v>58</v>
      </c>
      <c r="Z686" s="23"/>
      <c r="AA686" s="23">
        <v>13</v>
      </c>
      <c r="AB686" s="23"/>
      <c r="AC686" s="23"/>
      <c r="AD686" s="23"/>
      <c r="AE686" s="23"/>
      <c r="AF686" s="23">
        <v>25</v>
      </c>
      <c r="AG686" s="23"/>
      <c r="AH686" s="23"/>
      <c r="AI686" s="23"/>
      <c r="AJ686" s="23"/>
      <c r="AK686" s="23">
        <v>61</v>
      </c>
      <c r="AL686" s="23"/>
      <c r="AM686" s="23"/>
      <c r="AN686" s="23"/>
      <c r="AO686" s="23"/>
      <c r="AP686" s="23">
        <v>30</v>
      </c>
      <c r="AQ686" s="23">
        <v>24</v>
      </c>
      <c r="AR686" s="23">
        <v>22</v>
      </c>
      <c r="AS686" s="23">
        <v>10</v>
      </c>
      <c r="AT686" s="23"/>
      <c r="AU686" s="14" t="str">
        <f>HYPERLINK("http://www.openstreetmap.org/?mlat=33.3824&amp;mlon=44.4146&amp;zoom=12#map=12/33.3824/44.4146","Maplink1")</f>
        <v>Maplink1</v>
      </c>
      <c r="AV686" s="14" t="str">
        <f>HYPERLINK("https://www.google.iq/maps/search/+33.3824,44.4146/@33.3824,44.4146,14z?hl=en","Maplink2")</f>
        <v>Maplink2</v>
      </c>
      <c r="AW686" s="14" t="str">
        <f>HYPERLINK("http://www.bing.com/maps/?lvl=14&amp;sty=h&amp;cp=33.3824~44.4146&amp;sp=point.33.3824_44.4146_Al-baida' - 319","Maplink3")</f>
        <v>Maplink3</v>
      </c>
    </row>
    <row r="687" spans="1:49" ht="15" customHeight="1" x14ac:dyDescent="0.25">
      <c r="A687" s="21">
        <v>24030</v>
      </c>
      <c r="B687" s="22" t="s">
        <v>11</v>
      </c>
      <c r="C687" s="22" t="s">
        <v>1552</v>
      </c>
      <c r="D687" s="22" t="s">
        <v>1579</v>
      </c>
      <c r="E687" s="22" t="s">
        <v>8344</v>
      </c>
      <c r="F687" s="22">
        <v>33.385960691999998</v>
      </c>
      <c r="G687" s="22">
        <v>44.413422881199999</v>
      </c>
      <c r="H687" s="21" t="s">
        <v>1449</v>
      </c>
      <c r="I687" s="21" t="s">
        <v>1555</v>
      </c>
      <c r="J687" s="21" t="s">
        <v>1580</v>
      </c>
      <c r="K687" s="24">
        <v>38</v>
      </c>
      <c r="L687" s="24">
        <v>228</v>
      </c>
      <c r="M687" s="23">
        <v>7</v>
      </c>
      <c r="N687" s="23"/>
      <c r="O687" s="23"/>
      <c r="P687" s="23"/>
      <c r="Q687" s="23"/>
      <c r="R687" s="23">
        <v>5</v>
      </c>
      <c r="S687" s="23"/>
      <c r="T687" s="23"/>
      <c r="U687" s="23">
        <v>1</v>
      </c>
      <c r="V687" s="23"/>
      <c r="W687" s="23"/>
      <c r="X687" s="23"/>
      <c r="Y687" s="23">
        <v>21</v>
      </c>
      <c r="Z687" s="23"/>
      <c r="AA687" s="23">
        <v>4</v>
      </c>
      <c r="AB687" s="23"/>
      <c r="AC687" s="23"/>
      <c r="AD687" s="23"/>
      <c r="AE687" s="23"/>
      <c r="AF687" s="23">
        <v>14</v>
      </c>
      <c r="AG687" s="23"/>
      <c r="AH687" s="23"/>
      <c r="AI687" s="23"/>
      <c r="AJ687" s="23"/>
      <c r="AK687" s="23">
        <v>24</v>
      </c>
      <c r="AL687" s="23"/>
      <c r="AM687" s="23"/>
      <c r="AN687" s="23"/>
      <c r="AO687" s="23">
        <v>7</v>
      </c>
      <c r="AP687" s="23">
        <v>15</v>
      </c>
      <c r="AQ687" s="23">
        <v>7</v>
      </c>
      <c r="AR687" s="23">
        <v>9</v>
      </c>
      <c r="AS687" s="23"/>
      <c r="AT687" s="23"/>
      <c r="AU687" s="14" t="str">
        <f>HYPERLINK("http://www.openstreetmap.org/?mlat=33.4015&amp;mlon=44.3981&amp;zoom=12#map=12/33.4015/44.3981","Maplink1")</f>
        <v>Maplink1</v>
      </c>
      <c r="AV687" s="14" t="str">
        <f>HYPERLINK("https://www.google.iq/maps/search/+33.4015,44.3981/@33.4015,44.3981,14z?hl=en","Maplink2")</f>
        <v>Maplink2</v>
      </c>
      <c r="AW687" s="14" t="str">
        <f>HYPERLINK("http://www.bing.com/maps/?lvl=14&amp;sty=h&amp;cp=33.4015~44.3981&amp;sp=point.33.4015_44.3981_Al Biydhaa-321","Maplink3")</f>
        <v>Maplink3</v>
      </c>
    </row>
    <row r="688" spans="1:49" ht="15" customHeight="1" x14ac:dyDescent="0.25">
      <c r="A688" s="21">
        <v>27118</v>
      </c>
      <c r="B688" s="22" t="s">
        <v>11</v>
      </c>
      <c r="C688" s="22" t="s">
        <v>1552</v>
      </c>
      <c r="D688" s="22" t="s">
        <v>7398</v>
      </c>
      <c r="E688" s="22" t="s">
        <v>8345</v>
      </c>
      <c r="F688" s="22">
        <v>33.391087585400001</v>
      </c>
      <c r="G688" s="22">
        <v>44.408745096700002</v>
      </c>
      <c r="H688" s="21" t="s">
        <v>1449</v>
      </c>
      <c r="I688" s="21" t="s">
        <v>1555</v>
      </c>
      <c r="J688" s="21"/>
      <c r="K688" s="24">
        <v>28</v>
      </c>
      <c r="L688" s="24">
        <v>168</v>
      </c>
      <c r="M688" s="23">
        <v>6</v>
      </c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>
        <v>17</v>
      </c>
      <c r="Z688" s="23"/>
      <c r="AA688" s="23">
        <v>5</v>
      </c>
      <c r="AB688" s="23"/>
      <c r="AC688" s="23"/>
      <c r="AD688" s="23"/>
      <c r="AE688" s="23"/>
      <c r="AF688" s="23">
        <v>7</v>
      </c>
      <c r="AG688" s="23"/>
      <c r="AH688" s="23"/>
      <c r="AI688" s="23"/>
      <c r="AJ688" s="23"/>
      <c r="AK688" s="23">
        <v>21</v>
      </c>
      <c r="AL688" s="23"/>
      <c r="AM688" s="23"/>
      <c r="AN688" s="23"/>
      <c r="AO688" s="23"/>
      <c r="AP688" s="23">
        <v>14</v>
      </c>
      <c r="AQ688" s="23">
        <v>3</v>
      </c>
      <c r="AR688" s="23">
        <v>5</v>
      </c>
      <c r="AS688" s="23">
        <v>6</v>
      </c>
      <c r="AT688" s="23"/>
      <c r="AU688" s="14" t="str">
        <f>HYPERLINK("http://www.openstreetmap.org/?mlat=33.4015&amp;mlon=44.3981&amp;zoom=12#map=12/33.4015/44.3981","Maplink1")</f>
        <v>Maplink1</v>
      </c>
      <c r="AV688" s="14" t="str">
        <f>HYPERLINK("https://www.google.iq/maps/search/+33.4015,44.3981/@33.4015,44.3981,14z?hl=en","Maplink2")</f>
        <v>Maplink2</v>
      </c>
      <c r="AW688" s="14" t="str">
        <f>HYPERLINK("http://www.bing.com/maps/?lvl=14&amp;sty=h&amp;cp=33.4015~44.3981&amp;sp=point.33.4015_44.3981_Al Biydha'a - 323","Maplink3")</f>
        <v>Maplink3</v>
      </c>
    </row>
    <row r="689" spans="1:49" ht="15" customHeight="1" x14ac:dyDescent="0.25">
      <c r="A689" s="21">
        <v>21171</v>
      </c>
      <c r="B689" s="22" t="s">
        <v>11</v>
      </c>
      <c r="C689" s="22" t="s">
        <v>1552</v>
      </c>
      <c r="D689" s="22" t="s">
        <v>1581</v>
      </c>
      <c r="E689" s="22" t="s">
        <v>413</v>
      </c>
      <c r="F689" s="22">
        <v>33.539210603999997</v>
      </c>
      <c r="G689" s="22">
        <v>44.320929040199999</v>
      </c>
      <c r="H689" s="21"/>
      <c r="I689" s="21"/>
      <c r="J689" s="21" t="s">
        <v>1582</v>
      </c>
      <c r="K689" s="24">
        <v>11</v>
      </c>
      <c r="L689" s="24">
        <v>66</v>
      </c>
      <c r="M689" s="23">
        <v>7</v>
      </c>
      <c r="N689" s="23"/>
      <c r="O689" s="23"/>
      <c r="P689" s="23"/>
      <c r="Q689" s="23"/>
      <c r="R689" s="23">
        <v>4</v>
      </c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>
        <v>11</v>
      </c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>
        <v>4</v>
      </c>
      <c r="AS689" s="23">
        <v>7</v>
      </c>
      <c r="AT689" s="23"/>
      <c r="AU689" s="14" t="str">
        <f>HYPERLINK("http://www.openstreetmap.org/?mlat=33.564&amp;mlon=44.3315&amp;zoom=12#map=12/33.564/44.3315","Maplink1")</f>
        <v>Maplink1</v>
      </c>
      <c r="AV689" s="14" t="str">
        <f>HYPERLINK("https://www.google.iq/maps/search/+33.564,44.3315/@33.564,44.3315,14z?hl=en","Maplink2")</f>
        <v>Maplink2</v>
      </c>
      <c r="AW689" s="14" t="str">
        <f>HYPERLINK("http://www.bing.com/maps/?lvl=14&amp;sty=h&amp;cp=33.564~44.3315&amp;sp=point.33.564_44.3315_Al Bu Hayat Village","Maplink3")</f>
        <v>Maplink3</v>
      </c>
    </row>
    <row r="690" spans="1:49" ht="15" customHeight="1" x14ac:dyDescent="0.25">
      <c r="A690" s="21">
        <v>24991</v>
      </c>
      <c r="B690" s="22" t="s">
        <v>11</v>
      </c>
      <c r="C690" s="22" t="s">
        <v>1552</v>
      </c>
      <c r="D690" s="22" t="s">
        <v>1583</v>
      </c>
      <c r="E690" s="22" t="s">
        <v>1584</v>
      </c>
      <c r="F690" s="22">
        <v>33.457990000000002</v>
      </c>
      <c r="G690" s="22">
        <v>44.339449999999999</v>
      </c>
      <c r="H690" s="21" t="s">
        <v>1449</v>
      </c>
      <c r="I690" s="21" t="s">
        <v>1555</v>
      </c>
      <c r="J690" s="21"/>
      <c r="K690" s="24">
        <v>17</v>
      </c>
      <c r="L690" s="24">
        <v>102</v>
      </c>
      <c r="M690" s="23">
        <v>3</v>
      </c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>
        <v>14</v>
      </c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>
        <v>17</v>
      </c>
      <c r="AL690" s="23"/>
      <c r="AM690" s="23"/>
      <c r="AN690" s="23"/>
      <c r="AO690" s="23"/>
      <c r="AP690" s="23">
        <v>15</v>
      </c>
      <c r="AQ690" s="23"/>
      <c r="AR690" s="23">
        <v>2</v>
      </c>
      <c r="AS690" s="23"/>
      <c r="AT690" s="23"/>
      <c r="AU690" s="14" t="str">
        <f>HYPERLINK("http://www.openstreetmap.org/?mlat=33.4614&amp;mlon=44.362&amp;zoom=12#map=12/33.4614/44.362","Maplink1")</f>
        <v>Maplink1</v>
      </c>
      <c r="AV690" s="14" t="str">
        <f>HYPERLINK("https://www.google.iq/maps/search/+33.4614,44.362/@33.4614,44.362,14z?hl=en","Maplink2")</f>
        <v>Maplink2</v>
      </c>
      <c r="AW690" s="14" t="str">
        <f>HYPERLINK("http://www.bing.com/maps/?lvl=14&amp;sty=h&amp;cp=33.4614~44.362&amp;sp=point.33.4614_44.362_Al Haj Jasim Village","Maplink3")</f>
        <v>Maplink3</v>
      </c>
    </row>
    <row r="691" spans="1:49" ht="15" customHeight="1" x14ac:dyDescent="0.25">
      <c r="A691" s="21">
        <v>24990</v>
      </c>
      <c r="B691" s="22" t="s">
        <v>11</v>
      </c>
      <c r="C691" s="22" t="s">
        <v>1552</v>
      </c>
      <c r="D691" s="22" t="s">
        <v>1585</v>
      </c>
      <c r="E691" s="22" t="s">
        <v>1586</v>
      </c>
      <c r="F691" s="22">
        <v>33.455232060299998</v>
      </c>
      <c r="G691" s="22">
        <v>44.345119051099999</v>
      </c>
      <c r="H691" s="21" t="s">
        <v>1449</v>
      </c>
      <c r="I691" s="21" t="s">
        <v>1555</v>
      </c>
      <c r="J691" s="21"/>
      <c r="K691" s="24">
        <v>45</v>
      </c>
      <c r="L691" s="24">
        <v>270</v>
      </c>
      <c r="M691" s="23">
        <v>12</v>
      </c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>
        <v>33</v>
      </c>
      <c r="Z691" s="23"/>
      <c r="AA691" s="23"/>
      <c r="AB691" s="23"/>
      <c r="AC691" s="23"/>
      <c r="AD691" s="23"/>
      <c r="AE691" s="23"/>
      <c r="AF691" s="23">
        <v>6</v>
      </c>
      <c r="AG691" s="23"/>
      <c r="AH691" s="23"/>
      <c r="AI691" s="23"/>
      <c r="AJ691" s="23"/>
      <c r="AK691" s="23">
        <v>39</v>
      </c>
      <c r="AL691" s="23"/>
      <c r="AM691" s="23"/>
      <c r="AN691" s="23"/>
      <c r="AO691" s="23"/>
      <c r="AP691" s="23">
        <v>30</v>
      </c>
      <c r="AQ691" s="23">
        <v>8</v>
      </c>
      <c r="AR691" s="23"/>
      <c r="AS691" s="23">
        <v>7</v>
      </c>
      <c r="AT691" s="23"/>
      <c r="AU691" s="14" t="str">
        <f>HYPERLINK("http://www.openstreetmap.org/?mlat=33.4612&amp;mlon=44.362&amp;zoom=12#map=12/33.4612/44.362","Maplink1")</f>
        <v>Maplink1</v>
      </c>
      <c r="AV691" s="14" t="str">
        <f>HYPERLINK("https://www.google.iq/maps/search/+33.4612,44.362/@33.4612,44.362,14z?hl=en","Maplink2")</f>
        <v>Maplink2</v>
      </c>
      <c r="AW691" s="14" t="str">
        <f>HYPERLINK("http://www.bing.com/maps/?lvl=14&amp;sty=h&amp;cp=33.4612~44.362&amp;sp=point.33.4612_44.362_Al Haj Sabur Village","Maplink3")</f>
        <v>Maplink3</v>
      </c>
    </row>
    <row r="692" spans="1:49" ht="15" customHeight="1" x14ac:dyDescent="0.25">
      <c r="A692" s="21">
        <v>22004</v>
      </c>
      <c r="B692" s="22" t="s">
        <v>11</v>
      </c>
      <c r="C692" s="22" t="s">
        <v>1552</v>
      </c>
      <c r="D692" s="22" t="s">
        <v>8346</v>
      </c>
      <c r="E692" s="22" t="s">
        <v>1587</v>
      </c>
      <c r="F692" s="22">
        <v>33.555392050000002</v>
      </c>
      <c r="G692" s="22">
        <v>44.402260159500003</v>
      </c>
      <c r="H692" s="21" t="s">
        <v>1449</v>
      </c>
      <c r="I692" s="21" t="s">
        <v>1555</v>
      </c>
      <c r="J692" s="21" t="s">
        <v>1588</v>
      </c>
      <c r="K692" s="24">
        <v>24</v>
      </c>
      <c r="L692" s="24">
        <v>144</v>
      </c>
      <c r="M692" s="23"/>
      <c r="N692" s="23"/>
      <c r="O692" s="23"/>
      <c r="P692" s="23"/>
      <c r="Q692" s="23"/>
      <c r="R692" s="23">
        <v>1</v>
      </c>
      <c r="S692" s="23"/>
      <c r="T692" s="23"/>
      <c r="U692" s="23">
        <v>3</v>
      </c>
      <c r="V692" s="23"/>
      <c r="W692" s="23"/>
      <c r="X692" s="23"/>
      <c r="Y692" s="23">
        <v>2</v>
      </c>
      <c r="Z692" s="23"/>
      <c r="AA692" s="23">
        <v>18</v>
      </c>
      <c r="AB692" s="23"/>
      <c r="AC692" s="23"/>
      <c r="AD692" s="23"/>
      <c r="AE692" s="23"/>
      <c r="AF692" s="23">
        <v>7</v>
      </c>
      <c r="AG692" s="23"/>
      <c r="AH692" s="23"/>
      <c r="AI692" s="23"/>
      <c r="AJ692" s="23"/>
      <c r="AK692" s="23">
        <v>17</v>
      </c>
      <c r="AL692" s="23"/>
      <c r="AM692" s="23"/>
      <c r="AN692" s="23"/>
      <c r="AO692" s="23"/>
      <c r="AP692" s="23"/>
      <c r="AQ692" s="23"/>
      <c r="AR692" s="23">
        <v>24</v>
      </c>
      <c r="AS692" s="23"/>
      <c r="AT692" s="23"/>
      <c r="AU692" s="14" t="str">
        <f>HYPERLINK("http://www.openstreetmap.org/?mlat=33.5563&amp;mlon=44.3935&amp;zoom=12#map=12/33.5563/44.3935","Maplink1")</f>
        <v>Maplink1</v>
      </c>
      <c r="AV692" s="14" t="str">
        <f>HYPERLINK("https://www.google.iq/maps/search/+33.5563,44.3935/@33.5563,44.3935,14z?hl=en","Maplink2")</f>
        <v>Maplink2</v>
      </c>
      <c r="AW692" s="14" t="str">
        <f>HYPERLINK("http://www.bing.com/maps/?lvl=14&amp;sty=h&amp;cp=33.5563~44.3935&amp;sp=point.33.5563_44.3935_Al Husayniya-Mahalla 221","Maplink3")</f>
        <v>Maplink3</v>
      </c>
    </row>
    <row r="693" spans="1:49" ht="15" customHeight="1" x14ac:dyDescent="0.25">
      <c r="A693" s="21">
        <v>22005</v>
      </c>
      <c r="B693" s="22" t="s">
        <v>11</v>
      </c>
      <c r="C693" s="22" t="s">
        <v>1552</v>
      </c>
      <c r="D693" s="22" t="s">
        <v>8347</v>
      </c>
      <c r="E693" s="22" t="s">
        <v>7664</v>
      </c>
      <c r="F693" s="22">
        <v>33.546065108100002</v>
      </c>
      <c r="G693" s="22">
        <v>44.389989604100002</v>
      </c>
      <c r="H693" s="21" t="s">
        <v>1449</v>
      </c>
      <c r="I693" s="21" t="s">
        <v>1555</v>
      </c>
      <c r="J693" s="21" t="s">
        <v>1589</v>
      </c>
      <c r="K693" s="24">
        <v>57</v>
      </c>
      <c r="L693" s="24">
        <v>342</v>
      </c>
      <c r="M693" s="23">
        <v>6</v>
      </c>
      <c r="N693" s="23"/>
      <c r="O693" s="23"/>
      <c r="P693" s="23"/>
      <c r="Q693" s="23"/>
      <c r="R693" s="23">
        <v>4</v>
      </c>
      <c r="S693" s="23"/>
      <c r="T693" s="23"/>
      <c r="U693" s="23"/>
      <c r="V693" s="23"/>
      <c r="W693" s="23"/>
      <c r="X693" s="23"/>
      <c r="Y693" s="23">
        <v>37</v>
      </c>
      <c r="Z693" s="23"/>
      <c r="AA693" s="23">
        <v>10</v>
      </c>
      <c r="AB693" s="23"/>
      <c r="AC693" s="23"/>
      <c r="AD693" s="23"/>
      <c r="AE693" s="23"/>
      <c r="AF693" s="23">
        <v>16</v>
      </c>
      <c r="AG693" s="23"/>
      <c r="AH693" s="23"/>
      <c r="AI693" s="23"/>
      <c r="AJ693" s="23"/>
      <c r="AK693" s="23">
        <v>23</v>
      </c>
      <c r="AL693" s="23">
        <v>18</v>
      </c>
      <c r="AM693" s="23"/>
      <c r="AN693" s="23"/>
      <c r="AO693" s="23"/>
      <c r="AP693" s="23"/>
      <c r="AQ693" s="23"/>
      <c r="AR693" s="23">
        <v>50</v>
      </c>
      <c r="AS693" s="23">
        <v>1</v>
      </c>
      <c r="AT693" s="23">
        <v>6</v>
      </c>
      <c r="AU693" s="14" t="str">
        <f>HYPERLINK("http://www.openstreetmap.org/?mlat=33.5416&amp;mlon=44.3883&amp;zoom=12#map=12/33.5416/44.3883","Maplink1")</f>
        <v>Maplink1</v>
      </c>
      <c r="AV693" s="14" t="str">
        <f>HYPERLINK("https://www.google.iq/maps/search/+33.5416,44.3883/@33.5416,44.3883,14z?hl=en","Maplink2")</f>
        <v>Maplink2</v>
      </c>
      <c r="AW693" s="14" t="str">
        <f>HYPERLINK("http://www.bing.com/maps/?lvl=14&amp;sty=h&amp;cp=33.5416~44.3883&amp;sp=point.33.5416_44.3883_Al Husayniya-Mahalla 225","Maplink3")</f>
        <v>Maplink3</v>
      </c>
    </row>
    <row r="694" spans="1:49" ht="15" customHeight="1" x14ac:dyDescent="0.25">
      <c r="A694" s="21">
        <v>22697</v>
      </c>
      <c r="B694" s="22" t="s">
        <v>11</v>
      </c>
      <c r="C694" s="22" t="s">
        <v>1552</v>
      </c>
      <c r="D694" s="22" t="s">
        <v>8348</v>
      </c>
      <c r="E694" s="22" t="s">
        <v>1592</v>
      </c>
      <c r="F694" s="22">
        <v>33.542786702500003</v>
      </c>
      <c r="G694" s="22">
        <v>44.421716667699997</v>
      </c>
      <c r="H694" s="21" t="s">
        <v>1449</v>
      </c>
      <c r="I694" s="21" t="s">
        <v>1555</v>
      </c>
      <c r="J694" s="21" t="s">
        <v>1593</v>
      </c>
      <c r="K694" s="24">
        <v>3</v>
      </c>
      <c r="L694" s="24">
        <v>18</v>
      </c>
      <c r="M694" s="23">
        <v>1</v>
      </c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>
        <v>2</v>
      </c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>
        <v>3</v>
      </c>
      <c r="AL694" s="23"/>
      <c r="AM694" s="23"/>
      <c r="AN694" s="23"/>
      <c r="AO694" s="23"/>
      <c r="AP694" s="23">
        <v>2</v>
      </c>
      <c r="AQ694" s="23"/>
      <c r="AR694" s="23">
        <v>1</v>
      </c>
      <c r="AS694" s="23"/>
      <c r="AT694" s="23"/>
      <c r="AU694" s="14" t="str">
        <f>HYPERLINK("http://www.openstreetmap.org/?mlat=33.5511&amp;mlon=44.4145&amp;zoom=12#map=12/33.5511/44.4145","Maplink1")</f>
        <v>Maplink1</v>
      </c>
      <c r="AV694" s="14" t="str">
        <f>HYPERLINK("https://www.google.iq/maps/search/+33.5511,44.4145/@33.5511,44.4145,14z?hl=en","Maplink2")</f>
        <v>Maplink2</v>
      </c>
      <c r="AW694" s="14" t="str">
        <f>HYPERLINK("http://www.bing.com/maps/?lvl=14&amp;sty=h&amp;cp=33.5511~44.4145&amp;sp=point.33.5511_44.4145_Al Hussainiya-Mahalla 203","Maplink3")</f>
        <v>Maplink3</v>
      </c>
    </row>
    <row r="695" spans="1:49" ht="15" customHeight="1" x14ac:dyDescent="0.25">
      <c r="A695" s="21">
        <v>22378</v>
      </c>
      <c r="B695" s="22" t="s">
        <v>11</v>
      </c>
      <c r="C695" s="22" t="s">
        <v>1552</v>
      </c>
      <c r="D695" s="22" t="s">
        <v>8349</v>
      </c>
      <c r="E695" s="22" t="s">
        <v>1594</v>
      </c>
      <c r="F695" s="22">
        <v>33.543246608099999</v>
      </c>
      <c r="G695" s="22">
        <v>44.429065467800001</v>
      </c>
      <c r="H695" s="21" t="s">
        <v>1449</v>
      </c>
      <c r="I695" s="21" t="s">
        <v>1555</v>
      </c>
      <c r="J695" s="21" t="s">
        <v>1595</v>
      </c>
      <c r="K695" s="24">
        <v>14</v>
      </c>
      <c r="L695" s="24">
        <v>84</v>
      </c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>
        <v>14</v>
      </c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>
        <v>14</v>
      </c>
      <c r="AL695" s="23"/>
      <c r="AM695" s="23"/>
      <c r="AN695" s="23"/>
      <c r="AO695" s="23"/>
      <c r="AP695" s="23"/>
      <c r="AQ695" s="23"/>
      <c r="AR695" s="23">
        <v>14</v>
      </c>
      <c r="AS695" s="23"/>
      <c r="AT695" s="23"/>
      <c r="AU695" s="14" t="str">
        <f>HYPERLINK("http://www.openstreetmap.org/?mlat=33.5394&amp;mlon=44.4287&amp;zoom=12#map=12/33.5394/44.4287","Maplink1")</f>
        <v>Maplink1</v>
      </c>
      <c r="AV695" s="14" t="str">
        <f>HYPERLINK("https://www.google.iq/maps/search/+33.5394,44.4287/@33.5394,44.4287,14z?hl=en","Maplink2")</f>
        <v>Maplink2</v>
      </c>
      <c r="AW695" s="14" t="str">
        <f>HYPERLINK("http://www.bing.com/maps/?lvl=14&amp;sty=h&amp;cp=33.5394~44.4287&amp;sp=point.33.5394_44.4287_Al Hussainiya-Mahalla 204","Maplink3")</f>
        <v>Maplink3</v>
      </c>
    </row>
    <row r="696" spans="1:49" ht="15" customHeight="1" x14ac:dyDescent="0.25">
      <c r="A696" s="21">
        <v>22250</v>
      </c>
      <c r="B696" s="22" t="s">
        <v>11</v>
      </c>
      <c r="C696" s="22" t="s">
        <v>1552</v>
      </c>
      <c r="D696" s="22" t="s">
        <v>8350</v>
      </c>
      <c r="E696" s="22" t="s">
        <v>1596</v>
      </c>
      <c r="F696" s="22">
        <v>33.534872245000003</v>
      </c>
      <c r="G696" s="22">
        <v>44.403945774999997</v>
      </c>
      <c r="H696" s="21" t="s">
        <v>1449</v>
      </c>
      <c r="I696" s="21" t="s">
        <v>1555</v>
      </c>
      <c r="J696" s="21" t="s">
        <v>1597</v>
      </c>
      <c r="K696" s="24">
        <v>10</v>
      </c>
      <c r="L696" s="24">
        <v>60</v>
      </c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>
        <v>7</v>
      </c>
      <c r="Z696" s="23"/>
      <c r="AA696" s="23">
        <v>3</v>
      </c>
      <c r="AB696" s="23"/>
      <c r="AC696" s="23"/>
      <c r="AD696" s="23"/>
      <c r="AE696" s="23"/>
      <c r="AF696" s="23">
        <v>4</v>
      </c>
      <c r="AG696" s="23"/>
      <c r="AH696" s="23"/>
      <c r="AI696" s="23"/>
      <c r="AJ696" s="23"/>
      <c r="AK696" s="23">
        <v>6</v>
      </c>
      <c r="AL696" s="23"/>
      <c r="AM696" s="23"/>
      <c r="AN696" s="23"/>
      <c r="AO696" s="23"/>
      <c r="AP696" s="23"/>
      <c r="AQ696" s="23"/>
      <c r="AR696" s="23">
        <v>8</v>
      </c>
      <c r="AS696" s="23"/>
      <c r="AT696" s="23">
        <v>2</v>
      </c>
      <c r="AU696" s="14" t="str">
        <f>HYPERLINK("http://www.openstreetmap.org/?mlat=33.5339&amp;mlon=44.4019&amp;zoom=12#map=12/33.5339/44.4019","Maplink1")</f>
        <v>Maplink1</v>
      </c>
      <c r="AV696" s="14" t="str">
        <f>HYPERLINK("https://www.google.iq/maps/search/+33.5339,44.4019/@33.5339,44.4019,14z?hl=en","Maplink2")</f>
        <v>Maplink2</v>
      </c>
      <c r="AW696" s="14" t="str">
        <f>HYPERLINK("http://www.bing.com/maps/?lvl=14&amp;sty=h&amp;cp=33.5339~44.4019&amp;sp=point.33.5339_44.4019_Al Hussainiya-Mahalla 205","Maplink3")</f>
        <v>Maplink3</v>
      </c>
    </row>
    <row r="697" spans="1:49" ht="15" customHeight="1" x14ac:dyDescent="0.25">
      <c r="A697" s="21">
        <v>22252</v>
      </c>
      <c r="B697" s="22" t="s">
        <v>11</v>
      </c>
      <c r="C697" s="22" t="s">
        <v>1552</v>
      </c>
      <c r="D697" s="22" t="s">
        <v>8351</v>
      </c>
      <c r="E697" s="22" t="s">
        <v>1598</v>
      </c>
      <c r="F697" s="22">
        <v>33.547855283899999</v>
      </c>
      <c r="G697" s="22">
        <v>44.403838164500002</v>
      </c>
      <c r="H697" s="21" t="s">
        <v>1449</v>
      </c>
      <c r="I697" s="21" t="s">
        <v>1555</v>
      </c>
      <c r="J697" s="21" t="s">
        <v>1599</v>
      </c>
      <c r="K697" s="24">
        <v>26</v>
      </c>
      <c r="L697" s="24">
        <v>156</v>
      </c>
      <c r="M697" s="23">
        <v>2</v>
      </c>
      <c r="N697" s="23"/>
      <c r="O697" s="23"/>
      <c r="P697" s="23"/>
      <c r="Q697" s="23"/>
      <c r="R697" s="23">
        <v>6</v>
      </c>
      <c r="S697" s="23"/>
      <c r="T697" s="23"/>
      <c r="U697" s="23">
        <v>3</v>
      </c>
      <c r="V697" s="23"/>
      <c r="W697" s="23"/>
      <c r="X697" s="23"/>
      <c r="Y697" s="23">
        <v>12</v>
      </c>
      <c r="Z697" s="23"/>
      <c r="AA697" s="23">
        <v>3</v>
      </c>
      <c r="AB697" s="23"/>
      <c r="AC697" s="23"/>
      <c r="AD697" s="23"/>
      <c r="AE697" s="23"/>
      <c r="AF697" s="23"/>
      <c r="AG697" s="23"/>
      <c r="AH697" s="23"/>
      <c r="AI697" s="23"/>
      <c r="AJ697" s="23"/>
      <c r="AK697" s="23">
        <v>26</v>
      </c>
      <c r="AL697" s="23"/>
      <c r="AM697" s="23"/>
      <c r="AN697" s="23"/>
      <c r="AO697" s="23"/>
      <c r="AP697" s="23">
        <v>11</v>
      </c>
      <c r="AQ697" s="23"/>
      <c r="AR697" s="23">
        <v>15</v>
      </c>
      <c r="AS697" s="23"/>
      <c r="AT697" s="23"/>
      <c r="AU697" s="14" t="str">
        <f>HYPERLINK("http://www.openstreetmap.org/?mlat=33.5438&amp;mlon=44.4091&amp;zoom=12#map=12/33.5438/44.4091","Maplink1")</f>
        <v>Maplink1</v>
      </c>
      <c r="AV697" s="14" t="str">
        <f>HYPERLINK("https://www.google.iq/maps/search/+33.5438,44.4091/@33.5438,44.4091,14z?hl=en","Maplink2")</f>
        <v>Maplink2</v>
      </c>
      <c r="AW697" s="14" t="str">
        <f>HYPERLINK("http://www.bing.com/maps/?lvl=14&amp;sty=h&amp;cp=33.5438~44.4091&amp;sp=point.33.5438_44.4091_Al Hussainiya-Mahalla 209","Maplink3")</f>
        <v>Maplink3</v>
      </c>
    </row>
    <row r="698" spans="1:49" ht="15" customHeight="1" x14ac:dyDescent="0.25">
      <c r="A698" s="21">
        <v>21907</v>
      </c>
      <c r="B698" s="22" t="s">
        <v>11</v>
      </c>
      <c r="C698" s="22" t="s">
        <v>1552</v>
      </c>
      <c r="D698" s="22" t="s">
        <v>8352</v>
      </c>
      <c r="E698" s="22" t="s">
        <v>1691</v>
      </c>
      <c r="F698" s="22">
        <v>33.548985314299998</v>
      </c>
      <c r="G698" s="22">
        <v>44.403644888899997</v>
      </c>
      <c r="H698" s="21" t="s">
        <v>1449</v>
      </c>
      <c r="I698" s="21" t="s">
        <v>1555</v>
      </c>
      <c r="J698" s="21" t="s">
        <v>1692</v>
      </c>
      <c r="K698" s="24">
        <v>10</v>
      </c>
      <c r="L698" s="24">
        <v>60</v>
      </c>
      <c r="M698" s="23">
        <v>2</v>
      </c>
      <c r="N698" s="23"/>
      <c r="O698" s="23"/>
      <c r="P698" s="23"/>
      <c r="Q698" s="23"/>
      <c r="R698" s="23"/>
      <c r="S698" s="23"/>
      <c r="T698" s="23"/>
      <c r="U698" s="23">
        <v>1</v>
      </c>
      <c r="V698" s="23"/>
      <c r="W698" s="23"/>
      <c r="X698" s="23"/>
      <c r="Y698" s="23">
        <v>3</v>
      </c>
      <c r="Z698" s="23"/>
      <c r="AA698" s="23">
        <v>4</v>
      </c>
      <c r="AB698" s="23"/>
      <c r="AC698" s="23"/>
      <c r="AD698" s="23"/>
      <c r="AE698" s="23"/>
      <c r="AF698" s="23">
        <v>4</v>
      </c>
      <c r="AG698" s="23"/>
      <c r="AH698" s="23"/>
      <c r="AI698" s="23"/>
      <c r="AJ698" s="23"/>
      <c r="AK698" s="23">
        <v>6</v>
      </c>
      <c r="AL698" s="23"/>
      <c r="AM698" s="23"/>
      <c r="AN698" s="23"/>
      <c r="AO698" s="23"/>
      <c r="AP698" s="23">
        <v>3</v>
      </c>
      <c r="AQ698" s="23"/>
      <c r="AR698" s="23">
        <v>5</v>
      </c>
      <c r="AS698" s="23">
        <v>2</v>
      </c>
      <c r="AT698" s="23"/>
      <c r="AU698" s="14" t="str">
        <f>HYPERLINK("http://www.openstreetmap.org/?mlat=33.5497&amp;mlon=44.409&amp;zoom=12#map=12/33.5497/44.409","Maplink1")</f>
        <v>Maplink1</v>
      </c>
      <c r="AV698" s="14" t="str">
        <f>HYPERLINK("https://www.google.iq/maps/search/+33.5497,44.409/@33.5497,44.409,14z?hl=en","Maplink2")</f>
        <v>Maplink2</v>
      </c>
      <c r="AW698" s="14" t="str">
        <f>HYPERLINK("http://www.bing.com/maps/?lvl=14&amp;sty=h&amp;cp=33.5497~44.409&amp;sp=point.33.5497_44.409_Hussainiya-Mahalla 211","Maplink3")</f>
        <v>Maplink3</v>
      </c>
    </row>
    <row r="699" spans="1:49" ht="15" customHeight="1" x14ac:dyDescent="0.25">
      <c r="A699" s="21">
        <v>24930</v>
      </c>
      <c r="B699" s="22" t="s">
        <v>11</v>
      </c>
      <c r="C699" s="22" t="s">
        <v>1552</v>
      </c>
      <c r="D699" s="22" t="s">
        <v>8353</v>
      </c>
      <c r="E699" s="22" t="s">
        <v>1600</v>
      </c>
      <c r="F699" s="22">
        <v>33.543284115799999</v>
      </c>
      <c r="G699" s="22">
        <v>44.427666258899997</v>
      </c>
      <c r="H699" s="21" t="s">
        <v>1449</v>
      </c>
      <c r="I699" s="21" t="s">
        <v>1555</v>
      </c>
      <c r="J699" s="21"/>
      <c r="K699" s="24">
        <v>10</v>
      </c>
      <c r="L699" s="24">
        <v>60</v>
      </c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>
        <v>10</v>
      </c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>
        <v>10</v>
      </c>
      <c r="AL699" s="23"/>
      <c r="AM699" s="23"/>
      <c r="AN699" s="23"/>
      <c r="AO699" s="23"/>
      <c r="AP699" s="23"/>
      <c r="AQ699" s="23"/>
      <c r="AR699" s="23">
        <v>10</v>
      </c>
      <c r="AS699" s="23"/>
      <c r="AT699" s="23"/>
      <c r="AU699" s="14" t="str">
        <f>HYPERLINK("http://www.openstreetmap.org/?mlat=33.5378&amp;mlon=44.4089&amp;zoom=12#map=12/33.5378/44.4089","Maplink1")</f>
        <v>Maplink1</v>
      </c>
      <c r="AV699" s="14" t="str">
        <f>HYPERLINK("https://www.google.iq/maps/search/+33.5378,44.4089/@33.5378,44.4089,14z?hl=en","Maplink2")</f>
        <v>Maplink2</v>
      </c>
      <c r="AW699" s="14" t="str">
        <f>HYPERLINK("http://www.bing.com/maps/?lvl=14&amp;sty=h&amp;cp=33.5378~44.4089&amp;sp=point.33.5378_44.4089_Al Hussainiya-Mahalla 212","Maplink3")</f>
        <v>Maplink3</v>
      </c>
    </row>
    <row r="700" spans="1:49" ht="15" customHeight="1" x14ac:dyDescent="0.25">
      <c r="A700" s="21">
        <v>22698</v>
      </c>
      <c r="B700" s="22" t="s">
        <v>11</v>
      </c>
      <c r="C700" s="22" t="s">
        <v>1552</v>
      </c>
      <c r="D700" s="22" t="s">
        <v>8354</v>
      </c>
      <c r="E700" s="22" t="s">
        <v>1601</v>
      </c>
      <c r="F700" s="22">
        <v>33.556711823400001</v>
      </c>
      <c r="G700" s="22">
        <v>44.412538523199999</v>
      </c>
      <c r="H700" s="21" t="s">
        <v>1449</v>
      </c>
      <c r="I700" s="21" t="s">
        <v>1555</v>
      </c>
      <c r="J700" s="21" t="s">
        <v>1602</v>
      </c>
      <c r="K700" s="24">
        <v>19</v>
      </c>
      <c r="L700" s="24">
        <v>114</v>
      </c>
      <c r="M700" s="23">
        <v>1</v>
      </c>
      <c r="N700" s="23"/>
      <c r="O700" s="23"/>
      <c r="P700" s="23"/>
      <c r="Q700" s="23"/>
      <c r="R700" s="23">
        <v>7</v>
      </c>
      <c r="S700" s="23"/>
      <c r="T700" s="23"/>
      <c r="U700" s="23"/>
      <c r="V700" s="23"/>
      <c r="W700" s="23"/>
      <c r="X700" s="23"/>
      <c r="Y700" s="23">
        <v>11</v>
      </c>
      <c r="Z700" s="23"/>
      <c r="AA700" s="23"/>
      <c r="AB700" s="23"/>
      <c r="AC700" s="23"/>
      <c r="AD700" s="23"/>
      <c r="AE700" s="23"/>
      <c r="AF700" s="23">
        <v>14</v>
      </c>
      <c r="AG700" s="23"/>
      <c r="AH700" s="23"/>
      <c r="AI700" s="23"/>
      <c r="AJ700" s="23"/>
      <c r="AK700" s="23">
        <v>5</v>
      </c>
      <c r="AL700" s="23"/>
      <c r="AM700" s="23"/>
      <c r="AN700" s="23"/>
      <c r="AO700" s="23"/>
      <c r="AP700" s="23">
        <v>11</v>
      </c>
      <c r="AQ700" s="23"/>
      <c r="AR700" s="23">
        <v>8</v>
      </c>
      <c r="AS700" s="23"/>
      <c r="AT700" s="23"/>
      <c r="AU700" s="14" t="str">
        <f>HYPERLINK("http://www.openstreetmap.org/?mlat=33.5565&amp;mlon=44.4093&amp;zoom=12#map=12/33.5565/44.4093","Maplink1")</f>
        <v>Maplink1</v>
      </c>
      <c r="AV700" s="14" t="str">
        <f>HYPERLINK("https://www.google.iq/maps/search/+33.5565,44.4093/@33.5565,44.4093,14z?hl=en","Maplink2")</f>
        <v>Maplink2</v>
      </c>
      <c r="AW700" s="14" t="str">
        <f>HYPERLINK("http://www.bing.com/maps/?lvl=14&amp;sty=h&amp;cp=33.5565~44.4093&amp;sp=point.33.5565_44.4093_Al Hussainiya-Mahalla 213","Maplink3")</f>
        <v>Maplink3</v>
      </c>
    </row>
    <row r="701" spans="1:49" ht="15" customHeight="1" x14ac:dyDescent="0.25">
      <c r="A701" s="21">
        <v>22379</v>
      </c>
      <c r="B701" s="22" t="s">
        <v>11</v>
      </c>
      <c r="C701" s="22" t="s">
        <v>1552</v>
      </c>
      <c r="D701" s="22" t="s">
        <v>8355</v>
      </c>
      <c r="E701" s="22" t="s">
        <v>1603</v>
      </c>
      <c r="F701" s="22">
        <v>33.5409750962</v>
      </c>
      <c r="G701" s="22">
        <v>44.403465934400003</v>
      </c>
      <c r="H701" s="21" t="s">
        <v>1449</v>
      </c>
      <c r="I701" s="21" t="s">
        <v>1555</v>
      </c>
      <c r="J701" s="21" t="s">
        <v>1604</v>
      </c>
      <c r="K701" s="24">
        <v>38</v>
      </c>
      <c r="L701" s="24">
        <v>228</v>
      </c>
      <c r="M701" s="23">
        <v>4</v>
      </c>
      <c r="N701" s="23"/>
      <c r="O701" s="23"/>
      <c r="P701" s="23"/>
      <c r="Q701" s="23"/>
      <c r="R701" s="23">
        <v>11</v>
      </c>
      <c r="S701" s="23"/>
      <c r="T701" s="23"/>
      <c r="U701" s="23">
        <v>14</v>
      </c>
      <c r="V701" s="23"/>
      <c r="W701" s="23"/>
      <c r="X701" s="23"/>
      <c r="Y701" s="23"/>
      <c r="Z701" s="23"/>
      <c r="AA701" s="23">
        <v>9</v>
      </c>
      <c r="AB701" s="23"/>
      <c r="AC701" s="23"/>
      <c r="AD701" s="23"/>
      <c r="AE701" s="23"/>
      <c r="AF701" s="23">
        <v>20</v>
      </c>
      <c r="AG701" s="23"/>
      <c r="AH701" s="23"/>
      <c r="AI701" s="23"/>
      <c r="AJ701" s="23"/>
      <c r="AK701" s="23">
        <v>18</v>
      </c>
      <c r="AL701" s="23"/>
      <c r="AM701" s="23"/>
      <c r="AN701" s="23"/>
      <c r="AO701" s="23"/>
      <c r="AP701" s="23"/>
      <c r="AQ701" s="23"/>
      <c r="AR701" s="23">
        <v>32</v>
      </c>
      <c r="AS701" s="23">
        <v>6</v>
      </c>
      <c r="AT701" s="23"/>
      <c r="AU701" s="14" t="str">
        <f>HYPERLINK("http://www.openstreetmap.org/?mlat=33.5377&amp;mlon=44.4016&amp;zoom=12#map=12/33.5377/44.4016","Maplink1")</f>
        <v>Maplink1</v>
      </c>
      <c r="AV701" s="14" t="str">
        <f>HYPERLINK("https://www.google.iq/maps/search/+33.5377,44.4016/@33.5377,44.4016,14z?hl=en","Maplink2")</f>
        <v>Maplink2</v>
      </c>
      <c r="AW701" s="14" t="str">
        <f>HYPERLINK("http://www.bing.com/maps/?lvl=14&amp;sty=h&amp;cp=33.5377~44.4016&amp;sp=point.33.5377_44.4016_Al Hussainiya-Mahalla 215","Maplink3")</f>
        <v>Maplink3</v>
      </c>
    </row>
    <row r="702" spans="1:49" ht="15" customHeight="1" x14ac:dyDescent="0.25">
      <c r="A702" s="21">
        <v>22380</v>
      </c>
      <c r="B702" s="22" t="s">
        <v>11</v>
      </c>
      <c r="C702" s="22" t="s">
        <v>1552</v>
      </c>
      <c r="D702" s="22" t="s">
        <v>8356</v>
      </c>
      <c r="E702" s="22" t="s">
        <v>1605</v>
      </c>
      <c r="F702" s="22">
        <v>33.547088580400001</v>
      </c>
      <c r="G702" s="22">
        <v>44.419282131700001</v>
      </c>
      <c r="H702" s="21" t="s">
        <v>1449</v>
      </c>
      <c r="I702" s="21" t="s">
        <v>1555</v>
      </c>
      <c r="J702" s="21" t="s">
        <v>1606</v>
      </c>
      <c r="K702" s="24">
        <v>12</v>
      </c>
      <c r="L702" s="24">
        <v>72</v>
      </c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>
        <v>12</v>
      </c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>
        <v>12</v>
      </c>
      <c r="AL702" s="23"/>
      <c r="AM702" s="23"/>
      <c r="AN702" s="23"/>
      <c r="AO702" s="23"/>
      <c r="AP702" s="23"/>
      <c r="AQ702" s="23"/>
      <c r="AR702" s="23">
        <v>12</v>
      </c>
      <c r="AS702" s="23"/>
      <c r="AT702" s="23"/>
      <c r="AU702" s="14" t="str">
        <f>HYPERLINK("http://www.openstreetmap.org/?mlat=33.5539&amp;mlon=44.4204&amp;zoom=12#map=12/33.5539/44.4204","Maplink1")</f>
        <v>Maplink1</v>
      </c>
      <c r="AV702" s="14" t="str">
        <f>HYPERLINK("https://www.google.iq/maps/search/+33.5539,44.4204/@33.5539,44.4204,14z?hl=en","Maplink2")</f>
        <v>Maplink2</v>
      </c>
      <c r="AW702" s="14" t="str">
        <f>HYPERLINK("http://www.bing.com/maps/?lvl=14&amp;sty=h&amp;cp=33.5539~44.4204&amp;sp=point.33.5539_44.4204_Al Hussainiya-Mahalla 216","Maplink3")</f>
        <v>Maplink3</v>
      </c>
    </row>
    <row r="703" spans="1:49" ht="15" customHeight="1" x14ac:dyDescent="0.25">
      <c r="A703" s="21">
        <v>22381</v>
      </c>
      <c r="B703" s="22" t="s">
        <v>11</v>
      </c>
      <c r="C703" s="22" t="s">
        <v>1552</v>
      </c>
      <c r="D703" s="22" t="s">
        <v>8357</v>
      </c>
      <c r="E703" s="22" t="s">
        <v>1609</v>
      </c>
      <c r="F703" s="22">
        <v>33.5482257456</v>
      </c>
      <c r="G703" s="22">
        <v>44.393671113400003</v>
      </c>
      <c r="H703" s="21" t="s">
        <v>1449</v>
      </c>
      <c r="I703" s="21" t="s">
        <v>1555</v>
      </c>
      <c r="J703" s="21" t="s">
        <v>1610</v>
      </c>
      <c r="K703" s="24">
        <v>17</v>
      </c>
      <c r="L703" s="24">
        <v>102</v>
      </c>
      <c r="M703" s="23">
        <v>3</v>
      </c>
      <c r="N703" s="23"/>
      <c r="O703" s="23"/>
      <c r="P703" s="23"/>
      <c r="Q703" s="23"/>
      <c r="R703" s="23">
        <v>3</v>
      </c>
      <c r="S703" s="23"/>
      <c r="T703" s="23"/>
      <c r="U703" s="23">
        <v>1</v>
      </c>
      <c r="V703" s="23"/>
      <c r="W703" s="23"/>
      <c r="X703" s="23"/>
      <c r="Y703" s="23">
        <v>8</v>
      </c>
      <c r="Z703" s="23"/>
      <c r="AA703" s="23">
        <v>2</v>
      </c>
      <c r="AB703" s="23"/>
      <c r="AC703" s="23"/>
      <c r="AD703" s="23"/>
      <c r="AE703" s="23"/>
      <c r="AF703" s="23">
        <v>7</v>
      </c>
      <c r="AG703" s="23"/>
      <c r="AH703" s="23"/>
      <c r="AI703" s="23"/>
      <c r="AJ703" s="23"/>
      <c r="AK703" s="23">
        <v>10</v>
      </c>
      <c r="AL703" s="23"/>
      <c r="AM703" s="23"/>
      <c r="AN703" s="23"/>
      <c r="AO703" s="23"/>
      <c r="AP703" s="23">
        <v>8</v>
      </c>
      <c r="AQ703" s="23"/>
      <c r="AR703" s="23">
        <v>5</v>
      </c>
      <c r="AS703" s="23">
        <v>4</v>
      </c>
      <c r="AT703" s="23"/>
      <c r="AU703" s="14" t="str">
        <f>HYPERLINK("http://www.openstreetmap.org/?mlat=33.5523&amp;mlon=44.3991&amp;zoom=12#map=12/33.5523/44.3991","Maplink1")</f>
        <v>Maplink1</v>
      </c>
      <c r="AV703" s="14" t="str">
        <f>HYPERLINK("https://www.google.iq/maps/search/+33.5523,44.3991/@33.5523,44.3991,14z?hl=en","Maplink2")</f>
        <v>Maplink2</v>
      </c>
      <c r="AW703" s="14" t="str">
        <f>HYPERLINK("http://www.bing.com/maps/?lvl=14&amp;sty=h&amp;cp=33.5523~44.3991&amp;sp=point.33.5523_44.3991_Al Hussainiya-Mahalla 219","Maplink3")</f>
        <v>Maplink3</v>
      </c>
    </row>
    <row r="704" spans="1:49" ht="15" customHeight="1" x14ac:dyDescent="0.25">
      <c r="A704" s="21">
        <v>22253</v>
      </c>
      <c r="B704" s="22" t="s">
        <v>11</v>
      </c>
      <c r="C704" s="22" t="s">
        <v>1552</v>
      </c>
      <c r="D704" s="22" t="s">
        <v>8358</v>
      </c>
      <c r="E704" s="22" t="s">
        <v>1611</v>
      </c>
      <c r="F704" s="22">
        <v>33.546292772100003</v>
      </c>
      <c r="G704" s="22">
        <v>44.3899990066</v>
      </c>
      <c r="H704" s="21" t="s">
        <v>1449</v>
      </c>
      <c r="I704" s="21" t="s">
        <v>1555</v>
      </c>
      <c r="J704" s="21" t="s">
        <v>1612</v>
      </c>
      <c r="K704" s="24">
        <v>38</v>
      </c>
      <c r="L704" s="24">
        <v>228</v>
      </c>
      <c r="M704" s="23">
        <v>3</v>
      </c>
      <c r="N704" s="23"/>
      <c r="O704" s="23"/>
      <c r="P704" s="23"/>
      <c r="Q704" s="23"/>
      <c r="R704" s="23">
        <v>11</v>
      </c>
      <c r="S704" s="23"/>
      <c r="T704" s="23"/>
      <c r="U704" s="23"/>
      <c r="V704" s="23"/>
      <c r="W704" s="23"/>
      <c r="X704" s="23"/>
      <c r="Y704" s="23">
        <v>21</v>
      </c>
      <c r="Z704" s="23"/>
      <c r="AA704" s="23">
        <v>3</v>
      </c>
      <c r="AB704" s="23"/>
      <c r="AC704" s="23"/>
      <c r="AD704" s="23"/>
      <c r="AE704" s="23"/>
      <c r="AF704" s="23">
        <v>22</v>
      </c>
      <c r="AG704" s="23"/>
      <c r="AH704" s="23"/>
      <c r="AI704" s="23"/>
      <c r="AJ704" s="23"/>
      <c r="AK704" s="23">
        <v>16</v>
      </c>
      <c r="AL704" s="23"/>
      <c r="AM704" s="23"/>
      <c r="AN704" s="23"/>
      <c r="AO704" s="23"/>
      <c r="AP704" s="23"/>
      <c r="AQ704" s="23"/>
      <c r="AR704" s="23">
        <v>35</v>
      </c>
      <c r="AS704" s="23">
        <v>3</v>
      </c>
      <c r="AT704" s="23"/>
      <c r="AU704" s="14" t="str">
        <f>HYPERLINK("http://www.openstreetmap.org/?mlat=33.5504&amp;mlon=44.3901&amp;zoom=12#map=12/33.5504/44.3901","Maplink1")</f>
        <v>Maplink1</v>
      </c>
      <c r="AV704" s="14" t="str">
        <f>HYPERLINK("https://www.google.iq/maps/search/+33.5504,44.3901/@33.5504,44.3901,14z?hl=en","Maplink2")</f>
        <v>Maplink2</v>
      </c>
      <c r="AW704" s="14" t="str">
        <f>HYPERLINK("http://www.bing.com/maps/?lvl=14&amp;sty=h&amp;cp=33.5504~44.3901&amp;sp=point.33.5504_44.3901_Al Hussainiya-Mahalla 227","Maplink3")</f>
        <v>Maplink3</v>
      </c>
    </row>
    <row r="705" spans="1:49" ht="15" customHeight="1" x14ac:dyDescent="0.25">
      <c r="A705" s="21">
        <v>22032</v>
      </c>
      <c r="B705" s="22" t="s">
        <v>11</v>
      </c>
      <c r="C705" s="22" t="s">
        <v>1552</v>
      </c>
      <c r="D705" s="22" t="s">
        <v>8359</v>
      </c>
      <c r="E705" s="22" t="s">
        <v>1590</v>
      </c>
      <c r="F705" s="22">
        <v>33.542786702500003</v>
      </c>
      <c r="G705" s="22">
        <v>44.421716667699997</v>
      </c>
      <c r="H705" s="21" t="s">
        <v>1449</v>
      </c>
      <c r="I705" s="21" t="s">
        <v>1555</v>
      </c>
      <c r="J705" s="21" t="s">
        <v>1591</v>
      </c>
      <c r="K705" s="24">
        <v>44</v>
      </c>
      <c r="L705" s="24">
        <v>264</v>
      </c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>
        <v>44</v>
      </c>
      <c r="Z705" s="23"/>
      <c r="AA705" s="23"/>
      <c r="AB705" s="23"/>
      <c r="AC705" s="23"/>
      <c r="AD705" s="23"/>
      <c r="AE705" s="23"/>
      <c r="AF705" s="23">
        <v>12</v>
      </c>
      <c r="AG705" s="23"/>
      <c r="AH705" s="23"/>
      <c r="AI705" s="23"/>
      <c r="AJ705" s="23"/>
      <c r="AK705" s="23">
        <v>32</v>
      </c>
      <c r="AL705" s="23"/>
      <c r="AM705" s="23"/>
      <c r="AN705" s="23"/>
      <c r="AO705" s="23"/>
      <c r="AP705" s="23"/>
      <c r="AQ705" s="23"/>
      <c r="AR705" s="23">
        <v>44</v>
      </c>
      <c r="AS705" s="23"/>
      <c r="AT705" s="23"/>
      <c r="AU705" s="14" t="str">
        <f>HYPERLINK("http://www.openstreetmap.org/?mlat=33.5395&amp;mlon=44.4231&amp;zoom=12#map=12/33.5395/44.4231","Maplink1")</f>
        <v>Maplink1</v>
      </c>
      <c r="AV705" s="14" t="str">
        <f>HYPERLINK("https://www.google.iq/maps/search/+33.5395,44.4231/@33.5395,44.4231,14z?hl=en","Maplink2")</f>
        <v>Maplink2</v>
      </c>
      <c r="AW705" s="14" t="str">
        <f>HYPERLINK("http://www.bing.com/maps/?lvl=14&amp;sty=h&amp;cp=33.5395~44.4231&amp;sp=point.33.5395_44.4231_Al Hussainiya-Mahalla 202","Maplink3")</f>
        <v>Maplink3</v>
      </c>
    </row>
    <row r="706" spans="1:49" ht="15" customHeight="1" x14ac:dyDescent="0.25">
      <c r="A706" s="21">
        <v>22699</v>
      </c>
      <c r="B706" s="22" t="s">
        <v>11</v>
      </c>
      <c r="C706" s="22" t="s">
        <v>1552</v>
      </c>
      <c r="D706" s="22" t="s">
        <v>8360</v>
      </c>
      <c r="E706" s="22" t="s">
        <v>1607</v>
      </c>
      <c r="F706" s="22">
        <v>33.544444245299999</v>
      </c>
      <c r="G706" s="22">
        <v>44.392920273999998</v>
      </c>
      <c r="H706" s="21" t="s">
        <v>1449</v>
      </c>
      <c r="I706" s="21" t="s">
        <v>1555</v>
      </c>
      <c r="J706" s="21" t="s">
        <v>1608</v>
      </c>
      <c r="K706" s="24">
        <v>19</v>
      </c>
      <c r="L706" s="24">
        <v>114</v>
      </c>
      <c r="M706" s="23">
        <v>3</v>
      </c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>
        <v>6</v>
      </c>
      <c r="Z706" s="23"/>
      <c r="AA706" s="23">
        <v>10</v>
      </c>
      <c r="AB706" s="23"/>
      <c r="AC706" s="23"/>
      <c r="AD706" s="23"/>
      <c r="AE706" s="23"/>
      <c r="AF706" s="23">
        <v>10</v>
      </c>
      <c r="AG706" s="23"/>
      <c r="AH706" s="23"/>
      <c r="AI706" s="23"/>
      <c r="AJ706" s="23"/>
      <c r="AK706" s="23">
        <v>9</v>
      </c>
      <c r="AL706" s="23"/>
      <c r="AM706" s="23"/>
      <c r="AN706" s="23"/>
      <c r="AO706" s="23"/>
      <c r="AP706" s="23"/>
      <c r="AQ706" s="23">
        <v>6</v>
      </c>
      <c r="AR706" s="23">
        <v>13</v>
      </c>
      <c r="AS706" s="23"/>
      <c r="AT706" s="23"/>
      <c r="AU706" s="14" t="str">
        <f>HYPERLINK("http://www.openstreetmap.org/?mlat=33.543&amp;mlon=44.3948&amp;zoom=12#map=12/33.543/44.3948","Maplink1")</f>
        <v>Maplink1</v>
      </c>
      <c r="AV706" s="14" t="str">
        <f>HYPERLINK("https://www.google.iq/maps/search/+33.543,44.3948/@33.543,44.3948,14z?hl=en","Maplink2")</f>
        <v>Maplink2</v>
      </c>
      <c r="AW706" s="14" t="str">
        <f>HYPERLINK("http://www.bing.com/maps/?lvl=14&amp;sty=h&amp;cp=33.543~44.3948&amp;sp=point.33.543_44.3948_Al Hussainiya-Mahalla 217","Maplink3")</f>
        <v>Maplink3</v>
      </c>
    </row>
    <row r="707" spans="1:49" ht="15" customHeight="1" x14ac:dyDescent="0.25">
      <c r="A707" s="21">
        <v>21627</v>
      </c>
      <c r="B707" s="22" t="s">
        <v>11</v>
      </c>
      <c r="C707" s="22" t="s">
        <v>1552</v>
      </c>
      <c r="D707" s="22" t="s">
        <v>8361</v>
      </c>
      <c r="E707" s="22" t="s">
        <v>1613</v>
      </c>
      <c r="F707" s="22">
        <v>33.544251417200002</v>
      </c>
      <c r="G707" s="22">
        <v>44.419667846999999</v>
      </c>
      <c r="H707" s="21" t="s">
        <v>1449</v>
      </c>
      <c r="I707" s="21" t="s">
        <v>1555</v>
      </c>
      <c r="J707" s="21" t="s">
        <v>1614</v>
      </c>
      <c r="K707" s="24">
        <v>13</v>
      </c>
      <c r="L707" s="24">
        <v>78</v>
      </c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>
        <v>13</v>
      </c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>
        <v>13</v>
      </c>
      <c r="AL707" s="23"/>
      <c r="AM707" s="23"/>
      <c r="AN707" s="23"/>
      <c r="AO707" s="23"/>
      <c r="AP707" s="23"/>
      <c r="AQ707" s="23"/>
      <c r="AR707" s="23">
        <v>13</v>
      </c>
      <c r="AS707" s="23"/>
      <c r="AT707" s="23"/>
      <c r="AU707" s="14" t="str">
        <f>HYPERLINK("http://www.openstreetmap.org/?mlat=33.5455&amp;mlon=44.4235&amp;zoom=12#map=12/33.5455/44.4235","Maplink1")</f>
        <v>Maplink1</v>
      </c>
      <c r="AV707" s="14" t="str">
        <f>HYPERLINK("https://www.google.iq/maps/search/+33.5455,44.4235/@33.5455,44.4235,14z?hl=en","Maplink2")</f>
        <v>Maplink2</v>
      </c>
      <c r="AW707" s="14" t="str">
        <f>HYPERLINK("http://www.bing.com/maps/?lvl=14&amp;sty=h&amp;cp=33.5455~44.4235&amp;sp=point.33.5455_44.4235_Al Hussayniya (Mahala 210)","Maplink3")</f>
        <v>Maplink3</v>
      </c>
    </row>
    <row r="708" spans="1:49" ht="15" customHeight="1" x14ac:dyDescent="0.25">
      <c r="A708" s="21">
        <v>21628</v>
      </c>
      <c r="B708" s="22" t="s">
        <v>11</v>
      </c>
      <c r="C708" s="22" t="s">
        <v>1552</v>
      </c>
      <c r="D708" s="22" t="s">
        <v>8362</v>
      </c>
      <c r="E708" s="22" t="s">
        <v>1615</v>
      </c>
      <c r="F708" s="22">
        <v>33.555595898599996</v>
      </c>
      <c r="G708" s="22">
        <v>44.433041340000003</v>
      </c>
      <c r="H708" s="21" t="s">
        <v>1449</v>
      </c>
      <c r="I708" s="21" t="s">
        <v>1555</v>
      </c>
      <c r="J708" s="21" t="s">
        <v>1616</v>
      </c>
      <c r="K708" s="24">
        <v>12</v>
      </c>
      <c r="L708" s="24">
        <v>72</v>
      </c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>
        <v>8</v>
      </c>
      <c r="Z708" s="23"/>
      <c r="AA708" s="23">
        <v>4</v>
      </c>
      <c r="AB708" s="23"/>
      <c r="AC708" s="23"/>
      <c r="AD708" s="23"/>
      <c r="AE708" s="23"/>
      <c r="AF708" s="23"/>
      <c r="AG708" s="23"/>
      <c r="AH708" s="23"/>
      <c r="AI708" s="23"/>
      <c r="AJ708" s="23"/>
      <c r="AK708" s="23">
        <v>12</v>
      </c>
      <c r="AL708" s="23"/>
      <c r="AM708" s="23"/>
      <c r="AN708" s="23"/>
      <c r="AO708" s="23"/>
      <c r="AP708" s="23"/>
      <c r="AQ708" s="23"/>
      <c r="AR708" s="23">
        <v>12</v>
      </c>
      <c r="AS708" s="23"/>
      <c r="AT708" s="23"/>
      <c r="AU708" s="14" t="str">
        <f>HYPERLINK("http://www.openstreetmap.org/?mlat=33.558&amp;mlon=44.4254&amp;zoom=12#map=12/33.558/44.4254","Maplink1")</f>
        <v>Maplink1</v>
      </c>
      <c r="AV708" s="14" t="str">
        <f>HYPERLINK("https://www.google.iq/maps/search/+33.558,44.4254/@33.558,44.4254,14z?hl=en","Maplink2")</f>
        <v>Maplink2</v>
      </c>
      <c r="AW708" s="14" t="str">
        <f>HYPERLINK("http://www.bing.com/maps/?lvl=14&amp;sty=h&amp;cp=33.558~44.4254&amp;sp=point.33.558_44.4254_Al Hussayniya (Mahala 222)","Maplink3")</f>
        <v>Maplink3</v>
      </c>
    </row>
    <row r="709" spans="1:49" ht="15" customHeight="1" x14ac:dyDescent="0.25">
      <c r="A709" s="21">
        <v>21573</v>
      </c>
      <c r="B709" s="22" t="s">
        <v>11</v>
      </c>
      <c r="C709" s="22" t="s">
        <v>1552</v>
      </c>
      <c r="D709" s="22" t="s">
        <v>8363</v>
      </c>
      <c r="E709" s="22" t="s">
        <v>1617</v>
      </c>
      <c r="F709" s="22">
        <v>33.542568469400003</v>
      </c>
      <c r="G709" s="22">
        <v>44.392994860999998</v>
      </c>
      <c r="H709" s="21" t="s">
        <v>1449</v>
      </c>
      <c r="I709" s="21" t="s">
        <v>1555</v>
      </c>
      <c r="J709" s="21" t="s">
        <v>1618</v>
      </c>
      <c r="K709" s="24">
        <v>15</v>
      </c>
      <c r="L709" s="24">
        <v>90</v>
      </c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>
        <v>15</v>
      </c>
      <c r="Z709" s="23"/>
      <c r="AA709" s="23"/>
      <c r="AB709" s="23"/>
      <c r="AC709" s="23"/>
      <c r="AD709" s="23"/>
      <c r="AE709" s="23"/>
      <c r="AF709" s="23">
        <v>2</v>
      </c>
      <c r="AG709" s="23"/>
      <c r="AH709" s="23"/>
      <c r="AI709" s="23"/>
      <c r="AJ709" s="23"/>
      <c r="AK709" s="23">
        <v>13</v>
      </c>
      <c r="AL709" s="23"/>
      <c r="AM709" s="23"/>
      <c r="AN709" s="23"/>
      <c r="AO709" s="23"/>
      <c r="AP709" s="23"/>
      <c r="AQ709" s="23"/>
      <c r="AR709" s="23">
        <v>15</v>
      </c>
      <c r="AS709" s="23"/>
      <c r="AT709" s="23"/>
      <c r="AU709" s="14" t="str">
        <f>HYPERLINK("http://www.openstreetmap.org/?mlat=33.5407&amp;mlon=44.4153&amp;zoom=12#map=12/33.5407/44.4153","Maplink1")</f>
        <v>Maplink1</v>
      </c>
      <c r="AV709" s="14" t="str">
        <f>HYPERLINK("https://www.google.iq/maps/search/+33.5407,44.4153/@33.5407,44.4153,14z?hl=en","Maplink2")</f>
        <v>Maplink2</v>
      </c>
      <c r="AW709" s="14" t="str">
        <f>HYPERLINK("http://www.bing.com/maps/?lvl=14&amp;sty=h&amp;cp=33.5407~44.4153&amp;sp=point.33.5407_44.4153_AL Hussayniya-Mahala 201","Maplink3")</f>
        <v>Maplink3</v>
      </c>
    </row>
    <row r="710" spans="1:49" ht="15" customHeight="1" x14ac:dyDescent="0.25">
      <c r="A710" s="21">
        <v>22033</v>
      </c>
      <c r="B710" s="22" t="s">
        <v>11</v>
      </c>
      <c r="C710" s="22" t="s">
        <v>1552</v>
      </c>
      <c r="D710" s="22" t="s">
        <v>8364</v>
      </c>
      <c r="E710" s="22" t="s">
        <v>1619</v>
      </c>
      <c r="F710" s="22">
        <v>33.544150000000002</v>
      </c>
      <c r="G710" s="22">
        <v>44.411830000000002</v>
      </c>
      <c r="H710" s="21" t="s">
        <v>1449</v>
      </c>
      <c r="I710" s="21" t="s">
        <v>1555</v>
      </c>
      <c r="J710" s="21" t="s">
        <v>1620</v>
      </c>
      <c r="K710" s="24">
        <v>34</v>
      </c>
      <c r="L710" s="24">
        <v>204</v>
      </c>
      <c r="M710" s="23">
        <v>2</v>
      </c>
      <c r="N710" s="23"/>
      <c r="O710" s="23"/>
      <c r="P710" s="23"/>
      <c r="Q710" s="23"/>
      <c r="R710" s="23">
        <v>19</v>
      </c>
      <c r="S710" s="23"/>
      <c r="T710" s="23"/>
      <c r="U710" s="23"/>
      <c r="V710" s="23"/>
      <c r="W710" s="23"/>
      <c r="X710" s="23"/>
      <c r="Y710" s="23">
        <v>4</v>
      </c>
      <c r="Z710" s="23"/>
      <c r="AA710" s="23">
        <v>9</v>
      </c>
      <c r="AB710" s="23"/>
      <c r="AC710" s="23"/>
      <c r="AD710" s="23"/>
      <c r="AE710" s="23"/>
      <c r="AF710" s="23">
        <v>24</v>
      </c>
      <c r="AG710" s="23"/>
      <c r="AH710" s="23"/>
      <c r="AI710" s="23"/>
      <c r="AJ710" s="23"/>
      <c r="AK710" s="23">
        <v>10</v>
      </c>
      <c r="AL710" s="23"/>
      <c r="AM710" s="23"/>
      <c r="AN710" s="23"/>
      <c r="AO710" s="23">
        <v>7</v>
      </c>
      <c r="AP710" s="23">
        <v>8</v>
      </c>
      <c r="AQ710" s="23"/>
      <c r="AR710" s="23">
        <v>19</v>
      </c>
      <c r="AS710" s="23"/>
      <c r="AT710" s="23"/>
      <c r="AU710" s="14" t="str">
        <f>HYPERLINK("http://www.openstreetmap.org/?mlat=33.5378&amp;mlon=44.4089&amp;zoom=12#map=12/33.5378/44.4089","Maplink1")</f>
        <v>Maplink1</v>
      </c>
      <c r="AV710" s="14" t="str">
        <f>HYPERLINK("https://www.google.iq/maps/search/+33.5378,44.4089/@33.5378,44.4089,14z?hl=en","Maplink2")</f>
        <v>Maplink2</v>
      </c>
      <c r="AW710" s="14" t="str">
        <f>HYPERLINK("http://www.bing.com/maps/?lvl=14&amp;sty=h&amp;cp=33.5378~44.4089&amp;sp=point.33.5378_44.4089_Al Hussayniya-Mahalla 207","Maplink3")</f>
        <v>Maplink3</v>
      </c>
    </row>
    <row r="711" spans="1:49" ht="15" customHeight="1" x14ac:dyDescent="0.25">
      <c r="A711" s="21">
        <v>22003</v>
      </c>
      <c r="B711" s="22" t="s">
        <v>11</v>
      </c>
      <c r="C711" s="22" t="s">
        <v>1552</v>
      </c>
      <c r="D711" s="22" t="s">
        <v>8365</v>
      </c>
      <c r="E711" s="22" t="s">
        <v>1621</v>
      </c>
      <c r="F711" s="22">
        <v>33.543515021899999</v>
      </c>
      <c r="G711" s="22">
        <v>44.4345891635</v>
      </c>
      <c r="H711" s="21" t="s">
        <v>1449</v>
      </c>
      <c r="I711" s="21" t="s">
        <v>1555</v>
      </c>
      <c r="J711" s="21" t="s">
        <v>1622</v>
      </c>
      <c r="K711" s="24">
        <v>8</v>
      </c>
      <c r="L711" s="24">
        <v>48</v>
      </c>
      <c r="M711" s="23"/>
      <c r="N711" s="23"/>
      <c r="O711" s="23"/>
      <c r="P711" s="23"/>
      <c r="Q711" s="23"/>
      <c r="R711" s="23"/>
      <c r="S711" s="23"/>
      <c r="T711" s="23"/>
      <c r="U711" s="23">
        <v>5</v>
      </c>
      <c r="V711" s="23"/>
      <c r="W711" s="23"/>
      <c r="X711" s="23"/>
      <c r="Y711" s="23">
        <v>3</v>
      </c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>
        <v>8</v>
      </c>
      <c r="AL711" s="23"/>
      <c r="AM711" s="23"/>
      <c r="AN711" s="23"/>
      <c r="AO711" s="23"/>
      <c r="AP711" s="23"/>
      <c r="AQ711" s="23"/>
      <c r="AR711" s="23">
        <v>8</v>
      </c>
      <c r="AS711" s="23"/>
      <c r="AT711" s="23"/>
      <c r="AU711" s="14" t="str">
        <f>HYPERLINK("http://www.openstreetmap.org/?mlat=33.5466&amp;mlon=44.4355&amp;zoom=12#map=12/33.5466/44.4355","Maplink1")</f>
        <v>Maplink1</v>
      </c>
      <c r="AV711" s="14" t="str">
        <f>HYPERLINK("https://www.google.iq/maps/search/+33.5466,44.4355/@33.5466,44.4355,14z?hl=en","Maplink2")</f>
        <v>Maplink2</v>
      </c>
      <c r="AW711" s="14" t="str">
        <f>HYPERLINK("http://www.bing.com/maps/?lvl=14&amp;sty=h&amp;cp=33.5466~44.4355&amp;sp=point.33.5466_44.4355_Al Hussayniya-Mahalla 214","Maplink3")</f>
        <v>Maplink3</v>
      </c>
    </row>
    <row r="712" spans="1:49" ht="15" customHeight="1" x14ac:dyDescent="0.25">
      <c r="A712" s="21">
        <v>21873</v>
      </c>
      <c r="B712" s="22" t="s">
        <v>11</v>
      </c>
      <c r="C712" s="22" t="s">
        <v>1552</v>
      </c>
      <c r="D712" s="22" t="s">
        <v>8366</v>
      </c>
      <c r="E712" s="22" t="s">
        <v>1693</v>
      </c>
      <c r="F712" s="22">
        <v>33.548901211800001</v>
      </c>
      <c r="G712" s="22">
        <v>44.4191584183</v>
      </c>
      <c r="H712" s="21" t="s">
        <v>1449</v>
      </c>
      <c r="I712" s="21" t="s">
        <v>1555</v>
      </c>
      <c r="J712" s="21" t="s">
        <v>1694</v>
      </c>
      <c r="K712" s="24">
        <v>19</v>
      </c>
      <c r="L712" s="24">
        <v>114</v>
      </c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>
        <v>19</v>
      </c>
      <c r="Z712" s="23"/>
      <c r="AA712" s="23"/>
      <c r="AB712" s="23"/>
      <c r="AC712" s="23"/>
      <c r="AD712" s="23"/>
      <c r="AE712" s="23"/>
      <c r="AF712" s="23">
        <v>19</v>
      </c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>
        <v>19</v>
      </c>
      <c r="AS712" s="23"/>
      <c r="AT712" s="23"/>
      <c r="AU712" s="14" t="str">
        <f>HYPERLINK("http://www.openstreetmap.org/?mlat=33.5548&amp;mlon=44.4271&amp;zoom=12#map=12/33.5548/44.4271","Maplink1")</f>
        <v>Maplink1</v>
      </c>
      <c r="AV712" s="14" t="str">
        <f>HYPERLINK("https://www.google.iq/maps/search/+33.5548,44.4271/@33.5548,44.4271,14z?hl=en","Maplink2")</f>
        <v>Maplink2</v>
      </c>
      <c r="AW712" s="14" t="str">
        <f>HYPERLINK("http://www.bing.com/maps/?lvl=14&amp;sty=h&amp;cp=33.5548~44.4271&amp;sp=point.33.5548_44.4271_Hussayniya-Mahala 218","Maplink3")</f>
        <v>Maplink3</v>
      </c>
    </row>
    <row r="713" spans="1:49" ht="15" customHeight="1" x14ac:dyDescent="0.25">
      <c r="A713" s="21">
        <v>24621</v>
      </c>
      <c r="B713" s="22" t="s">
        <v>11</v>
      </c>
      <c r="C713" s="22" t="s">
        <v>1552</v>
      </c>
      <c r="D713" s="22" t="s">
        <v>8367</v>
      </c>
      <c r="E713" s="22" t="s">
        <v>1623</v>
      </c>
      <c r="F713" s="22">
        <v>33.533886095699998</v>
      </c>
      <c r="G713" s="22">
        <v>44.393016195400001</v>
      </c>
      <c r="H713" s="21" t="s">
        <v>1449</v>
      </c>
      <c r="I713" s="21" t="s">
        <v>1555</v>
      </c>
      <c r="J713" s="21"/>
      <c r="K713" s="24">
        <v>22</v>
      </c>
      <c r="L713" s="24">
        <v>132</v>
      </c>
      <c r="M713" s="23"/>
      <c r="N713" s="23"/>
      <c r="O713" s="23"/>
      <c r="P713" s="23"/>
      <c r="Q713" s="23"/>
      <c r="R713" s="23">
        <v>6</v>
      </c>
      <c r="S713" s="23"/>
      <c r="T713" s="23"/>
      <c r="U713" s="23"/>
      <c r="V713" s="23"/>
      <c r="W713" s="23"/>
      <c r="X713" s="23"/>
      <c r="Y713" s="23">
        <v>16</v>
      </c>
      <c r="Z713" s="23"/>
      <c r="AA713" s="23"/>
      <c r="AB713" s="23"/>
      <c r="AC713" s="23"/>
      <c r="AD713" s="23"/>
      <c r="AE713" s="23"/>
      <c r="AF713" s="23">
        <v>12</v>
      </c>
      <c r="AG713" s="23"/>
      <c r="AH713" s="23"/>
      <c r="AI713" s="23"/>
      <c r="AJ713" s="23"/>
      <c r="AK713" s="23">
        <v>10</v>
      </c>
      <c r="AL713" s="23"/>
      <c r="AM713" s="23"/>
      <c r="AN713" s="23"/>
      <c r="AO713" s="23"/>
      <c r="AP713" s="23"/>
      <c r="AQ713" s="23"/>
      <c r="AR713" s="23">
        <v>22</v>
      </c>
      <c r="AS713" s="23"/>
      <c r="AT713" s="23"/>
      <c r="AU713" s="14" t="str">
        <f>HYPERLINK("http://www.openstreetmap.org/?mlat=33.5369&amp;mlon=44.3924&amp;zoom=12#map=12/33.5369/44.3924","Maplink1")</f>
        <v>Maplink1</v>
      </c>
      <c r="AV713" s="14" t="str">
        <f>HYPERLINK("https://www.google.iq/maps/search/+33.5369,44.3924/@33.5369,44.3924,14z?hl=en","Maplink2")</f>
        <v>Maplink2</v>
      </c>
      <c r="AW713" s="14" t="str">
        <f>HYPERLINK("http://www.bing.com/maps/?lvl=14&amp;sty=h&amp;cp=33.5369~44.3924&amp;sp=point.33.5369_44.3924_Al Hussiniyah-Mahala 223","Maplink3")</f>
        <v>Maplink3</v>
      </c>
    </row>
    <row r="714" spans="1:49" ht="15" customHeight="1" x14ac:dyDescent="0.25">
      <c r="A714" s="21">
        <v>25208</v>
      </c>
      <c r="B714" s="22" t="s">
        <v>11</v>
      </c>
      <c r="C714" s="22" t="s">
        <v>1552</v>
      </c>
      <c r="D714" s="22" t="s">
        <v>1624</v>
      </c>
      <c r="E714" s="22" t="s">
        <v>1625</v>
      </c>
      <c r="F714" s="22">
        <v>33.536706258300001</v>
      </c>
      <c r="G714" s="22">
        <v>44.354805583999998</v>
      </c>
      <c r="H714" s="21" t="s">
        <v>1449</v>
      </c>
      <c r="I714" s="21" t="s">
        <v>1555</v>
      </c>
      <c r="J714" s="21"/>
      <c r="K714" s="24">
        <v>30</v>
      </c>
      <c r="L714" s="24">
        <v>180</v>
      </c>
      <c r="M714" s="23">
        <v>17</v>
      </c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>
        <v>13</v>
      </c>
      <c r="Z714" s="23"/>
      <c r="AA714" s="23"/>
      <c r="AB714" s="23"/>
      <c r="AC714" s="23"/>
      <c r="AD714" s="23"/>
      <c r="AE714" s="23"/>
      <c r="AF714" s="23">
        <v>11</v>
      </c>
      <c r="AG714" s="23"/>
      <c r="AH714" s="23"/>
      <c r="AI714" s="23"/>
      <c r="AJ714" s="23"/>
      <c r="AK714" s="23">
        <v>19</v>
      </c>
      <c r="AL714" s="23"/>
      <c r="AM714" s="23"/>
      <c r="AN714" s="23"/>
      <c r="AO714" s="23"/>
      <c r="AP714" s="23"/>
      <c r="AQ714" s="23"/>
      <c r="AR714" s="23">
        <v>13</v>
      </c>
      <c r="AS714" s="23">
        <v>15</v>
      </c>
      <c r="AT714" s="23">
        <v>2</v>
      </c>
      <c r="AU714" s="14" t="str">
        <f>HYPERLINK("http://www.openstreetmap.org/?mlat=33.5437&amp;mlon=44.3528&amp;zoom=12#map=12/33.5437/44.3528","Maplink1")</f>
        <v>Maplink1</v>
      </c>
      <c r="AV714" s="14" t="str">
        <f>HYPERLINK("https://www.google.iq/maps/search/+33.5437,44.3528/@33.5437,44.3528,14z?hl=en","Maplink2")</f>
        <v>Maplink2</v>
      </c>
      <c r="AW714" s="14" t="str">
        <f>HYPERLINK("http://www.bing.com/maps/?lvl=14&amp;sty=h&amp;cp=33.5437~44.3528&amp;sp=point.33.5437_44.3528_Al Kouther","Maplink3")</f>
        <v>Maplink3</v>
      </c>
    </row>
    <row r="715" spans="1:49" ht="15" customHeight="1" x14ac:dyDescent="0.25">
      <c r="A715" s="21">
        <v>24004</v>
      </c>
      <c r="B715" s="22" t="s">
        <v>11</v>
      </c>
      <c r="C715" s="22" t="s">
        <v>1552</v>
      </c>
      <c r="D715" s="22" t="s">
        <v>1626</v>
      </c>
      <c r="E715" s="22" t="s">
        <v>7665</v>
      </c>
      <c r="F715" s="22">
        <v>33.363265301699997</v>
      </c>
      <c r="G715" s="22">
        <v>44.377761726800003</v>
      </c>
      <c r="H715" s="21" t="s">
        <v>1449</v>
      </c>
      <c r="I715" s="21" t="s">
        <v>1555</v>
      </c>
      <c r="J715" s="21" t="s">
        <v>1627</v>
      </c>
      <c r="K715" s="24">
        <v>32</v>
      </c>
      <c r="L715" s="24">
        <v>192</v>
      </c>
      <c r="M715" s="23">
        <v>6</v>
      </c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>
        <v>15</v>
      </c>
      <c r="Z715" s="23"/>
      <c r="AA715" s="23">
        <v>11</v>
      </c>
      <c r="AB715" s="23"/>
      <c r="AC715" s="23"/>
      <c r="AD715" s="23"/>
      <c r="AE715" s="23"/>
      <c r="AF715" s="23">
        <v>9</v>
      </c>
      <c r="AG715" s="23"/>
      <c r="AH715" s="23"/>
      <c r="AI715" s="23"/>
      <c r="AJ715" s="23"/>
      <c r="AK715" s="23">
        <v>23</v>
      </c>
      <c r="AL715" s="23"/>
      <c r="AM715" s="23"/>
      <c r="AN715" s="23"/>
      <c r="AO715" s="23">
        <v>6</v>
      </c>
      <c r="AP715" s="23">
        <v>15</v>
      </c>
      <c r="AQ715" s="23"/>
      <c r="AR715" s="23">
        <v>11</v>
      </c>
      <c r="AS715" s="23"/>
      <c r="AT715" s="23"/>
      <c r="AU715" s="14" t="str">
        <f>HYPERLINK("http://www.openstreetmap.org/?mlat=33.3831&amp;mlon=44.3757&amp;zoom=12#map=12/33.3831/44.3757","Maplink1")</f>
        <v>Maplink1</v>
      </c>
      <c r="AV715" s="14" t="str">
        <f>HYPERLINK("https://www.google.iq/maps/search/+33.3831,44.3757/@33.3831,44.3757,14z?hl=en","Maplink2")</f>
        <v>Maplink2</v>
      </c>
      <c r="AW715" s="14" t="str">
        <f>HYPERLINK("http://www.bing.com/maps/?lvl=14&amp;sty=h&amp;cp=33.3831~44.3757&amp;sp=point.33.3831_44.3757_Al Maghreb-302","Maplink3")</f>
        <v>Maplink3</v>
      </c>
    </row>
    <row r="716" spans="1:49" ht="15" customHeight="1" x14ac:dyDescent="0.25">
      <c r="A716" s="21">
        <v>24005</v>
      </c>
      <c r="B716" s="22" t="s">
        <v>11</v>
      </c>
      <c r="C716" s="22" t="s">
        <v>1552</v>
      </c>
      <c r="D716" s="22" t="s">
        <v>1628</v>
      </c>
      <c r="E716" s="22" t="s">
        <v>7666</v>
      </c>
      <c r="F716" s="22">
        <v>33.367032633800001</v>
      </c>
      <c r="G716" s="22">
        <v>44.380787783899997</v>
      </c>
      <c r="H716" s="21" t="s">
        <v>1449</v>
      </c>
      <c r="I716" s="21" t="s">
        <v>1555</v>
      </c>
      <c r="J716" s="21" t="s">
        <v>1629</v>
      </c>
      <c r="K716" s="24">
        <v>50</v>
      </c>
      <c r="L716" s="24">
        <v>300</v>
      </c>
      <c r="M716" s="23">
        <v>50</v>
      </c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>
        <v>20</v>
      </c>
      <c r="AG716" s="23"/>
      <c r="AH716" s="23"/>
      <c r="AI716" s="23"/>
      <c r="AJ716" s="23"/>
      <c r="AK716" s="23">
        <v>30</v>
      </c>
      <c r="AL716" s="23"/>
      <c r="AM716" s="23"/>
      <c r="AN716" s="23"/>
      <c r="AO716" s="23">
        <v>43</v>
      </c>
      <c r="AP716" s="23"/>
      <c r="AQ716" s="23"/>
      <c r="AR716" s="23">
        <v>7</v>
      </c>
      <c r="AS716" s="23"/>
      <c r="AT716" s="23"/>
      <c r="AU716" s="14" t="str">
        <f>HYPERLINK("http://www.openstreetmap.org/?mlat=33.3812&amp;mlon=44.3755&amp;zoom=12#map=12/33.3812/44.3755","Maplink1")</f>
        <v>Maplink1</v>
      </c>
      <c r="AV716" s="14" t="str">
        <f>HYPERLINK("https://www.google.iq/maps/search/+33.3812,44.3755/@33.3812,44.3755,14z?hl=en","Maplink2")</f>
        <v>Maplink2</v>
      </c>
      <c r="AW716" s="14" t="str">
        <f>HYPERLINK("http://www.bing.com/maps/?lvl=14&amp;sty=h&amp;cp=33.3812~44.3755&amp;sp=point.33.3812_44.3755_Al Maghreb-304","Maplink3")</f>
        <v>Maplink3</v>
      </c>
    </row>
    <row r="717" spans="1:49" ht="15" customHeight="1" x14ac:dyDescent="0.25">
      <c r="A717" s="21">
        <v>7549</v>
      </c>
      <c r="B717" s="22" t="s">
        <v>11</v>
      </c>
      <c r="C717" s="22" t="s">
        <v>1552</v>
      </c>
      <c r="D717" s="22" t="s">
        <v>1630</v>
      </c>
      <c r="E717" s="22" t="s">
        <v>1631</v>
      </c>
      <c r="F717" s="22">
        <v>33.5427777445</v>
      </c>
      <c r="G717" s="22">
        <v>44.352536065700001</v>
      </c>
      <c r="H717" s="21" t="s">
        <v>1449</v>
      </c>
      <c r="I717" s="21" t="s">
        <v>1555</v>
      </c>
      <c r="J717" s="21" t="s">
        <v>1632</v>
      </c>
      <c r="K717" s="24">
        <v>23</v>
      </c>
      <c r="L717" s="24">
        <v>138</v>
      </c>
      <c r="M717" s="23">
        <v>10</v>
      </c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>
        <v>13</v>
      </c>
      <c r="AB717" s="23"/>
      <c r="AC717" s="23"/>
      <c r="AD717" s="23"/>
      <c r="AE717" s="23"/>
      <c r="AF717" s="23">
        <v>13</v>
      </c>
      <c r="AG717" s="23"/>
      <c r="AH717" s="23"/>
      <c r="AI717" s="23"/>
      <c r="AJ717" s="23"/>
      <c r="AK717" s="23">
        <v>10</v>
      </c>
      <c r="AL717" s="23"/>
      <c r="AM717" s="23"/>
      <c r="AN717" s="23"/>
      <c r="AO717" s="23"/>
      <c r="AP717" s="23"/>
      <c r="AQ717" s="23"/>
      <c r="AR717" s="23">
        <v>12</v>
      </c>
      <c r="AS717" s="23">
        <v>11</v>
      </c>
      <c r="AT717" s="23"/>
      <c r="AU717" s="14" t="str">
        <f>HYPERLINK("http://www.openstreetmap.org/?mlat=33.5378&amp;mlon=44.3181&amp;zoom=12#map=12/33.5378/44.3181","Maplink1")</f>
        <v>Maplink1</v>
      </c>
      <c r="AV717" s="14" t="str">
        <f>HYPERLINK("https://www.google.iq/maps/search/+33.5378,44.3181/@33.5378,44.3181,14z?hl=en","Maplink2")</f>
        <v>Maplink2</v>
      </c>
      <c r="AW717" s="14" t="str">
        <f>HYPERLINK("http://www.bing.com/maps/?lvl=14&amp;sty=h&amp;cp=33.5378~44.3181&amp;sp=point.33.5378_44.3181_Al Marasma village","Maplink3")</f>
        <v>Maplink3</v>
      </c>
    </row>
    <row r="718" spans="1:49" ht="15" customHeight="1" x14ac:dyDescent="0.25">
      <c r="A718" s="21">
        <v>25220</v>
      </c>
      <c r="B718" s="22" t="s">
        <v>11</v>
      </c>
      <c r="C718" s="22" t="s">
        <v>1552</v>
      </c>
      <c r="D718" s="22" t="s">
        <v>1633</v>
      </c>
      <c r="E718" s="22" t="s">
        <v>1634</v>
      </c>
      <c r="F718" s="22">
        <v>33.549709999999997</v>
      </c>
      <c r="G718" s="22">
        <v>44.357790000000001</v>
      </c>
      <c r="H718" s="21" t="s">
        <v>1449</v>
      </c>
      <c r="I718" s="21" t="s">
        <v>1555</v>
      </c>
      <c r="J718" s="21"/>
      <c r="K718" s="24">
        <v>23</v>
      </c>
      <c r="L718" s="24">
        <v>138</v>
      </c>
      <c r="M718" s="23">
        <v>7</v>
      </c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>
        <v>16</v>
      </c>
      <c r="AB718" s="23"/>
      <c r="AC718" s="23"/>
      <c r="AD718" s="23"/>
      <c r="AE718" s="23"/>
      <c r="AF718" s="23">
        <v>23</v>
      </c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>
        <v>15</v>
      </c>
      <c r="AS718" s="23">
        <v>8</v>
      </c>
      <c r="AT718" s="23"/>
      <c r="AU718" s="14" t="str">
        <f>HYPERLINK("http://www.openstreetmap.org/?mlat=33.564&amp;mlon=44.3315&amp;zoom=12#map=12/33.564/44.3315","Maplink1")</f>
        <v>Maplink1</v>
      </c>
      <c r="AV718" s="14" t="str">
        <f>HYPERLINK("https://www.google.iq/maps/search/+33.564,44.3315/@33.564,44.3315,14z?hl=en","Maplink2")</f>
        <v>Maplink2</v>
      </c>
      <c r="AW718" s="14" t="str">
        <f>HYPERLINK("http://www.bing.com/maps/?lvl=14&amp;sty=h&amp;cp=33.564~44.3315&amp;sp=point.33.564_44.3315_Al Noor Village","Maplink3")</f>
        <v>Maplink3</v>
      </c>
    </row>
    <row r="719" spans="1:49" ht="15" customHeight="1" x14ac:dyDescent="0.25">
      <c r="A719" s="21">
        <v>23999</v>
      </c>
      <c r="B719" s="22" t="s">
        <v>11</v>
      </c>
      <c r="C719" s="22" t="s">
        <v>1552</v>
      </c>
      <c r="D719" s="22" t="s">
        <v>1635</v>
      </c>
      <c r="E719" s="22" t="s">
        <v>7667</v>
      </c>
      <c r="F719" s="22">
        <v>33.378253065800003</v>
      </c>
      <c r="G719" s="22">
        <v>44.387402469100003</v>
      </c>
      <c r="H719" s="21" t="s">
        <v>1449</v>
      </c>
      <c r="I719" s="21" t="s">
        <v>1555</v>
      </c>
      <c r="J719" s="21" t="s">
        <v>1636</v>
      </c>
      <c r="K719" s="24">
        <v>58</v>
      </c>
      <c r="L719" s="24">
        <v>348</v>
      </c>
      <c r="M719" s="23">
        <v>27</v>
      </c>
      <c r="N719" s="23"/>
      <c r="O719" s="23"/>
      <c r="P719" s="23"/>
      <c r="Q719" s="23"/>
      <c r="R719" s="23">
        <v>1</v>
      </c>
      <c r="S719" s="23"/>
      <c r="T719" s="23"/>
      <c r="U719" s="23"/>
      <c r="V719" s="23"/>
      <c r="W719" s="23"/>
      <c r="X719" s="23"/>
      <c r="Y719" s="23">
        <v>18</v>
      </c>
      <c r="Z719" s="23"/>
      <c r="AA719" s="23">
        <v>12</v>
      </c>
      <c r="AB719" s="23"/>
      <c r="AC719" s="23"/>
      <c r="AD719" s="23"/>
      <c r="AE719" s="23"/>
      <c r="AF719" s="23">
        <v>20</v>
      </c>
      <c r="AG719" s="23"/>
      <c r="AH719" s="23"/>
      <c r="AI719" s="23"/>
      <c r="AJ719" s="23"/>
      <c r="AK719" s="23">
        <v>38</v>
      </c>
      <c r="AL719" s="23"/>
      <c r="AM719" s="23"/>
      <c r="AN719" s="23"/>
      <c r="AO719" s="23">
        <v>10</v>
      </c>
      <c r="AP719" s="23">
        <v>20</v>
      </c>
      <c r="AQ719" s="23">
        <v>2</v>
      </c>
      <c r="AR719" s="23">
        <v>13</v>
      </c>
      <c r="AS719" s="23">
        <v>13</v>
      </c>
      <c r="AT719" s="23"/>
      <c r="AU719" s="14" t="str">
        <f>HYPERLINK("http://www.openstreetmap.org/?mlat=33.3832&amp;mlon=44.3959&amp;zoom=12#map=12/33.3832/44.3959","Maplink1")</f>
        <v>Maplink1</v>
      </c>
      <c r="AV719" s="14" t="str">
        <f>HYPERLINK("https://www.google.iq/maps/search/+33.3832,44.3959/@33.3832,44.3959,14z?hl=en","Maplink2")</f>
        <v>Maplink2</v>
      </c>
      <c r="AW719" s="14" t="str">
        <f>HYPERLINK("http://www.bing.com/maps/?lvl=14&amp;sty=h&amp;cp=33.3832~44.3959&amp;sp=point.33.3832_44.3959_Al Qahira-307","Maplink3")</f>
        <v>Maplink3</v>
      </c>
    </row>
    <row r="720" spans="1:49" ht="15" customHeight="1" x14ac:dyDescent="0.25">
      <c r="A720" s="21">
        <v>24000</v>
      </c>
      <c r="B720" s="22" t="s">
        <v>11</v>
      </c>
      <c r="C720" s="22" t="s">
        <v>1552</v>
      </c>
      <c r="D720" s="22" t="s">
        <v>1637</v>
      </c>
      <c r="E720" s="22" t="s">
        <v>7668</v>
      </c>
      <c r="F720" s="22">
        <v>33.379255446499997</v>
      </c>
      <c r="G720" s="22">
        <v>44.3989945621</v>
      </c>
      <c r="H720" s="21" t="s">
        <v>1449</v>
      </c>
      <c r="I720" s="21" t="s">
        <v>1555</v>
      </c>
      <c r="J720" s="21" t="s">
        <v>1638</v>
      </c>
      <c r="K720" s="24">
        <v>32</v>
      </c>
      <c r="L720" s="24">
        <v>192</v>
      </c>
      <c r="M720" s="23">
        <v>20</v>
      </c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>
        <v>5</v>
      </c>
      <c r="Z720" s="23"/>
      <c r="AA720" s="23">
        <v>7</v>
      </c>
      <c r="AB720" s="23"/>
      <c r="AC720" s="23"/>
      <c r="AD720" s="23"/>
      <c r="AE720" s="23"/>
      <c r="AF720" s="23">
        <v>7</v>
      </c>
      <c r="AG720" s="23"/>
      <c r="AH720" s="23"/>
      <c r="AI720" s="23"/>
      <c r="AJ720" s="23"/>
      <c r="AK720" s="23">
        <v>25</v>
      </c>
      <c r="AL720" s="23"/>
      <c r="AM720" s="23"/>
      <c r="AN720" s="23"/>
      <c r="AO720" s="23"/>
      <c r="AP720" s="23"/>
      <c r="AQ720" s="23"/>
      <c r="AR720" s="23">
        <v>7</v>
      </c>
      <c r="AS720" s="23">
        <v>25</v>
      </c>
      <c r="AT720" s="23"/>
      <c r="AU720" s="14" t="str">
        <f>HYPERLINK("http://www.openstreetmap.org/?mlat=33.3832&amp;mlon=44.3959&amp;zoom=12#map=12/33.3832/44.3959","Maplink1")</f>
        <v>Maplink1</v>
      </c>
      <c r="AV720" s="14" t="str">
        <f>HYPERLINK("https://www.google.iq/maps/search/+33.3832,44.3959/@33.3832,44.3959,14z?hl=en","Maplink2")</f>
        <v>Maplink2</v>
      </c>
      <c r="AW720" s="14" t="str">
        <f>HYPERLINK("http://www.bing.com/maps/?lvl=14&amp;sty=h&amp;cp=33.3832~44.3959&amp;sp=point.33.3832_44.3959_Al Qahira-309","Maplink3")</f>
        <v>Maplink3</v>
      </c>
    </row>
    <row r="721" spans="1:49" ht="15" customHeight="1" x14ac:dyDescent="0.25">
      <c r="A721" s="21">
        <v>25454</v>
      </c>
      <c r="B721" s="22" t="s">
        <v>11</v>
      </c>
      <c r="C721" s="22" t="s">
        <v>1552</v>
      </c>
      <c r="D721" s="22" t="s">
        <v>1639</v>
      </c>
      <c r="E721" s="22" t="s">
        <v>7669</v>
      </c>
      <c r="F721" s="22">
        <v>33.382561543199998</v>
      </c>
      <c r="G721" s="22">
        <v>44.388265647200001</v>
      </c>
      <c r="H721" s="21" t="s">
        <v>1449</v>
      </c>
      <c r="I721" s="21" t="s">
        <v>1555</v>
      </c>
      <c r="J721" s="21"/>
      <c r="K721" s="24">
        <v>25</v>
      </c>
      <c r="L721" s="24">
        <v>150</v>
      </c>
      <c r="M721" s="23">
        <v>15</v>
      </c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>
        <v>6</v>
      </c>
      <c r="Z721" s="23"/>
      <c r="AA721" s="23">
        <v>4</v>
      </c>
      <c r="AB721" s="23"/>
      <c r="AC721" s="23"/>
      <c r="AD721" s="23"/>
      <c r="AE721" s="23"/>
      <c r="AF721" s="23"/>
      <c r="AG721" s="23"/>
      <c r="AH721" s="23"/>
      <c r="AI721" s="23"/>
      <c r="AJ721" s="23"/>
      <c r="AK721" s="23">
        <v>25</v>
      </c>
      <c r="AL721" s="23"/>
      <c r="AM721" s="23"/>
      <c r="AN721" s="23"/>
      <c r="AO721" s="23">
        <v>5</v>
      </c>
      <c r="AP721" s="23"/>
      <c r="AQ721" s="23">
        <v>11</v>
      </c>
      <c r="AR721" s="23">
        <v>9</v>
      </c>
      <c r="AS721" s="23"/>
      <c r="AT721" s="23"/>
      <c r="AU721" s="14" t="str">
        <f>HYPERLINK("http://www.openstreetmap.org/?mlat=33.3821&amp;mlon=44.3957&amp;zoom=12#map=12/33.3821/44.3957","Maplink1")</f>
        <v>Maplink1</v>
      </c>
      <c r="AV721" s="14" t="str">
        <f>HYPERLINK("https://www.google.iq/maps/search/+33.3821,44.3957/@33.3821,44.3957,14z?hl=en","Maplink2")</f>
        <v>Maplink2</v>
      </c>
      <c r="AW721" s="14" t="str">
        <f>HYPERLINK("http://www.bing.com/maps/?lvl=14&amp;sty=h&amp;cp=33.3821~44.3957&amp;sp=point.33.3821_44.3957_Al Qahira-311","Maplink3")</f>
        <v>Maplink3</v>
      </c>
    </row>
    <row r="722" spans="1:49" ht="15" customHeight="1" x14ac:dyDescent="0.25">
      <c r="A722" s="21">
        <v>25455</v>
      </c>
      <c r="B722" s="22" t="s">
        <v>11</v>
      </c>
      <c r="C722" s="22" t="s">
        <v>1552</v>
      </c>
      <c r="D722" s="22" t="s">
        <v>1640</v>
      </c>
      <c r="E722" s="22" t="s">
        <v>7670</v>
      </c>
      <c r="F722" s="22">
        <v>33.390575806000001</v>
      </c>
      <c r="G722" s="22">
        <v>44.387283578199998</v>
      </c>
      <c r="H722" s="21" t="s">
        <v>1449</v>
      </c>
      <c r="I722" s="21" t="s">
        <v>1555</v>
      </c>
      <c r="J722" s="21"/>
      <c r="K722" s="24">
        <v>22</v>
      </c>
      <c r="L722" s="24">
        <v>132</v>
      </c>
      <c r="M722" s="23">
        <v>22</v>
      </c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>
        <v>22</v>
      </c>
      <c r="AL722" s="23"/>
      <c r="AM722" s="23"/>
      <c r="AN722" s="23"/>
      <c r="AO722" s="23">
        <v>3</v>
      </c>
      <c r="AP722" s="23"/>
      <c r="AQ722" s="23"/>
      <c r="AR722" s="23"/>
      <c r="AS722" s="23">
        <v>19</v>
      </c>
      <c r="AT722" s="23"/>
      <c r="AU722" s="14" t="str">
        <f>HYPERLINK("http://www.openstreetmap.org/?mlat=33.3851&amp;mlon=44.3956&amp;zoom=12#map=12/33.3851/44.3956","Maplink1")</f>
        <v>Maplink1</v>
      </c>
      <c r="AV722" s="14" t="str">
        <f>HYPERLINK("https://www.google.iq/maps/search/+33.3851,44.3956/@33.3851,44.3956,14z?hl=en","Maplink2")</f>
        <v>Maplink2</v>
      </c>
      <c r="AW722" s="14" t="str">
        <f>HYPERLINK("http://www.bing.com/maps/?lvl=14&amp;sty=h&amp;cp=33.3851~44.3956&amp;sp=point.33.3851_44.3956_Al Qahira-313","Maplink3")</f>
        <v>Maplink3</v>
      </c>
    </row>
    <row r="723" spans="1:49" ht="15" customHeight="1" x14ac:dyDescent="0.25">
      <c r="A723" s="21">
        <v>25456</v>
      </c>
      <c r="B723" s="22" t="s">
        <v>11</v>
      </c>
      <c r="C723" s="22" t="s">
        <v>1552</v>
      </c>
      <c r="D723" s="22" t="s">
        <v>1641</v>
      </c>
      <c r="E723" s="22" t="s">
        <v>7671</v>
      </c>
      <c r="F723" s="22">
        <v>33.374985630899999</v>
      </c>
      <c r="G723" s="22">
        <v>44.3851696893</v>
      </c>
      <c r="H723" s="21" t="s">
        <v>1449</v>
      </c>
      <c r="I723" s="21" t="s">
        <v>1555</v>
      </c>
      <c r="J723" s="21"/>
      <c r="K723" s="24">
        <v>50</v>
      </c>
      <c r="L723" s="24">
        <v>300</v>
      </c>
      <c r="M723" s="23">
        <v>36</v>
      </c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>
        <v>11</v>
      </c>
      <c r="Z723" s="23"/>
      <c r="AA723" s="23">
        <v>3</v>
      </c>
      <c r="AB723" s="23"/>
      <c r="AC723" s="23"/>
      <c r="AD723" s="23"/>
      <c r="AE723" s="23"/>
      <c r="AF723" s="23">
        <v>16</v>
      </c>
      <c r="AG723" s="23"/>
      <c r="AH723" s="23"/>
      <c r="AI723" s="23"/>
      <c r="AJ723" s="23">
        <v>25</v>
      </c>
      <c r="AK723" s="23">
        <v>9</v>
      </c>
      <c r="AL723" s="23"/>
      <c r="AM723" s="23"/>
      <c r="AN723" s="23"/>
      <c r="AO723" s="23">
        <v>3</v>
      </c>
      <c r="AP723" s="23"/>
      <c r="AQ723" s="23">
        <v>11</v>
      </c>
      <c r="AR723" s="23">
        <v>11</v>
      </c>
      <c r="AS723" s="23">
        <v>25</v>
      </c>
      <c r="AT723" s="23"/>
      <c r="AU723" s="14" t="str">
        <f>HYPERLINK("http://www.openstreetmap.org/?mlat=33.3839&amp;mlon=44.3952&amp;zoom=12#map=12/33.3839/44.3952","Maplink1")</f>
        <v>Maplink1</v>
      </c>
      <c r="AV723" s="14" t="str">
        <f>HYPERLINK("https://www.google.iq/maps/search/+33.3839,44.3952/@33.3839,44.3952,14z?hl=en","Maplink2")</f>
        <v>Maplink2</v>
      </c>
      <c r="AW723" s="14" t="str">
        <f>HYPERLINK("http://www.bing.com/maps/?lvl=14&amp;sty=h&amp;cp=33.3839~44.3952&amp;sp=point.33.3839_44.3952_Al Qahira-322","Maplink3")</f>
        <v>Maplink3</v>
      </c>
    </row>
    <row r="724" spans="1:49" ht="15" customHeight="1" x14ac:dyDescent="0.25">
      <c r="A724" s="21">
        <v>23729</v>
      </c>
      <c r="B724" s="22" t="s">
        <v>11</v>
      </c>
      <c r="C724" s="22" t="s">
        <v>1552</v>
      </c>
      <c r="D724" s="22" t="s">
        <v>8368</v>
      </c>
      <c r="E724" s="22" t="s">
        <v>8369</v>
      </c>
      <c r="F724" s="22">
        <v>33.391019999999997</v>
      </c>
      <c r="G724" s="22">
        <v>44.379716999999999</v>
      </c>
      <c r="H724" s="21" t="s">
        <v>1449</v>
      </c>
      <c r="I724" s="21" t="s">
        <v>1555</v>
      </c>
      <c r="J724" s="21" t="s">
        <v>1565</v>
      </c>
      <c r="K724" s="24">
        <v>180</v>
      </c>
      <c r="L724" s="24">
        <v>1080</v>
      </c>
      <c r="M724" s="23">
        <v>80</v>
      </c>
      <c r="N724" s="23"/>
      <c r="O724" s="23"/>
      <c r="P724" s="23"/>
      <c r="Q724" s="23"/>
      <c r="R724" s="23">
        <v>8</v>
      </c>
      <c r="S724" s="23"/>
      <c r="T724" s="23"/>
      <c r="U724" s="23"/>
      <c r="V724" s="23"/>
      <c r="W724" s="23"/>
      <c r="X724" s="23"/>
      <c r="Y724" s="23">
        <v>25</v>
      </c>
      <c r="Z724" s="23"/>
      <c r="AA724" s="23">
        <v>67</v>
      </c>
      <c r="AB724" s="23"/>
      <c r="AC724" s="23"/>
      <c r="AD724" s="23"/>
      <c r="AE724" s="23"/>
      <c r="AF724" s="23">
        <v>53</v>
      </c>
      <c r="AG724" s="23"/>
      <c r="AH724" s="23"/>
      <c r="AI724" s="23"/>
      <c r="AJ724" s="23"/>
      <c r="AK724" s="23">
        <v>127</v>
      </c>
      <c r="AL724" s="23"/>
      <c r="AM724" s="23"/>
      <c r="AN724" s="23"/>
      <c r="AO724" s="23">
        <v>50</v>
      </c>
      <c r="AP724" s="23">
        <v>32</v>
      </c>
      <c r="AQ724" s="23">
        <v>23</v>
      </c>
      <c r="AR724" s="23">
        <v>26</v>
      </c>
      <c r="AS724" s="23">
        <v>34</v>
      </c>
      <c r="AT724" s="23">
        <v>15</v>
      </c>
      <c r="AU724" s="14" t="str">
        <f>HYPERLINK("http://www.openstreetmap.org/?mlat=33.391&amp;mlon=44.3797&amp;zoom=12#map=12/33.391/44.3797","Maplink1")</f>
        <v>Maplink1</v>
      </c>
      <c r="AV724" s="14" t="str">
        <f>HYPERLINK("https://www.google.iq/maps/search/+33.391,44.3797/@33.391,44.3797,14z?hl=en","Maplink2")</f>
        <v>Maplink2</v>
      </c>
      <c r="AW724" s="14" t="str">
        <f>HYPERLINK("http://www.bing.com/maps/?lvl=14&amp;sty=h&amp;cp=33.391~44.3797&amp;sp=point.33.391_44.3797_Adhamiya-324","Maplink3")</f>
        <v>Maplink3</v>
      </c>
    </row>
    <row r="725" spans="1:49" ht="15" customHeight="1" x14ac:dyDescent="0.25">
      <c r="A725" s="21">
        <v>7548</v>
      </c>
      <c r="B725" s="22" t="s">
        <v>11</v>
      </c>
      <c r="C725" s="22" t="s">
        <v>1552</v>
      </c>
      <c r="D725" s="22" t="s">
        <v>8370</v>
      </c>
      <c r="E725" s="22" t="s">
        <v>1687</v>
      </c>
      <c r="F725" s="22">
        <v>33.550312513999998</v>
      </c>
      <c r="G725" s="22">
        <v>44.373159925400003</v>
      </c>
      <c r="H725" s="21" t="s">
        <v>1449</v>
      </c>
      <c r="I725" s="21" t="s">
        <v>1555</v>
      </c>
      <c r="J725" s="21" t="s">
        <v>1688</v>
      </c>
      <c r="K725" s="24">
        <v>55</v>
      </c>
      <c r="L725" s="24">
        <v>330</v>
      </c>
      <c r="M725" s="23">
        <v>6</v>
      </c>
      <c r="N725" s="23"/>
      <c r="O725" s="23"/>
      <c r="P725" s="23"/>
      <c r="Q725" s="23"/>
      <c r="R725" s="23">
        <v>3</v>
      </c>
      <c r="S725" s="23"/>
      <c r="T725" s="23"/>
      <c r="U725" s="23"/>
      <c r="V725" s="23"/>
      <c r="W725" s="23"/>
      <c r="X725" s="23"/>
      <c r="Y725" s="23">
        <v>15</v>
      </c>
      <c r="Z725" s="23"/>
      <c r="AA725" s="23">
        <v>31</v>
      </c>
      <c r="AB725" s="23"/>
      <c r="AC725" s="23"/>
      <c r="AD725" s="23"/>
      <c r="AE725" s="23"/>
      <c r="AF725" s="23">
        <v>46</v>
      </c>
      <c r="AG725" s="23"/>
      <c r="AH725" s="23"/>
      <c r="AI725" s="23"/>
      <c r="AJ725" s="23"/>
      <c r="AK725" s="23">
        <v>9</v>
      </c>
      <c r="AL725" s="23"/>
      <c r="AM725" s="23"/>
      <c r="AN725" s="23"/>
      <c r="AO725" s="23"/>
      <c r="AP725" s="23"/>
      <c r="AQ725" s="23"/>
      <c r="AR725" s="23">
        <v>55</v>
      </c>
      <c r="AS725" s="23"/>
      <c r="AT725" s="23"/>
      <c r="AU725" s="14" t="str">
        <f>HYPERLINK("http://www.openstreetmap.org/?mlat=33.5098&amp;mlon=44.3632&amp;zoom=12#map=12/33.5098/44.3632","Maplink1")</f>
        <v>Maplink1</v>
      </c>
      <c r="AV725" s="14" t="str">
        <f>HYPERLINK("https://www.google.iq/maps/search/+33.5098,44.3632/@33.5098,44.3632,14z?hl=en","Maplink2")</f>
        <v>Maplink2</v>
      </c>
      <c r="AW725" s="14" t="str">
        <f>HYPERLINK("http://www.bing.com/maps/?lvl=14&amp;sty=h&amp;cp=33.5098~44.3632&amp;sp=point.33.5098_44.3632_Hay Al Qudus","Maplink3")</f>
        <v>Maplink3</v>
      </c>
    </row>
    <row r="726" spans="1:49" ht="15" customHeight="1" x14ac:dyDescent="0.25">
      <c r="A726" s="21">
        <v>25213</v>
      </c>
      <c r="B726" s="22" t="s">
        <v>11</v>
      </c>
      <c r="C726" s="22" t="s">
        <v>1552</v>
      </c>
      <c r="D726" s="22" t="s">
        <v>1643</v>
      </c>
      <c r="E726" s="22" t="s">
        <v>619</v>
      </c>
      <c r="F726" s="22">
        <v>33.567369999999997</v>
      </c>
      <c r="G726" s="22">
        <v>44.361159999999998</v>
      </c>
      <c r="H726" s="21" t="s">
        <v>1449</v>
      </c>
      <c r="I726" s="21" t="s">
        <v>1555</v>
      </c>
      <c r="J726" s="21"/>
      <c r="K726" s="24">
        <v>12</v>
      </c>
      <c r="L726" s="24">
        <v>72</v>
      </c>
      <c r="M726" s="23">
        <v>12</v>
      </c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>
        <v>12</v>
      </c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>
        <v>12</v>
      </c>
      <c r="AS726" s="23"/>
      <c r="AT726" s="23"/>
      <c r="AU726" s="14" t="str">
        <f>HYPERLINK("http://www.openstreetmap.org/?mlat=33.5382&amp;mlon=44.3526&amp;zoom=12#map=12/33.5382/44.3526","Maplink1")</f>
        <v>Maplink1</v>
      </c>
      <c r="AV726" s="14" t="str">
        <f>HYPERLINK("https://www.google.iq/maps/search/+33.5382,44.3526/@33.5382,44.3526,14z?hl=en","Maplink2")</f>
        <v>Maplink2</v>
      </c>
      <c r="AW726" s="14" t="str">
        <f>HYPERLINK("http://www.bing.com/maps/?lvl=14&amp;sty=h&amp;cp=33.5382~44.3526&amp;sp=point.33.5382_44.3526_Al Salam","Maplink3")</f>
        <v>Maplink3</v>
      </c>
    </row>
    <row r="727" spans="1:49" ht="15" customHeight="1" x14ac:dyDescent="0.25">
      <c r="A727" s="21">
        <v>21629</v>
      </c>
      <c r="B727" s="22" t="s">
        <v>11</v>
      </c>
      <c r="C727" s="22" t="s">
        <v>1552</v>
      </c>
      <c r="D727" s="22" t="s">
        <v>8371</v>
      </c>
      <c r="E727" s="22" t="s">
        <v>1644</v>
      </c>
      <c r="F727" s="22">
        <v>33.424536718399999</v>
      </c>
      <c r="G727" s="22">
        <v>44.386552872999999</v>
      </c>
      <c r="H727" s="21" t="s">
        <v>1449</v>
      </c>
      <c r="I727" s="21" t="s">
        <v>1555</v>
      </c>
      <c r="J727" s="21" t="s">
        <v>1645</v>
      </c>
      <c r="K727" s="24">
        <v>46</v>
      </c>
      <c r="L727" s="24">
        <v>276</v>
      </c>
      <c r="M727" s="23">
        <v>11</v>
      </c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>
        <v>27</v>
      </c>
      <c r="Z727" s="23"/>
      <c r="AA727" s="23">
        <v>8</v>
      </c>
      <c r="AB727" s="23"/>
      <c r="AC727" s="23"/>
      <c r="AD727" s="23"/>
      <c r="AE727" s="23"/>
      <c r="AF727" s="23">
        <v>10</v>
      </c>
      <c r="AG727" s="23"/>
      <c r="AH727" s="23"/>
      <c r="AI727" s="23"/>
      <c r="AJ727" s="23"/>
      <c r="AK727" s="23">
        <v>19</v>
      </c>
      <c r="AL727" s="23">
        <v>17</v>
      </c>
      <c r="AM727" s="23"/>
      <c r="AN727" s="23"/>
      <c r="AO727" s="23">
        <v>12</v>
      </c>
      <c r="AP727" s="23"/>
      <c r="AQ727" s="23">
        <v>26</v>
      </c>
      <c r="AR727" s="23">
        <v>8</v>
      </c>
      <c r="AS727" s="23"/>
      <c r="AT727" s="23"/>
      <c r="AU727" s="14" t="str">
        <f>HYPERLINK("http://www.openstreetmap.org/?mlat=33.4251&amp;mlon=44.3895&amp;zoom=12#map=12/33.4251/44.3895","Maplink1")</f>
        <v>Maplink1</v>
      </c>
      <c r="AV727" s="14" t="str">
        <f>HYPERLINK("https://www.google.iq/maps/search/+33.4251,44.3895/@33.4251,44.3895,14z?hl=en","Maplink2")</f>
        <v>Maplink2</v>
      </c>
      <c r="AW727" s="14" t="str">
        <f>HYPERLINK("http://www.bing.com/maps/?lvl=14&amp;sty=h&amp;cp=33.4251~44.3895&amp;sp=point.33.4251_44.3895_Al Shaab (Mahala 351)","Maplink3")</f>
        <v>Maplink3</v>
      </c>
    </row>
    <row r="728" spans="1:49" ht="15" customHeight="1" x14ac:dyDescent="0.25">
      <c r="A728" s="21">
        <v>23005</v>
      </c>
      <c r="B728" s="22" t="s">
        <v>11</v>
      </c>
      <c r="C728" s="22" t="s">
        <v>1552</v>
      </c>
      <c r="D728" s="22" t="s">
        <v>1646</v>
      </c>
      <c r="E728" s="22" t="s">
        <v>1647</v>
      </c>
      <c r="F728" s="22">
        <v>33.419740312099997</v>
      </c>
      <c r="G728" s="22">
        <v>44.415911169600001</v>
      </c>
      <c r="H728" s="21" t="s">
        <v>1449</v>
      </c>
      <c r="I728" s="21" t="s">
        <v>1555</v>
      </c>
      <c r="J728" s="21" t="s">
        <v>1648</v>
      </c>
      <c r="K728" s="24">
        <v>12</v>
      </c>
      <c r="L728" s="24">
        <v>72</v>
      </c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>
        <v>12</v>
      </c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>
        <v>12</v>
      </c>
      <c r="AL728" s="23"/>
      <c r="AM728" s="23"/>
      <c r="AN728" s="23"/>
      <c r="AO728" s="23"/>
      <c r="AP728" s="23">
        <v>12</v>
      </c>
      <c r="AQ728" s="23"/>
      <c r="AR728" s="23"/>
      <c r="AS728" s="23"/>
      <c r="AT728" s="23"/>
      <c r="AU728" s="14" t="str">
        <f>HYPERLINK("http://www.openstreetmap.org/?mlat=33.4192&amp;mlon=44.4218&amp;zoom=12#map=12/33.4192/44.4218","Maplink1")</f>
        <v>Maplink1</v>
      </c>
      <c r="AV728" s="14" t="str">
        <f>HYPERLINK("https://www.google.iq/maps/search/+33.4192,44.4218/@33.4192,44.4218,14z?hl=en","Maplink2")</f>
        <v>Maplink2</v>
      </c>
      <c r="AW728" s="14" t="str">
        <f>HYPERLINK("http://www.bing.com/maps/?lvl=14&amp;sty=h&amp;cp=33.4192~44.4218&amp;sp=point.33.4192_44.4218_Al Shaab-331","Maplink3")</f>
        <v>Maplink3</v>
      </c>
    </row>
    <row r="729" spans="1:49" ht="15" customHeight="1" x14ac:dyDescent="0.25">
      <c r="A729" s="21">
        <v>23736</v>
      </c>
      <c r="B729" s="22" t="s">
        <v>11</v>
      </c>
      <c r="C729" s="22" t="s">
        <v>1552</v>
      </c>
      <c r="D729" s="22" t="s">
        <v>1649</v>
      </c>
      <c r="E729" s="22" t="s">
        <v>7672</v>
      </c>
      <c r="F729" s="22">
        <v>33.412658972999999</v>
      </c>
      <c r="G729" s="22">
        <v>44.415863159600001</v>
      </c>
      <c r="H729" s="21" t="s">
        <v>1449</v>
      </c>
      <c r="I729" s="21" t="s">
        <v>1555</v>
      </c>
      <c r="J729" s="21" t="s">
        <v>1650</v>
      </c>
      <c r="K729" s="24">
        <v>18</v>
      </c>
      <c r="L729" s="24">
        <v>108</v>
      </c>
      <c r="M729" s="23">
        <v>4</v>
      </c>
      <c r="N729" s="23"/>
      <c r="O729" s="23"/>
      <c r="P729" s="23"/>
      <c r="Q729" s="23"/>
      <c r="R729" s="23">
        <v>2</v>
      </c>
      <c r="S729" s="23"/>
      <c r="T729" s="23"/>
      <c r="U729" s="23"/>
      <c r="V729" s="23"/>
      <c r="W729" s="23"/>
      <c r="X729" s="23"/>
      <c r="Y729" s="23"/>
      <c r="Z729" s="23"/>
      <c r="AA729" s="23">
        <v>12</v>
      </c>
      <c r="AB729" s="23"/>
      <c r="AC729" s="23"/>
      <c r="AD729" s="23"/>
      <c r="AE729" s="23"/>
      <c r="AF729" s="23"/>
      <c r="AG729" s="23"/>
      <c r="AH729" s="23"/>
      <c r="AI729" s="23"/>
      <c r="AJ729" s="23"/>
      <c r="AK729" s="23">
        <v>18</v>
      </c>
      <c r="AL729" s="23"/>
      <c r="AM729" s="23"/>
      <c r="AN729" s="23"/>
      <c r="AO729" s="23"/>
      <c r="AP729" s="23">
        <v>12</v>
      </c>
      <c r="AQ729" s="23"/>
      <c r="AR729" s="23">
        <v>6</v>
      </c>
      <c r="AS729" s="23"/>
      <c r="AT729" s="23"/>
      <c r="AU729" s="14" t="str">
        <f>HYPERLINK("http://www.openstreetmap.org/?mlat=33.4103&amp;mlon=44.4075&amp;zoom=12#map=12/33.4103/44.4075","Maplink1")</f>
        <v>Maplink1</v>
      </c>
      <c r="AV729" s="14" t="str">
        <f>HYPERLINK("https://www.google.iq/maps/search/+33.4103,44.4075/@33.4103,44.4075,14z?hl=en","Maplink2")</f>
        <v>Maplink2</v>
      </c>
      <c r="AW729" s="14" t="str">
        <f>HYPERLINK("http://www.bing.com/maps/?lvl=14&amp;sty=h&amp;cp=33.4103~44.4075&amp;sp=point.33.4103_44.4075_Al Shaab-333","Maplink3")</f>
        <v>Maplink3</v>
      </c>
    </row>
    <row r="730" spans="1:49" ht="15" customHeight="1" x14ac:dyDescent="0.25">
      <c r="A730" s="21">
        <v>23978</v>
      </c>
      <c r="B730" s="22" t="s">
        <v>11</v>
      </c>
      <c r="C730" s="22" t="s">
        <v>1552</v>
      </c>
      <c r="D730" s="22" t="s">
        <v>1651</v>
      </c>
      <c r="E730" s="22" t="s">
        <v>7673</v>
      </c>
      <c r="F730" s="22">
        <v>33.415753845099999</v>
      </c>
      <c r="G730" s="22">
        <v>44.3866886466</v>
      </c>
      <c r="H730" s="21" t="s">
        <v>1449</v>
      </c>
      <c r="I730" s="21" t="s">
        <v>1555</v>
      </c>
      <c r="J730" s="21" t="s">
        <v>1652</v>
      </c>
      <c r="K730" s="24">
        <v>82</v>
      </c>
      <c r="L730" s="24">
        <v>492</v>
      </c>
      <c r="M730" s="23">
        <v>11</v>
      </c>
      <c r="N730" s="23"/>
      <c r="O730" s="23"/>
      <c r="P730" s="23"/>
      <c r="Q730" s="23"/>
      <c r="R730" s="23">
        <v>12</v>
      </c>
      <c r="S730" s="23"/>
      <c r="T730" s="23"/>
      <c r="U730" s="23"/>
      <c r="V730" s="23"/>
      <c r="W730" s="23"/>
      <c r="X730" s="23"/>
      <c r="Y730" s="23">
        <v>50</v>
      </c>
      <c r="Z730" s="23"/>
      <c r="AA730" s="23">
        <v>9</v>
      </c>
      <c r="AB730" s="23"/>
      <c r="AC730" s="23"/>
      <c r="AD730" s="23"/>
      <c r="AE730" s="23"/>
      <c r="AF730" s="23">
        <v>17</v>
      </c>
      <c r="AG730" s="23"/>
      <c r="AH730" s="23"/>
      <c r="AI730" s="23"/>
      <c r="AJ730" s="23"/>
      <c r="AK730" s="23">
        <v>65</v>
      </c>
      <c r="AL730" s="23"/>
      <c r="AM730" s="23"/>
      <c r="AN730" s="23"/>
      <c r="AO730" s="23"/>
      <c r="AP730" s="23">
        <v>50</v>
      </c>
      <c r="AQ730" s="23"/>
      <c r="AR730" s="23">
        <v>28</v>
      </c>
      <c r="AS730" s="23">
        <v>4</v>
      </c>
      <c r="AT730" s="23"/>
      <c r="AU730" s="14" t="str">
        <f>HYPERLINK("http://www.openstreetmap.org/?mlat=33.4218&amp;mlon=44.4091&amp;zoom=12#map=12/33.4218/44.4091","Maplink1")</f>
        <v>Maplink1</v>
      </c>
      <c r="AV730" s="14" t="str">
        <f>HYPERLINK("https://www.google.iq/maps/search/+33.4218,44.4091/@33.4218,44.4091,14z?hl=en","Maplink2")</f>
        <v>Maplink2</v>
      </c>
      <c r="AW730" s="14" t="str">
        <f>HYPERLINK("http://www.bing.com/maps/?lvl=14&amp;sty=h&amp;cp=33.4218~44.4091&amp;sp=point.33.4218_44.4091_Al Shaab-339","Maplink3")</f>
        <v>Maplink3</v>
      </c>
    </row>
    <row r="731" spans="1:49" ht="15" customHeight="1" x14ac:dyDescent="0.25">
      <c r="A731" s="21">
        <v>24440</v>
      </c>
      <c r="B731" s="22" t="s">
        <v>11</v>
      </c>
      <c r="C731" s="22" t="s">
        <v>1552</v>
      </c>
      <c r="D731" s="22" t="s">
        <v>1653</v>
      </c>
      <c r="E731" s="22" t="s">
        <v>1654</v>
      </c>
      <c r="F731" s="22">
        <v>33.422850280500001</v>
      </c>
      <c r="G731" s="22">
        <v>44.416036578400004</v>
      </c>
      <c r="H731" s="21" t="s">
        <v>1449</v>
      </c>
      <c r="I731" s="21" t="s">
        <v>1555</v>
      </c>
      <c r="J731" s="21"/>
      <c r="K731" s="24">
        <v>19</v>
      </c>
      <c r="L731" s="24">
        <v>114</v>
      </c>
      <c r="M731" s="23">
        <v>7</v>
      </c>
      <c r="N731" s="23"/>
      <c r="O731" s="23"/>
      <c r="P731" s="23"/>
      <c r="Q731" s="23"/>
      <c r="R731" s="23">
        <v>4</v>
      </c>
      <c r="S731" s="23"/>
      <c r="T731" s="23"/>
      <c r="U731" s="23"/>
      <c r="V731" s="23"/>
      <c r="W731" s="23"/>
      <c r="X731" s="23"/>
      <c r="Y731" s="23">
        <v>4</v>
      </c>
      <c r="Z731" s="23"/>
      <c r="AA731" s="23">
        <v>4</v>
      </c>
      <c r="AB731" s="23"/>
      <c r="AC731" s="23"/>
      <c r="AD731" s="23"/>
      <c r="AE731" s="23"/>
      <c r="AF731" s="23"/>
      <c r="AG731" s="23"/>
      <c r="AH731" s="23"/>
      <c r="AI731" s="23"/>
      <c r="AJ731" s="23"/>
      <c r="AK731" s="23">
        <v>19</v>
      </c>
      <c r="AL731" s="23"/>
      <c r="AM731" s="23"/>
      <c r="AN731" s="23"/>
      <c r="AO731" s="23"/>
      <c r="AP731" s="23"/>
      <c r="AQ731" s="23">
        <v>8</v>
      </c>
      <c r="AR731" s="23">
        <v>4</v>
      </c>
      <c r="AS731" s="23">
        <v>7</v>
      </c>
      <c r="AT731" s="23"/>
      <c r="AU731" s="14" t="str">
        <f>HYPERLINK("http://www.openstreetmap.org/?mlat=33.4179&amp;mlon=44.3876&amp;zoom=12#map=12/33.4179/44.3876","Maplink1")</f>
        <v>Maplink1</v>
      </c>
      <c r="AV731" s="14" t="str">
        <f>HYPERLINK("https://www.google.iq/maps/search/+33.4179,44.3876/@33.4179,44.3876,14z?hl=en","Maplink2")</f>
        <v>Maplink2</v>
      </c>
      <c r="AW731" s="14" t="str">
        <f>HYPERLINK("http://www.bing.com/maps/?lvl=14&amp;sty=h&amp;cp=33.4179~44.3876&amp;sp=point.33.4179_44.3876_AL Shab-335","Maplink3")</f>
        <v>Maplink3</v>
      </c>
    </row>
    <row r="732" spans="1:49" ht="15" customHeight="1" x14ac:dyDescent="0.25">
      <c r="A732" s="21">
        <v>24441</v>
      </c>
      <c r="B732" s="22" t="s">
        <v>11</v>
      </c>
      <c r="C732" s="22" t="s">
        <v>1552</v>
      </c>
      <c r="D732" s="22" t="s">
        <v>1655</v>
      </c>
      <c r="E732" s="22" t="s">
        <v>1656</v>
      </c>
      <c r="F732" s="22">
        <v>33.409859869400002</v>
      </c>
      <c r="G732" s="22">
        <v>44.388317832299997</v>
      </c>
      <c r="H732" s="21" t="s">
        <v>1449</v>
      </c>
      <c r="I732" s="21" t="s">
        <v>1555</v>
      </c>
      <c r="J732" s="21"/>
      <c r="K732" s="24">
        <v>34</v>
      </c>
      <c r="L732" s="24">
        <v>204</v>
      </c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>
        <v>34</v>
      </c>
      <c r="Z732" s="23"/>
      <c r="AA732" s="23"/>
      <c r="AB732" s="23"/>
      <c r="AC732" s="23"/>
      <c r="AD732" s="23"/>
      <c r="AE732" s="23"/>
      <c r="AF732" s="23">
        <v>19</v>
      </c>
      <c r="AG732" s="23"/>
      <c r="AH732" s="23"/>
      <c r="AI732" s="23"/>
      <c r="AJ732" s="23"/>
      <c r="AK732" s="23">
        <v>15</v>
      </c>
      <c r="AL732" s="23"/>
      <c r="AM732" s="23"/>
      <c r="AN732" s="23"/>
      <c r="AO732" s="23"/>
      <c r="AP732" s="23"/>
      <c r="AQ732" s="23"/>
      <c r="AR732" s="23">
        <v>34</v>
      </c>
      <c r="AS732" s="23"/>
      <c r="AT732" s="23"/>
      <c r="AU732" s="14" t="str">
        <f>HYPERLINK("http://www.openstreetmap.org/?mlat=33.4146&amp;mlon=44.4075&amp;zoom=12#map=12/33.4146/44.4075","Maplink1")</f>
        <v>Maplink1</v>
      </c>
      <c r="AV732" s="14" t="str">
        <f>HYPERLINK("https://www.google.iq/maps/search/+33.4146,44.4075/@33.4146,44.4075,14z?hl=en","Maplink2")</f>
        <v>Maplink2</v>
      </c>
      <c r="AW732" s="14" t="str">
        <f>HYPERLINK("http://www.bing.com/maps/?lvl=14&amp;sty=h&amp;cp=33.4146~44.4075&amp;sp=point.33.4146_44.4075_AL Shab-337","Maplink3")</f>
        <v>Maplink3</v>
      </c>
    </row>
    <row r="733" spans="1:49" ht="15" customHeight="1" x14ac:dyDescent="0.25">
      <c r="A733" s="21">
        <v>24443</v>
      </c>
      <c r="B733" s="22" t="s">
        <v>11</v>
      </c>
      <c r="C733" s="22" t="s">
        <v>1552</v>
      </c>
      <c r="D733" s="22" t="s">
        <v>1657</v>
      </c>
      <c r="E733" s="22" t="s">
        <v>1658</v>
      </c>
      <c r="F733" s="22">
        <v>33.426702708900002</v>
      </c>
      <c r="G733" s="22">
        <v>44.421579716099998</v>
      </c>
      <c r="H733" s="21" t="s">
        <v>1449</v>
      </c>
      <c r="I733" s="21" t="s">
        <v>1555</v>
      </c>
      <c r="J733" s="21"/>
      <c r="K733" s="24">
        <v>11</v>
      </c>
      <c r="L733" s="24">
        <v>66</v>
      </c>
      <c r="M733" s="23">
        <v>4</v>
      </c>
      <c r="N733" s="23"/>
      <c r="O733" s="23"/>
      <c r="P733" s="23"/>
      <c r="Q733" s="23"/>
      <c r="R733" s="23">
        <v>7</v>
      </c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>
        <v>3</v>
      </c>
      <c r="AG733" s="23"/>
      <c r="AH733" s="23"/>
      <c r="AI733" s="23"/>
      <c r="AJ733" s="23"/>
      <c r="AK733" s="23">
        <v>8</v>
      </c>
      <c r="AL733" s="23"/>
      <c r="AM733" s="23"/>
      <c r="AN733" s="23"/>
      <c r="AO733" s="23">
        <v>7</v>
      </c>
      <c r="AP733" s="23"/>
      <c r="AQ733" s="23"/>
      <c r="AR733" s="23"/>
      <c r="AS733" s="23">
        <v>4</v>
      </c>
      <c r="AT733" s="23"/>
      <c r="AU733" s="14" t="str">
        <f>HYPERLINK("http://www.openstreetmap.org/?mlat=33.4268&amp;mlon=44.4145&amp;zoom=12#map=12/33.4268/44.4145","Maplink1")</f>
        <v>Maplink1</v>
      </c>
      <c r="AV733" s="14" t="str">
        <f>HYPERLINK("https://www.google.iq/maps/search/+33.4268,44.4145/@33.4268,44.4145,14z?hl=en","Maplink2")</f>
        <v>Maplink2</v>
      </c>
      <c r="AW733" s="14" t="str">
        <f>HYPERLINK("http://www.bing.com/maps/?lvl=14&amp;sty=h&amp;cp=33.4268~44.4145&amp;sp=point.33.4268_44.4145_AL Shab-343","Maplink3")</f>
        <v>Maplink3</v>
      </c>
    </row>
    <row r="734" spans="1:49" ht="15" customHeight="1" x14ac:dyDescent="0.25">
      <c r="A734" s="21">
        <v>24448</v>
      </c>
      <c r="B734" s="22" t="s">
        <v>11</v>
      </c>
      <c r="C734" s="22" t="s">
        <v>1552</v>
      </c>
      <c r="D734" s="22" t="s">
        <v>1659</v>
      </c>
      <c r="E734" s="22" t="s">
        <v>1660</v>
      </c>
      <c r="F734" s="22">
        <v>33.418903083099998</v>
      </c>
      <c r="G734" s="22">
        <v>44.393080534699997</v>
      </c>
      <c r="H734" s="21" t="s">
        <v>1449</v>
      </c>
      <c r="I734" s="21" t="s">
        <v>1555</v>
      </c>
      <c r="J734" s="21"/>
      <c r="K734" s="24">
        <v>3</v>
      </c>
      <c r="L734" s="24">
        <v>18</v>
      </c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>
        <v>3</v>
      </c>
      <c r="AB734" s="23"/>
      <c r="AC734" s="23"/>
      <c r="AD734" s="23"/>
      <c r="AE734" s="23"/>
      <c r="AF734" s="23">
        <v>3</v>
      </c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>
        <v>3</v>
      </c>
      <c r="AR734" s="23"/>
      <c r="AS734" s="23"/>
      <c r="AT734" s="23"/>
      <c r="AU734" s="14" t="str">
        <f>HYPERLINK("http://www.openstreetmap.org/?mlat=33.425&amp;mlon=44.3964&amp;zoom=12#map=12/33.425/44.3964","Maplink1")</f>
        <v>Maplink1</v>
      </c>
      <c r="AV734" s="14" t="str">
        <f>HYPERLINK("https://www.google.iq/maps/search/+33.425,44.3964/@33.425,44.3964,14z?hl=en","Maplink2")</f>
        <v>Maplink2</v>
      </c>
      <c r="AW734" s="14" t="str">
        <f>HYPERLINK("http://www.bing.com/maps/?lvl=14&amp;sty=h&amp;cp=33.425~44.3964&amp;sp=point.33.425_44.3964_AL Shab-353","Maplink3")</f>
        <v>Maplink3</v>
      </c>
    </row>
    <row r="735" spans="1:49" ht="15" customHeight="1" x14ac:dyDescent="0.25">
      <c r="A735" s="21">
        <v>24450</v>
      </c>
      <c r="B735" s="22" t="s">
        <v>11</v>
      </c>
      <c r="C735" s="22" t="s">
        <v>1552</v>
      </c>
      <c r="D735" s="22" t="s">
        <v>1661</v>
      </c>
      <c r="E735" s="22" t="s">
        <v>1662</v>
      </c>
      <c r="F735" s="22">
        <v>33.427114358300003</v>
      </c>
      <c r="G735" s="22">
        <v>44.390545388699998</v>
      </c>
      <c r="H735" s="21" t="s">
        <v>1449</v>
      </c>
      <c r="I735" s="21" t="s">
        <v>1555</v>
      </c>
      <c r="J735" s="21"/>
      <c r="K735" s="24">
        <v>13</v>
      </c>
      <c r="L735" s="24">
        <v>78</v>
      </c>
      <c r="M735" s="23">
        <v>2</v>
      </c>
      <c r="N735" s="23"/>
      <c r="O735" s="23"/>
      <c r="P735" s="23"/>
      <c r="Q735" s="23"/>
      <c r="R735" s="23">
        <v>11</v>
      </c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>
        <v>13</v>
      </c>
      <c r="AG735" s="23"/>
      <c r="AH735" s="23"/>
      <c r="AI735" s="23"/>
      <c r="AJ735" s="23"/>
      <c r="AK735" s="23"/>
      <c r="AL735" s="23"/>
      <c r="AM735" s="23"/>
      <c r="AN735" s="23"/>
      <c r="AO735" s="23"/>
      <c r="AP735" s="23">
        <v>11</v>
      </c>
      <c r="AQ735" s="23"/>
      <c r="AR735" s="23"/>
      <c r="AS735" s="23">
        <v>2</v>
      </c>
      <c r="AT735" s="23"/>
      <c r="AU735" s="14" t="str">
        <f>HYPERLINK("http://www.openstreetmap.org/?mlat=33.4207&amp;mlon=44.3868&amp;zoom=12#map=12/33.4207/44.3868","Maplink1")</f>
        <v>Maplink1</v>
      </c>
      <c r="AV735" s="14" t="str">
        <f>HYPERLINK("https://www.google.iq/maps/search/+33.4207,44.3868/@33.4207,44.3868,14z?hl=en","Maplink2")</f>
        <v>Maplink2</v>
      </c>
      <c r="AW735" s="14" t="str">
        <f>HYPERLINK("http://www.bing.com/maps/?lvl=14&amp;sty=h&amp;cp=33.4207~44.3868&amp;sp=point.33.4207_44.3868_AL Shab-357","Maplink3")</f>
        <v>Maplink3</v>
      </c>
    </row>
    <row r="736" spans="1:49" ht="15" customHeight="1" x14ac:dyDescent="0.25">
      <c r="A736" s="21">
        <v>24002</v>
      </c>
      <c r="B736" s="22" t="s">
        <v>11</v>
      </c>
      <c r="C736" s="22" t="s">
        <v>1552</v>
      </c>
      <c r="D736" s="22" t="s">
        <v>1664</v>
      </c>
      <c r="E736" s="22" t="s">
        <v>8372</v>
      </c>
      <c r="F736" s="22">
        <v>33.371555924399999</v>
      </c>
      <c r="G736" s="22">
        <v>44.369307708800001</v>
      </c>
      <c r="H736" s="21" t="s">
        <v>1449</v>
      </c>
      <c r="I736" s="21" t="s">
        <v>1555</v>
      </c>
      <c r="J736" s="21" t="s">
        <v>1665</v>
      </c>
      <c r="K736" s="24">
        <v>284</v>
      </c>
      <c r="L736" s="24">
        <v>1704</v>
      </c>
      <c r="M736" s="23">
        <v>84</v>
      </c>
      <c r="N736" s="23"/>
      <c r="O736" s="23"/>
      <c r="P736" s="23"/>
      <c r="Q736" s="23"/>
      <c r="R736" s="23">
        <v>22</v>
      </c>
      <c r="S736" s="23"/>
      <c r="T736" s="23"/>
      <c r="U736" s="23"/>
      <c r="V736" s="23"/>
      <c r="W736" s="23"/>
      <c r="X736" s="23"/>
      <c r="Y736" s="23">
        <v>110</v>
      </c>
      <c r="Z736" s="23"/>
      <c r="AA736" s="23">
        <v>68</v>
      </c>
      <c r="AB736" s="23"/>
      <c r="AC736" s="23"/>
      <c r="AD736" s="23"/>
      <c r="AE736" s="23"/>
      <c r="AF736" s="23">
        <v>90</v>
      </c>
      <c r="AG736" s="23"/>
      <c r="AH736" s="23"/>
      <c r="AI736" s="23"/>
      <c r="AJ736" s="23"/>
      <c r="AK736" s="23">
        <v>194</v>
      </c>
      <c r="AL736" s="23"/>
      <c r="AM736" s="23"/>
      <c r="AN736" s="23"/>
      <c r="AO736" s="23">
        <v>97</v>
      </c>
      <c r="AP736" s="23">
        <v>175</v>
      </c>
      <c r="AQ736" s="23">
        <v>12</v>
      </c>
      <c r="AR736" s="23"/>
      <c r="AS736" s="23"/>
      <c r="AT736" s="23"/>
      <c r="AU736" s="14" t="str">
        <f>HYPERLINK("http://www.openstreetmap.org/?mlat=33.3796&amp;mlon=44.3695&amp;zoom=12#map=12/33.3796/44.3695","Maplink1")</f>
        <v>Maplink1</v>
      </c>
      <c r="AV736" s="14" t="str">
        <f>HYPERLINK("https://www.google.iq/maps/search/+33.3796,44.3695/@33.3796,44.3695,14z?hl=en","Maplink2")</f>
        <v>Maplink2</v>
      </c>
      <c r="AW736" s="14" t="str">
        <f>HYPERLINK("http://www.bing.com/maps/?lvl=14&amp;sty=h&amp;cp=33.3796~44.3695&amp;sp=point.33.3796_44.3695_Al Shamasiyah-316","Maplink3")</f>
        <v>Maplink3</v>
      </c>
    </row>
    <row r="737" spans="1:49" ht="15" customHeight="1" x14ac:dyDescent="0.25">
      <c r="A737" s="21">
        <v>23987</v>
      </c>
      <c r="B737" s="22" t="s">
        <v>11</v>
      </c>
      <c r="C737" s="22" t="s">
        <v>1552</v>
      </c>
      <c r="D737" s="22" t="s">
        <v>1666</v>
      </c>
      <c r="E737" s="22" t="s">
        <v>7674</v>
      </c>
      <c r="F737" s="22">
        <v>33.378524710199997</v>
      </c>
      <c r="G737" s="22">
        <v>44.368814696000001</v>
      </c>
      <c r="H737" s="21" t="s">
        <v>1449</v>
      </c>
      <c r="I737" s="21" t="s">
        <v>1555</v>
      </c>
      <c r="J737" s="21" t="s">
        <v>1667</v>
      </c>
      <c r="K737" s="24">
        <v>381</v>
      </c>
      <c r="L737" s="24">
        <v>2286</v>
      </c>
      <c r="M737" s="23">
        <v>355</v>
      </c>
      <c r="N737" s="23"/>
      <c r="O737" s="23"/>
      <c r="P737" s="23"/>
      <c r="Q737" s="23"/>
      <c r="R737" s="23">
        <v>26</v>
      </c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>
        <v>104</v>
      </c>
      <c r="AG737" s="23"/>
      <c r="AH737" s="23"/>
      <c r="AI737" s="23"/>
      <c r="AJ737" s="23"/>
      <c r="AK737" s="23">
        <v>277</v>
      </c>
      <c r="AL737" s="23"/>
      <c r="AM737" s="23"/>
      <c r="AN737" s="23"/>
      <c r="AO737" s="23">
        <v>61</v>
      </c>
      <c r="AP737" s="23">
        <v>24</v>
      </c>
      <c r="AQ737" s="23">
        <v>39</v>
      </c>
      <c r="AR737" s="23">
        <v>136</v>
      </c>
      <c r="AS737" s="23">
        <v>119</v>
      </c>
      <c r="AT737" s="23">
        <v>2</v>
      </c>
      <c r="AU737" s="14" t="str">
        <f>HYPERLINK("http://www.openstreetmap.org/?mlat=33.3771&amp;mlon=44.3643&amp;zoom=12#map=12/33.3771/44.3643","Maplink1")</f>
        <v>Maplink1</v>
      </c>
      <c r="AV737" s="14" t="str">
        <f>HYPERLINK("https://www.google.iq/maps/search/+33.3771,44.3643/@33.3771,44.3643,14z?hl=en","Maplink2")</f>
        <v>Maplink2</v>
      </c>
      <c r="AW737" s="14" t="str">
        <f>HYPERLINK("http://www.bing.com/maps/?lvl=14&amp;sty=h&amp;cp=33.3771~44.3643&amp;sp=point.33.3771_44.3643_Al Shamasiyah-318","Maplink3")</f>
        <v>Maplink3</v>
      </c>
    </row>
    <row r="738" spans="1:49" ht="15" customHeight="1" x14ac:dyDescent="0.25">
      <c r="A738" s="21">
        <v>24003</v>
      </c>
      <c r="B738" s="22" t="s">
        <v>11</v>
      </c>
      <c r="C738" s="22" t="s">
        <v>1552</v>
      </c>
      <c r="D738" s="22" t="s">
        <v>8373</v>
      </c>
      <c r="E738" s="22" t="s">
        <v>8374</v>
      </c>
      <c r="F738" s="22">
        <v>33.381101027</v>
      </c>
      <c r="G738" s="22">
        <v>44.373951952600002</v>
      </c>
      <c r="H738" s="21" t="s">
        <v>1449</v>
      </c>
      <c r="I738" s="21" t="s">
        <v>1555</v>
      </c>
      <c r="J738" s="21" t="s">
        <v>1663</v>
      </c>
      <c r="K738" s="24">
        <v>288</v>
      </c>
      <c r="L738" s="24">
        <v>1728</v>
      </c>
      <c r="M738" s="23">
        <v>288</v>
      </c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>
        <v>100</v>
      </c>
      <c r="AG738" s="23"/>
      <c r="AH738" s="23"/>
      <c r="AI738" s="23"/>
      <c r="AJ738" s="23"/>
      <c r="AK738" s="23">
        <v>188</v>
      </c>
      <c r="AL738" s="23"/>
      <c r="AM738" s="23"/>
      <c r="AN738" s="23"/>
      <c r="AO738" s="23">
        <v>49</v>
      </c>
      <c r="AP738" s="23">
        <v>56</v>
      </c>
      <c r="AQ738" s="23"/>
      <c r="AR738" s="23">
        <v>95</v>
      </c>
      <c r="AS738" s="23">
        <v>88</v>
      </c>
      <c r="AT738" s="23"/>
      <c r="AU738" s="14" t="str">
        <f>HYPERLINK("http://www.openstreetmap.org/?mlat=33.3771&amp;mlon=44.3697&amp;zoom=12#map=12/33.3771/44.3697","Maplink1")</f>
        <v>Maplink1</v>
      </c>
      <c r="AV738" s="14" t="str">
        <f>HYPERLINK("https://www.google.iq/maps/search/+33.3771,44.3697/@33.3771,44.3697,14z?hl=en","Maplink2")</f>
        <v>Maplink2</v>
      </c>
      <c r="AW738" s="14" t="str">
        <f>HYPERLINK("http://www.bing.com/maps/?lvl=14&amp;sty=h&amp;cp=33.3771~44.3697&amp;sp=point.33.3771_44.3697_Al Shamasiya-320","Maplink3")</f>
        <v>Maplink3</v>
      </c>
    </row>
    <row r="739" spans="1:49" ht="15" customHeight="1" x14ac:dyDescent="0.25">
      <c r="A739" s="21">
        <v>25219</v>
      </c>
      <c r="B739" s="22" t="s">
        <v>11</v>
      </c>
      <c r="C739" s="22" t="s">
        <v>1552</v>
      </c>
      <c r="D739" s="22" t="s">
        <v>1668</v>
      </c>
      <c r="E739" s="22" t="s">
        <v>1669</v>
      </c>
      <c r="F739" s="22">
        <v>33.538023185699998</v>
      </c>
      <c r="G739" s="22">
        <v>44.324667505699999</v>
      </c>
      <c r="H739" s="21" t="s">
        <v>1449</v>
      </c>
      <c r="I739" s="21" t="s">
        <v>1555</v>
      </c>
      <c r="J739" s="21"/>
      <c r="K739" s="24">
        <v>36</v>
      </c>
      <c r="L739" s="24">
        <v>216</v>
      </c>
      <c r="M739" s="23">
        <v>14</v>
      </c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>
        <v>4</v>
      </c>
      <c r="Z739" s="23"/>
      <c r="AA739" s="23">
        <v>18</v>
      </c>
      <c r="AB739" s="23"/>
      <c r="AC739" s="23"/>
      <c r="AD739" s="23"/>
      <c r="AE739" s="23"/>
      <c r="AF739" s="23">
        <v>29</v>
      </c>
      <c r="AG739" s="23"/>
      <c r="AH739" s="23"/>
      <c r="AI739" s="23"/>
      <c r="AJ739" s="23"/>
      <c r="AK739" s="23">
        <v>7</v>
      </c>
      <c r="AL739" s="23"/>
      <c r="AM739" s="23"/>
      <c r="AN739" s="23"/>
      <c r="AO739" s="23"/>
      <c r="AP739" s="23"/>
      <c r="AQ739" s="23"/>
      <c r="AR739" s="23">
        <v>29</v>
      </c>
      <c r="AS739" s="23">
        <v>3</v>
      </c>
      <c r="AT739" s="23">
        <v>4</v>
      </c>
      <c r="AU739" s="14" t="str">
        <f>HYPERLINK("http://www.openstreetmap.org/?mlat=33.5115&amp;mlon=44.3354&amp;zoom=12#map=12/33.5115/44.3354","Maplink1")</f>
        <v>Maplink1</v>
      </c>
      <c r="AV739" s="14" t="str">
        <f>HYPERLINK("https://www.google.iq/maps/search/+33.5115,44.3354/@33.5115,44.3354,14z?hl=en","Maplink2")</f>
        <v>Maplink2</v>
      </c>
      <c r="AW739" s="14" t="str">
        <f>HYPERLINK("http://www.bing.com/maps/?lvl=14&amp;sty=h&amp;cp=33.5115~44.3354&amp;sp=point.33.5115_44.3354_Al Waha Al Khadhraa Village","Maplink3")</f>
        <v>Maplink3</v>
      </c>
    </row>
    <row r="740" spans="1:49" ht="15" customHeight="1" x14ac:dyDescent="0.25">
      <c r="A740" s="21">
        <v>25619</v>
      </c>
      <c r="B740" s="22" t="s">
        <v>11</v>
      </c>
      <c r="C740" s="22" t="s">
        <v>1552</v>
      </c>
      <c r="D740" s="22" t="s">
        <v>8375</v>
      </c>
      <c r="E740" s="22" t="s">
        <v>7675</v>
      </c>
      <c r="F740" s="22">
        <v>33.359462151000002</v>
      </c>
      <c r="G740" s="22">
        <v>44.387587995499999</v>
      </c>
      <c r="H740" s="21" t="s">
        <v>1449</v>
      </c>
      <c r="I740" s="21" t="s">
        <v>1555</v>
      </c>
      <c r="J740" s="21"/>
      <c r="K740" s="24">
        <v>40</v>
      </c>
      <c r="L740" s="24">
        <v>240</v>
      </c>
      <c r="M740" s="23">
        <v>10</v>
      </c>
      <c r="N740" s="23"/>
      <c r="O740" s="23"/>
      <c r="P740" s="23"/>
      <c r="Q740" s="23"/>
      <c r="R740" s="23">
        <v>5</v>
      </c>
      <c r="S740" s="23"/>
      <c r="T740" s="23"/>
      <c r="U740" s="23"/>
      <c r="V740" s="23"/>
      <c r="W740" s="23"/>
      <c r="X740" s="23"/>
      <c r="Y740" s="23">
        <v>19</v>
      </c>
      <c r="Z740" s="23"/>
      <c r="AA740" s="23">
        <v>6</v>
      </c>
      <c r="AB740" s="23"/>
      <c r="AC740" s="23"/>
      <c r="AD740" s="23"/>
      <c r="AE740" s="23"/>
      <c r="AF740" s="23"/>
      <c r="AG740" s="23"/>
      <c r="AH740" s="23"/>
      <c r="AI740" s="23">
        <v>23</v>
      </c>
      <c r="AJ740" s="23"/>
      <c r="AK740" s="23">
        <v>17</v>
      </c>
      <c r="AL740" s="23"/>
      <c r="AM740" s="23"/>
      <c r="AN740" s="23"/>
      <c r="AO740" s="23"/>
      <c r="AP740" s="23">
        <v>23</v>
      </c>
      <c r="AQ740" s="23">
        <v>2</v>
      </c>
      <c r="AR740" s="23">
        <v>8</v>
      </c>
      <c r="AS740" s="23">
        <v>7</v>
      </c>
      <c r="AT740" s="23"/>
      <c r="AU740" s="14" t="str">
        <f>HYPERLINK("http://www.openstreetmap.org/?mlat=33.3653&amp;mlon=44.3891&amp;zoom=12#map=12/33.3653/44.3891","Maplink1")</f>
        <v>Maplink1</v>
      </c>
      <c r="AV740" s="14" t="str">
        <f>HYPERLINK("https://www.google.iq/maps/search/+33.3653,44.3891/@33.3653,44.3891,14z?hl=en","Maplink2")</f>
        <v>Maplink2</v>
      </c>
      <c r="AW740" s="14" t="str">
        <f>HYPERLINK("http://www.bing.com/maps/?lvl=14&amp;sty=h&amp;cp=33.3653~44.3891&amp;sp=point.33.3653_44.3891_Al Waziriya-301","Maplink3")</f>
        <v>Maplink3</v>
      </c>
    </row>
    <row r="741" spans="1:49" ht="15" customHeight="1" x14ac:dyDescent="0.25">
      <c r="A741" s="21">
        <v>24006</v>
      </c>
      <c r="B741" s="22" t="s">
        <v>11</v>
      </c>
      <c r="C741" s="22" t="s">
        <v>1552</v>
      </c>
      <c r="D741" s="22" t="s">
        <v>1670</v>
      </c>
      <c r="E741" s="22" t="s">
        <v>7676</v>
      </c>
      <c r="F741" s="22">
        <v>33.374970159199997</v>
      </c>
      <c r="G741" s="22">
        <v>44.394950897800001</v>
      </c>
      <c r="H741" s="21" t="s">
        <v>1449</v>
      </c>
      <c r="I741" s="21" t="s">
        <v>1555</v>
      </c>
      <c r="J741" s="21" t="s">
        <v>1671</v>
      </c>
      <c r="K741" s="24">
        <v>7</v>
      </c>
      <c r="L741" s="24">
        <v>42</v>
      </c>
      <c r="M741" s="23">
        <v>2</v>
      </c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>
        <v>3</v>
      </c>
      <c r="Z741" s="23"/>
      <c r="AA741" s="23">
        <v>2</v>
      </c>
      <c r="AB741" s="23"/>
      <c r="AC741" s="23"/>
      <c r="AD741" s="23"/>
      <c r="AE741" s="23"/>
      <c r="AF741" s="23"/>
      <c r="AG741" s="23"/>
      <c r="AH741" s="23"/>
      <c r="AI741" s="23"/>
      <c r="AJ741" s="23"/>
      <c r="AK741" s="23">
        <v>7</v>
      </c>
      <c r="AL741" s="23"/>
      <c r="AM741" s="23"/>
      <c r="AN741" s="23"/>
      <c r="AO741" s="23"/>
      <c r="AP741" s="23"/>
      <c r="AQ741" s="23">
        <v>3</v>
      </c>
      <c r="AR741" s="23">
        <v>4</v>
      </c>
      <c r="AS741" s="23"/>
      <c r="AT741" s="23"/>
      <c r="AU741" s="14" t="str">
        <f>HYPERLINK("http://www.openstreetmap.org/?mlat=33.3642&amp;mlon=44.3828&amp;zoom=12#map=12/33.3642/44.3828","Maplink1")</f>
        <v>Maplink1</v>
      </c>
      <c r="AV741" s="14" t="str">
        <f>HYPERLINK("https://www.google.iq/maps/search/+33.3642,44.3828/@33.3642,44.3828,14z?hl=en","Maplink2")</f>
        <v>Maplink2</v>
      </c>
      <c r="AW741" s="14" t="str">
        <f>HYPERLINK("http://www.bing.com/maps/?lvl=14&amp;sty=h&amp;cp=33.3642~44.3828&amp;sp=point.33.3642_44.3828_Al Waziriyah-305","Maplink3")</f>
        <v>Maplink3</v>
      </c>
    </row>
    <row r="742" spans="1:49" ht="15" customHeight="1" x14ac:dyDescent="0.25">
      <c r="A742" s="21">
        <v>24759</v>
      </c>
      <c r="B742" s="22" t="s">
        <v>11</v>
      </c>
      <c r="C742" s="22" t="s">
        <v>1552</v>
      </c>
      <c r="D742" s="22" t="s">
        <v>1673</v>
      </c>
      <c r="E742" s="22" t="s">
        <v>1674</v>
      </c>
      <c r="F742" s="22">
        <v>33.472742433999997</v>
      </c>
      <c r="G742" s="22">
        <v>44.3829206407</v>
      </c>
      <c r="H742" s="21" t="s">
        <v>1449</v>
      </c>
      <c r="I742" s="21" t="s">
        <v>1555</v>
      </c>
      <c r="J742" s="21"/>
      <c r="K742" s="24">
        <v>112</v>
      </c>
      <c r="L742" s="24">
        <v>672</v>
      </c>
      <c r="M742" s="23">
        <v>4</v>
      </c>
      <c r="N742" s="23"/>
      <c r="O742" s="23"/>
      <c r="P742" s="23"/>
      <c r="Q742" s="23"/>
      <c r="R742" s="23">
        <v>3</v>
      </c>
      <c r="S742" s="23"/>
      <c r="T742" s="23"/>
      <c r="U742" s="23"/>
      <c r="V742" s="23"/>
      <c r="W742" s="23"/>
      <c r="X742" s="23"/>
      <c r="Y742" s="23">
        <v>104</v>
      </c>
      <c r="Z742" s="23"/>
      <c r="AA742" s="23">
        <v>1</v>
      </c>
      <c r="AB742" s="23"/>
      <c r="AC742" s="23"/>
      <c r="AD742" s="23"/>
      <c r="AE742" s="23">
        <v>112</v>
      </c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>
        <v>100</v>
      </c>
      <c r="AQ742" s="23"/>
      <c r="AR742" s="23">
        <v>8</v>
      </c>
      <c r="AS742" s="23">
        <v>4</v>
      </c>
      <c r="AT742" s="23"/>
      <c r="AU742" s="14" t="str">
        <f>HYPERLINK("http://www.openstreetmap.org/?mlat=33.4644&amp;mlon=44.3785&amp;zoom=12#map=12/33.4644/44.3785","Maplink1")</f>
        <v>Maplink1</v>
      </c>
      <c r="AV742" s="14" t="str">
        <f>HYPERLINK("https://www.google.iq/maps/search/+33.4644,44.3785/@33.4644,44.3785,14z?hl=en","Maplink2")</f>
        <v>Maplink2</v>
      </c>
      <c r="AW742" s="14" t="str">
        <f>HYPERLINK("http://www.bing.com/maps/?lvl=14&amp;sty=h&amp;cp=33.4644~44.3785&amp;sp=point.33.4644_44.3785_Al-Nabi Sheit Camp","Maplink3")</f>
        <v>Maplink3</v>
      </c>
    </row>
    <row r="743" spans="1:49" ht="15" customHeight="1" x14ac:dyDescent="0.25">
      <c r="A743" s="21">
        <v>7302</v>
      </c>
      <c r="B743" s="22" t="s">
        <v>11</v>
      </c>
      <c r="C743" s="22" t="s">
        <v>1552</v>
      </c>
      <c r="D743" s="22" t="s">
        <v>8376</v>
      </c>
      <c r="E743" s="22" t="s">
        <v>8377</v>
      </c>
      <c r="F743" s="22">
        <v>33.536215997299998</v>
      </c>
      <c r="G743" s="22">
        <v>44.348272495000003</v>
      </c>
      <c r="H743" s="21" t="s">
        <v>1449</v>
      </c>
      <c r="I743" s="21" t="s">
        <v>1555</v>
      </c>
      <c r="J743" s="21" t="s">
        <v>1675</v>
      </c>
      <c r="K743" s="24">
        <v>27</v>
      </c>
      <c r="L743" s="24">
        <v>162</v>
      </c>
      <c r="M743" s="23">
        <v>7</v>
      </c>
      <c r="N743" s="23"/>
      <c r="O743" s="23"/>
      <c r="P743" s="23"/>
      <c r="Q743" s="23"/>
      <c r="R743" s="23">
        <v>6</v>
      </c>
      <c r="S743" s="23"/>
      <c r="T743" s="23"/>
      <c r="U743" s="23"/>
      <c r="V743" s="23"/>
      <c r="W743" s="23"/>
      <c r="X743" s="23"/>
      <c r="Y743" s="23"/>
      <c r="Z743" s="23"/>
      <c r="AA743" s="23">
        <v>14</v>
      </c>
      <c r="AB743" s="23"/>
      <c r="AC743" s="23"/>
      <c r="AD743" s="23"/>
      <c r="AE743" s="23"/>
      <c r="AF743" s="23">
        <v>16</v>
      </c>
      <c r="AG743" s="23"/>
      <c r="AH743" s="23"/>
      <c r="AI743" s="23"/>
      <c r="AJ743" s="23"/>
      <c r="AK743" s="23">
        <v>11</v>
      </c>
      <c r="AL743" s="23"/>
      <c r="AM743" s="23"/>
      <c r="AN743" s="23"/>
      <c r="AO743" s="23"/>
      <c r="AP743" s="23"/>
      <c r="AQ743" s="23">
        <v>15</v>
      </c>
      <c r="AR743" s="23">
        <v>2</v>
      </c>
      <c r="AS743" s="23">
        <v>6</v>
      </c>
      <c r="AT743" s="23">
        <v>4</v>
      </c>
      <c r="AU743" s="14" t="str">
        <f>HYPERLINK("http://www.openstreetmap.org/?mlat=33.5399&amp;mlon=44.3531&amp;zoom=12#map=12/33.5399/44.3531","Maplink1")</f>
        <v>Maplink1</v>
      </c>
      <c r="AV743" s="14" t="str">
        <f>HYPERLINK("https://www.google.iq/maps/search/+33.5399,44.3531/@33.5399,44.3531,14z?hl=en","Maplink2")</f>
        <v>Maplink2</v>
      </c>
      <c r="AW743" s="14" t="str">
        <f>HYPERLINK("http://www.bing.com/maps/?lvl=14&amp;sty=h&amp;cp=33.5399~44.3531&amp;sp=point.33.5399_44.3531_Al-Rabeaa","Maplink3")</f>
        <v>Maplink3</v>
      </c>
    </row>
    <row r="744" spans="1:49" ht="15" customHeight="1" x14ac:dyDescent="0.25">
      <c r="A744" s="21">
        <v>25216</v>
      </c>
      <c r="B744" s="22" t="s">
        <v>11</v>
      </c>
      <c r="C744" s="22" t="s">
        <v>1552</v>
      </c>
      <c r="D744" s="22" t="s">
        <v>1676</v>
      </c>
      <c r="E744" s="22" t="s">
        <v>1677</v>
      </c>
      <c r="F744" s="22">
        <v>33.560160000000003</v>
      </c>
      <c r="G744" s="22">
        <v>44.355350000000001</v>
      </c>
      <c r="H744" s="21" t="s">
        <v>1449</v>
      </c>
      <c r="I744" s="21" t="s">
        <v>1555</v>
      </c>
      <c r="J744" s="21"/>
      <c r="K744" s="24">
        <v>15</v>
      </c>
      <c r="L744" s="24">
        <v>90</v>
      </c>
      <c r="M744" s="23">
        <v>2</v>
      </c>
      <c r="N744" s="23"/>
      <c r="O744" s="23"/>
      <c r="P744" s="23"/>
      <c r="Q744" s="23"/>
      <c r="R744" s="23">
        <v>4</v>
      </c>
      <c r="S744" s="23"/>
      <c r="T744" s="23"/>
      <c r="U744" s="23"/>
      <c r="V744" s="23"/>
      <c r="W744" s="23"/>
      <c r="X744" s="23"/>
      <c r="Y744" s="23">
        <v>9</v>
      </c>
      <c r="Z744" s="23"/>
      <c r="AA744" s="23"/>
      <c r="AB744" s="23"/>
      <c r="AC744" s="23"/>
      <c r="AD744" s="23"/>
      <c r="AE744" s="23"/>
      <c r="AF744" s="23">
        <v>15</v>
      </c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>
        <v>13</v>
      </c>
      <c r="AS744" s="23"/>
      <c r="AT744" s="23">
        <v>2</v>
      </c>
      <c r="AU744" s="14" t="str">
        <f>HYPERLINK("http://www.openstreetmap.org/?mlat=33.5187&amp;mlon=44.3402&amp;zoom=12#map=12/33.5187/44.3402","Maplink1")</f>
        <v>Maplink1</v>
      </c>
      <c r="AV744" s="14" t="str">
        <f>HYPERLINK("https://www.google.iq/maps/search/+33.5187,44.3402/@33.5187,44.3402,14z?hl=en","Maplink2")</f>
        <v>Maplink2</v>
      </c>
      <c r="AW744" s="14" t="str">
        <f>HYPERLINK("http://www.bing.com/maps/?lvl=14&amp;sty=h&amp;cp=33.5187~44.3402&amp;sp=point.33.5187_44.3402_Ali Al Faiadh village","Maplink3")</f>
        <v>Maplink3</v>
      </c>
    </row>
    <row r="745" spans="1:49" ht="15" customHeight="1" x14ac:dyDescent="0.25">
      <c r="A745" s="21">
        <v>25394</v>
      </c>
      <c r="B745" s="22" t="s">
        <v>11</v>
      </c>
      <c r="C745" s="22" t="s">
        <v>1552</v>
      </c>
      <c r="D745" s="22" t="s">
        <v>7679</v>
      </c>
      <c r="E745" s="22" t="s">
        <v>1678</v>
      </c>
      <c r="F745" s="22">
        <v>33.470252593399998</v>
      </c>
      <c r="G745" s="22">
        <v>44.3824935572</v>
      </c>
      <c r="H745" s="21" t="s">
        <v>1449</v>
      </c>
      <c r="I745" s="21" t="s">
        <v>1555</v>
      </c>
      <c r="J745" s="21"/>
      <c r="K745" s="24">
        <v>19</v>
      </c>
      <c r="L745" s="24">
        <v>114</v>
      </c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>
        <v>19</v>
      </c>
      <c r="Z745" s="23"/>
      <c r="AA745" s="23"/>
      <c r="AB745" s="23"/>
      <c r="AC745" s="23"/>
      <c r="AD745" s="23"/>
      <c r="AE745" s="23"/>
      <c r="AF745" s="23">
        <v>4</v>
      </c>
      <c r="AG745" s="23"/>
      <c r="AH745" s="23"/>
      <c r="AI745" s="23"/>
      <c r="AJ745" s="23"/>
      <c r="AK745" s="23">
        <v>15</v>
      </c>
      <c r="AL745" s="23"/>
      <c r="AM745" s="23"/>
      <c r="AN745" s="23"/>
      <c r="AO745" s="23"/>
      <c r="AP745" s="23">
        <v>17</v>
      </c>
      <c r="AQ745" s="23"/>
      <c r="AR745" s="23">
        <v>2</v>
      </c>
      <c r="AS745" s="23"/>
      <c r="AT745" s="23"/>
      <c r="AU745" s="14" t="str">
        <f>HYPERLINK("http://www.openstreetmap.org/?mlat=33.4695&amp;mlon=44.3793&amp;zoom=12#map=12/33.4695/44.3793","Maplink1")</f>
        <v>Maplink1</v>
      </c>
      <c r="AV745" s="14" t="str">
        <f>HYPERLINK("https://www.google.iq/maps/search/+33.4695,44.3793/@33.4695,44.3793,14z?hl=en","Maplink2")</f>
        <v>Maplink2</v>
      </c>
      <c r="AW745" s="14" t="str">
        <f>HYPERLINK("http://www.bing.com/maps/?lvl=14&amp;sty=h&amp;cp=33.4695~44.3793&amp;sp=point.33.4695_44.3793_Bob Al Sham -- 361","Maplink3")</f>
        <v>Maplink3</v>
      </c>
    </row>
    <row r="746" spans="1:49" ht="15" customHeight="1" x14ac:dyDescent="0.25">
      <c r="A746" s="21">
        <v>25395</v>
      </c>
      <c r="B746" s="22" t="s">
        <v>11</v>
      </c>
      <c r="C746" s="22" t="s">
        <v>1552</v>
      </c>
      <c r="D746" s="22" t="s">
        <v>7680</v>
      </c>
      <c r="E746" s="22" t="s">
        <v>1679</v>
      </c>
      <c r="F746" s="22">
        <v>33.440376779499999</v>
      </c>
      <c r="G746" s="22">
        <v>44.381276342500001</v>
      </c>
      <c r="H746" s="21" t="s">
        <v>1449</v>
      </c>
      <c r="I746" s="21" t="s">
        <v>1555</v>
      </c>
      <c r="J746" s="21"/>
      <c r="K746" s="24">
        <v>13</v>
      </c>
      <c r="L746" s="24">
        <v>78</v>
      </c>
      <c r="M746" s="23"/>
      <c r="N746" s="23"/>
      <c r="O746" s="23"/>
      <c r="P746" s="23"/>
      <c r="Q746" s="23"/>
      <c r="R746" s="23">
        <v>10</v>
      </c>
      <c r="S746" s="23"/>
      <c r="T746" s="23"/>
      <c r="U746" s="23"/>
      <c r="V746" s="23"/>
      <c r="W746" s="23"/>
      <c r="X746" s="23"/>
      <c r="Y746" s="23"/>
      <c r="Z746" s="23"/>
      <c r="AA746" s="23">
        <v>3</v>
      </c>
      <c r="AB746" s="23"/>
      <c r="AC746" s="23"/>
      <c r="AD746" s="23"/>
      <c r="AE746" s="23"/>
      <c r="AF746" s="23">
        <v>13</v>
      </c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>
        <v>13</v>
      </c>
      <c r="AR746" s="23"/>
      <c r="AS746" s="23"/>
      <c r="AT746" s="23"/>
      <c r="AU746" s="14" t="str">
        <f>HYPERLINK("http://www.openstreetmap.org/?mlat=33.4522&amp;mlon=44.3737&amp;zoom=12#map=12/33.4522/44.3737","Maplink1")</f>
        <v>Maplink1</v>
      </c>
      <c r="AV746" s="14" t="str">
        <f>HYPERLINK("https://www.google.iq/maps/search/+33.4522,44.3737/@33.4522,44.3737,14z?hl=en","Maplink2")</f>
        <v>Maplink2</v>
      </c>
      <c r="AW746" s="14" t="str">
        <f>HYPERLINK("http://www.bing.com/maps/?lvl=14&amp;sty=h&amp;cp=33.4522~44.3737&amp;sp=point.33.4522_44.3737_Bob Al Sham -- 363","Maplink3")</f>
        <v>Maplink3</v>
      </c>
    </row>
    <row r="747" spans="1:49" ht="15" customHeight="1" x14ac:dyDescent="0.25">
      <c r="A747" s="21">
        <v>25397</v>
      </c>
      <c r="B747" s="22" t="s">
        <v>11</v>
      </c>
      <c r="C747" s="22" t="s">
        <v>1552</v>
      </c>
      <c r="D747" s="22" t="s">
        <v>7681</v>
      </c>
      <c r="E747" s="22" t="s">
        <v>1680</v>
      </c>
      <c r="F747" s="22">
        <v>33.465429999999998</v>
      </c>
      <c r="G747" s="22">
        <v>44.388440000000003</v>
      </c>
      <c r="H747" s="21" t="s">
        <v>1449</v>
      </c>
      <c r="I747" s="21" t="s">
        <v>1555</v>
      </c>
      <c r="J747" s="21"/>
      <c r="K747" s="24">
        <v>141</v>
      </c>
      <c r="L747" s="24">
        <v>846</v>
      </c>
      <c r="M747" s="23">
        <v>96</v>
      </c>
      <c r="N747" s="23"/>
      <c r="O747" s="23"/>
      <c r="P747" s="23"/>
      <c r="Q747" s="23"/>
      <c r="R747" s="23">
        <v>23</v>
      </c>
      <c r="S747" s="23"/>
      <c r="T747" s="23"/>
      <c r="U747" s="23"/>
      <c r="V747" s="23"/>
      <c r="W747" s="23"/>
      <c r="X747" s="23"/>
      <c r="Y747" s="23">
        <v>22</v>
      </c>
      <c r="Z747" s="23"/>
      <c r="AA747" s="23"/>
      <c r="AB747" s="23"/>
      <c r="AC747" s="23"/>
      <c r="AD747" s="23"/>
      <c r="AE747" s="23"/>
      <c r="AF747" s="23">
        <v>45</v>
      </c>
      <c r="AG747" s="23"/>
      <c r="AH747" s="23"/>
      <c r="AI747" s="23"/>
      <c r="AJ747" s="23"/>
      <c r="AK747" s="23">
        <v>96</v>
      </c>
      <c r="AL747" s="23"/>
      <c r="AM747" s="23"/>
      <c r="AN747" s="23"/>
      <c r="AO747" s="23"/>
      <c r="AP747" s="23">
        <v>16</v>
      </c>
      <c r="AQ747" s="23">
        <v>29</v>
      </c>
      <c r="AR747" s="23"/>
      <c r="AS747" s="23">
        <v>96</v>
      </c>
      <c r="AT747" s="23"/>
      <c r="AU747" s="14" t="str">
        <f>HYPERLINK("http://www.openstreetmap.org/?mlat=33.4534&amp;mlon=44.3551&amp;zoom=12#map=12/33.4534/44.3551","Maplink1")</f>
        <v>Maplink1</v>
      </c>
      <c r="AV747" s="14" t="str">
        <f>HYPERLINK("https://www.google.iq/maps/search/+33.4534,44.3551/@33.4534,44.3551,14z?hl=en","Maplink2")</f>
        <v>Maplink2</v>
      </c>
      <c r="AW747" s="14" t="str">
        <f>HYPERLINK("http://www.bing.com/maps/?lvl=14&amp;sty=h&amp;cp=33.4534~44.3551&amp;sp=point.33.4534_44.3551_Bob Al Sham -- 365","Maplink3")</f>
        <v>Maplink3</v>
      </c>
    </row>
    <row r="748" spans="1:49" ht="15" customHeight="1" x14ac:dyDescent="0.25">
      <c r="A748" s="21">
        <v>25396</v>
      </c>
      <c r="B748" s="22" t="s">
        <v>11</v>
      </c>
      <c r="C748" s="22" t="s">
        <v>1552</v>
      </c>
      <c r="D748" s="22" t="s">
        <v>7682</v>
      </c>
      <c r="E748" s="22" t="s">
        <v>1681</v>
      </c>
      <c r="F748" s="22">
        <v>33.468470000000003</v>
      </c>
      <c r="G748" s="22">
        <v>44.389159999999997</v>
      </c>
      <c r="H748" s="21" t="s">
        <v>1449</v>
      </c>
      <c r="I748" s="21" t="s">
        <v>1555</v>
      </c>
      <c r="J748" s="21"/>
      <c r="K748" s="24">
        <v>87</v>
      </c>
      <c r="L748" s="24">
        <v>522</v>
      </c>
      <c r="M748" s="23">
        <v>34</v>
      </c>
      <c r="N748" s="23"/>
      <c r="O748" s="23"/>
      <c r="P748" s="23"/>
      <c r="Q748" s="23"/>
      <c r="R748" s="23">
        <v>23</v>
      </c>
      <c r="S748" s="23"/>
      <c r="T748" s="23"/>
      <c r="U748" s="23"/>
      <c r="V748" s="23"/>
      <c r="W748" s="23"/>
      <c r="X748" s="23"/>
      <c r="Y748" s="23"/>
      <c r="Z748" s="23"/>
      <c r="AA748" s="23">
        <v>30</v>
      </c>
      <c r="AB748" s="23"/>
      <c r="AC748" s="23"/>
      <c r="AD748" s="23"/>
      <c r="AE748" s="23"/>
      <c r="AF748" s="23">
        <v>31</v>
      </c>
      <c r="AG748" s="23"/>
      <c r="AH748" s="23"/>
      <c r="AI748" s="23"/>
      <c r="AJ748" s="23"/>
      <c r="AK748" s="23">
        <v>56</v>
      </c>
      <c r="AL748" s="23"/>
      <c r="AM748" s="23"/>
      <c r="AN748" s="23"/>
      <c r="AO748" s="23"/>
      <c r="AP748" s="23"/>
      <c r="AQ748" s="23">
        <v>15</v>
      </c>
      <c r="AR748" s="23">
        <v>26</v>
      </c>
      <c r="AS748" s="23">
        <v>46</v>
      </c>
      <c r="AT748" s="23"/>
      <c r="AU748" s="14" t="str">
        <f>HYPERLINK("http://www.openstreetmap.org/?mlat=33.4733&amp;mlon=44.3653&amp;zoom=12#map=12/33.4733/44.3653","Maplink1")</f>
        <v>Maplink1</v>
      </c>
      <c r="AV748" s="14" t="str">
        <f>HYPERLINK("https://www.google.iq/maps/search/+33.4733,44.3653/@33.4733,44.3653,14z?hl=en","Maplink2")</f>
        <v>Maplink2</v>
      </c>
      <c r="AW748" s="14" t="str">
        <f>HYPERLINK("http://www.bing.com/maps/?lvl=14&amp;sty=h&amp;cp=33.4733~44.3653&amp;sp=point.33.4733_44.3653_Bob Al Sham -- 367","Maplink3")</f>
        <v>Maplink3</v>
      </c>
    </row>
    <row r="749" spans="1:49" ht="15" customHeight="1" x14ac:dyDescent="0.25">
      <c r="A749" s="21">
        <v>25398</v>
      </c>
      <c r="B749" s="22" t="s">
        <v>11</v>
      </c>
      <c r="C749" s="22" t="s">
        <v>1552</v>
      </c>
      <c r="D749" s="22" t="s">
        <v>7683</v>
      </c>
      <c r="E749" s="22" t="s">
        <v>1682</v>
      </c>
      <c r="F749" s="22">
        <v>33.460700000000003</v>
      </c>
      <c r="G749" s="22">
        <v>44.385829999999999</v>
      </c>
      <c r="H749" s="21" t="s">
        <v>1449</v>
      </c>
      <c r="I749" s="21" t="s">
        <v>1555</v>
      </c>
      <c r="J749" s="21"/>
      <c r="K749" s="24">
        <v>44</v>
      </c>
      <c r="L749" s="24">
        <v>264</v>
      </c>
      <c r="M749" s="23">
        <v>10</v>
      </c>
      <c r="N749" s="23"/>
      <c r="O749" s="23"/>
      <c r="P749" s="23"/>
      <c r="Q749" s="23"/>
      <c r="R749" s="23">
        <v>14</v>
      </c>
      <c r="S749" s="23"/>
      <c r="T749" s="23"/>
      <c r="U749" s="23"/>
      <c r="V749" s="23"/>
      <c r="W749" s="23"/>
      <c r="X749" s="23"/>
      <c r="Y749" s="23"/>
      <c r="Z749" s="23"/>
      <c r="AA749" s="23">
        <v>20</v>
      </c>
      <c r="AB749" s="23"/>
      <c r="AC749" s="23"/>
      <c r="AD749" s="23"/>
      <c r="AE749" s="23"/>
      <c r="AF749" s="23">
        <v>11</v>
      </c>
      <c r="AG749" s="23"/>
      <c r="AH749" s="23"/>
      <c r="AI749" s="23"/>
      <c r="AJ749" s="23"/>
      <c r="AK749" s="23">
        <v>33</v>
      </c>
      <c r="AL749" s="23"/>
      <c r="AM749" s="23"/>
      <c r="AN749" s="23"/>
      <c r="AO749" s="23"/>
      <c r="AP749" s="23"/>
      <c r="AQ749" s="23">
        <v>15</v>
      </c>
      <c r="AR749" s="23">
        <v>18</v>
      </c>
      <c r="AS749" s="23">
        <v>11</v>
      </c>
      <c r="AT749" s="23"/>
      <c r="AU749" s="14" t="str">
        <f>HYPERLINK("http://www.openstreetmap.org/?mlat=33.4555&amp;mlon=44.3951&amp;zoom=12#map=12/33.4555/44.3951","Maplink1")</f>
        <v>Maplink1</v>
      </c>
      <c r="AV749" s="14" t="str">
        <f>HYPERLINK("https://www.google.iq/maps/search/+33.4555,44.3951/@33.4555,44.3951,14z?hl=en","Maplink2")</f>
        <v>Maplink2</v>
      </c>
      <c r="AW749" s="14" t="str">
        <f>HYPERLINK("http://www.bing.com/maps/?lvl=14&amp;sty=h&amp;cp=33.4555~44.3951&amp;sp=point.33.4555_44.3951_Bob Al Sham -- 388","Maplink3")</f>
        <v>Maplink3</v>
      </c>
    </row>
    <row r="750" spans="1:49" ht="15" customHeight="1" x14ac:dyDescent="0.25">
      <c r="A750" s="21">
        <v>24988</v>
      </c>
      <c r="B750" s="22" t="s">
        <v>11</v>
      </c>
      <c r="C750" s="22" t="s">
        <v>1552</v>
      </c>
      <c r="D750" s="22" t="s">
        <v>1683</v>
      </c>
      <c r="E750" s="22" t="s">
        <v>1684</v>
      </c>
      <c r="F750" s="22">
        <v>33.453542448199997</v>
      </c>
      <c r="G750" s="22">
        <v>44.345307180500001</v>
      </c>
      <c r="H750" s="21" t="s">
        <v>1449</v>
      </c>
      <c r="I750" s="21" t="s">
        <v>1555</v>
      </c>
      <c r="J750" s="21"/>
      <c r="K750" s="24">
        <v>215</v>
      </c>
      <c r="L750" s="24">
        <v>1290</v>
      </c>
      <c r="M750" s="23">
        <v>60</v>
      </c>
      <c r="N750" s="23"/>
      <c r="O750" s="23">
        <v>10</v>
      </c>
      <c r="P750" s="23"/>
      <c r="Q750" s="23"/>
      <c r="R750" s="23">
        <v>10</v>
      </c>
      <c r="S750" s="23"/>
      <c r="T750" s="23"/>
      <c r="U750" s="23"/>
      <c r="V750" s="23"/>
      <c r="W750" s="23"/>
      <c r="X750" s="23"/>
      <c r="Y750" s="23"/>
      <c r="Z750" s="23"/>
      <c r="AA750" s="23">
        <v>135</v>
      </c>
      <c r="AB750" s="23"/>
      <c r="AC750" s="23"/>
      <c r="AD750" s="23"/>
      <c r="AE750" s="23"/>
      <c r="AF750" s="23">
        <v>82</v>
      </c>
      <c r="AG750" s="23"/>
      <c r="AH750" s="23"/>
      <c r="AI750" s="23"/>
      <c r="AJ750" s="23"/>
      <c r="AK750" s="23">
        <v>108</v>
      </c>
      <c r="AL750" s="23"/>
      <c r="AM750" s="23">
        <v>25</v>
      </c>
      <c r="AN750" s="23"/>
      <c r="AO750" s="23">
        <v>22</v>
      </c>
      <c r="AP750" s="23"/>
      <c r="AQ750" s="23">
        <v>158</v>
      </c>
      <c r="AR750" s="23">
        <v>24</v>
      </c>
      <c r="AS750" s="23">
        <v>11</v>
      </c>
      <c r="AT750" s="23"/>
      <c r="AU750" s="14" t="str">
        <f>HYPERLINK("http://www.openstreetmap.org/?mlat=33.4618&amp;mlon=44.326&amp;zoom=12#map=12/33.4618/44.326","Maplink1")</f>
        <v>Maplink1</v>
      </c>
      <c r="AV750" s="14" t="str">
        <f>HYPERLINK("https://www.google.iq/maps/search/+33.4618,44.326/@33.4618,44.326,14z?hl=en","Maplink2")</f>
        <v>Maplink2</v>
      </c>
      <c r="AW750" s="14" t="str">
        <f>HYPERLINK("http://www.bing.com/maps/?lvl=14&amp;sty=h&amp;cp=33.4618~44.326&amp;sp=point.33.4618_44.326_Gumaira Village","Maplink3")</f>
        <v>Maplink3</v>
      </c>
    </row>
    <row r="751" spans="1:49" ht="15" customHeight="1" x14ac:dyDescent="0.25">
      <c r="A751" s="21">
        <v>25215</v>
      </c>
      <c r="B751" s="22" t="s">
        <v>11</v>
      </c>
      <c r="C751" s="22" t="s">
        <v>1552</v>
      </c>
      <c r="D751" s="22" t="s">
        <v>1685</v>
      </c>
      <c r="E751" s="22" t="s">
        <v>1686</v>
      </c>
      <c r="F751" s="22">
        <v>33.550040000000003</v>
      </c>
      <c r="G751" s="22">
        <v>44.349829999999997</v>
      </c>
      <c r="H751" s="21" t="s">
        <v>1449</v>
      </c>
      <c r="I751" s="21" t="s">
        <v>1555</v>
      </c>
      <c r="J751" s="21"/>
      <c r="K751" s="24">
        <v>7</v>
      </c>
      <c r="L751" s="24">
        <v>42</v>
      </c>
      <c r="M751" s="23">
        <v>4</v>
      </c>
      <c r="N751" s="23"/>
      <c r="O751" s="23"/>
      <c r="P751" s="23"/>
      <c r="Q751" s="23"/>
      <c r="R751" s="23">
        <v>3</v>
      </c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>
        <v>7</v>
      </c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>
        <v>7</v>
      </c>
      <c r="AS751" s="23"/>
      <c r="AT751" s="23"/>
      <c r="AU751" s="14" t="str">
        <f>HYPERLINK("http://www.openstreetmap.org/?mlat=33.5383&amp;mlon=44.3255&amp;zoom=12#map=12/33.5383/44.3255","Maplink1")</f>
        <v>Maplink1</v>
      </c>
      <c r="AV751" s="14" t="str">
        <f>HYPERLINK("https://www.google.iq/maps/search/+33.5383,44.3255/@33.5383,44.3255,14z?hl=en","Maplink2")</f>
        <v>Maplink2</v>
      </c>
      <c r="AW751" s="14" t="str">
        <f>HYPERLINK("http://www.bing.com/maps/?lvl=14&amp;sty=h&amp;cp=33.5383~44.3255&amp;sp=point.33.5383_44.3255_Hammed al Hummod village","Maplink3")</f>
        <v>Maplink3</v>
      </c>
    </row>
    <row r="752" spans="1:49" ht="15" customHeight="1" x14ac:dyDescent="0.25">
      <c r="A752" s="21">
        <v>27255</v>
      </c>
      <c r="B752" s="22" t="s">
        <v>11</v>
      </c>
      <c r="C752" s="22" t="s">
        <v>1552</v>
      </c>
      <c r="D752" s="22" t="s">
        <v>8378</v>
      </c>
      <c r="E752" s="22" t="s">
        <v>8379</v>
      </c>
      <c r="F752" s="22">
        <v>33.393957976300001</v>
      </c>
      <c r="G752" s="22">
        <v>44.351049582000002</v>
      </c>
      <c r="H752" s="21" t="s">
        <v>1449</v>
      </c>
      <c r="I752" s="21" t="s">
        <v>1555</v>
      </c>
      <c r="J752" s="21"/>
      <c r="K752" s="24">
        <v>63</v>
      </c>
      <c r="L752" s="24">
        <v>378</v>
      </c>
      <c r="M752" s="23">
        <v>37</v>
      </c>
      <c r="N752" s="23"/>
      <c r="O752" s="23"/>
      <c r="P752" s="23"/>
      <c r="Q752" s="23"/>
      <c r="R752" s="23">
        <v>6</v>
      </c>
      <c r="S752" s="23"/>
      <c r="T752" s="23"/>
      <c r="U752" s="23"/>
      <c r="V752" s="23"/>
      <c r="W752" s="23"/>
      <c r="X752" s="23"/>
      <c r="Y752" s="23">
        <v>15</v>
      </c>
      <c r="Z752" s="23"/>
      <c r="AA752" s="23">
        <v>5</v>
      </c>
      <c r="AB752" s="23"/>
      <c r="AC752" s="23"/>
      <c r="AD752" s="23"/>
      <c r="AE752" s="23"/>
      <c r="AF752" s="23">
        <v>7</v>
      </c>
      <c r="AG752" s="23"/>
      <c r="AH752" s="23"/>
      <c r="AI752" s="23"/>
      <c r="AJ752" s="23"/>
      <c r="AK752" s="23">
        <v>56</v>
      </c>
      <c r="AL752" s="23"/>
      <c r="AM752" s="23"/>
      <c r="AN752" s="23"/>
      <c r="AO752" s="23"/>
      <c r="AP752" s="23"/>
      <c r="AQ752" s="23"/>
      <c r="AR752" s="23">
        <v>26</v>
      </c>
      <c r="AS752" s="23">
        <v>37</v>
      </c>
      <c r="AT752" s="23"/>
      <c r="AU752" s="14" t="str">
        <f>HYPERLINK("http://www.openstreetmap.org/?mlat=33.3937&amp;mlon=44.3432&amp;zoom=12#map=12/33.3937/44.3432","Maplink1")</f>
        <v>Maplink1</v>
      </c>
      <c r="AV752" s="14" t="str">
        <f>HYPERLINK("https://www.google.iq/maps/search/+33.3937,44.3432/@33.3937,44.3432,14z?hl=en","Maplink2")</f>
        <v>Maplink2</v>
      </c>
      <c r="AW752" s="14" t="str">
        <f>HYPERLINK("http://www.bing.com/maps/?lvl=14&amp;sty=h&amp;cp=33.3937~44.3432&amp;sp=point.33.3937_44.3432_Al Rabea'a 334","Maplink3")</f>
        <v>Maplink3</v>
      </c>
    </row>
    <row r="753" spans="1:49" ht="15" customHeight="1" x14ac:dyDescent="0.25">
      <c r="A753" s="21">
        <v>24176</v>
      </c>
      <c r="B753" s="22" t="s">
        <v>11</v>
      </c>
      <c r="C753" s="22" t="s">
        <v>1552</v>
      </c>
      <c r="D753" s="22" t="s">
        <v>8380</v>
      </c>
      <c r="E753" s="22" t="s">
        <v>8381</v>
      </c>
      <c r="F753" s="22">
        <v>33.3917424674</v>
      </c>
      <c r="G753" s="22">
        <v>44.358191662800003</v>
      </c>
      <c r="H753" s="21" t="s">
        <v>1449</v>
      </c>
      <c r="I753" s="21" t="s">
        <v>1555</v>
      </c>
      <c r="J753" s="21" t="s">
        <v>1642</v>
      </c>
      <c r="K753" s="24">
        <v>198</v>
      </c>
      <c r="L753" s="24">
        <v>1188</v>
      </c>
      <c r="M753" s="23">
        <v>170</v>
      </c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>
        <v>9</v>
      </c>
      <c r="Z753" s="23"/>
      <c r="AA753" s="23">
        <v>19</v>
      </c>
      <c r="AB753" s="23"/>
      <c r="AC753" s="23"/>
      <c r="AD753" s="23"/>
      <c r="AE753" s="23"/>
      <c r="AF753" s="23">
        <v>67</v>
      </c>
      <c r="AG753" s="23"/>
      <c r="AH753" s="23"/>
      <c r="AI753" s="23"/>
      <c r="AJ753" s="23"/>
      <c r="AK753" s="23">
        <v>131</v>
      </c>
      <c r="AL753" s="23"/>
      <c r="AM753" s="23"/>
      <c r="AN753" s="23"/>
      <c r="AO753" s="23">
        <v>33</v>
      </c>
      <c r="AP753" s="23">
        <v>57</v>
      </c>
      <c r="AQ753" s="23"/>
      <c r="AR753" s="23">
        <v>59</v>
      </c>
      <c r="AS753" s="23">
        <v>49</v>
      </c>
      <c r="AT753" s="23"/>
      <c r="AU753" s="14" t="str">
        <f>HYPERLINK("http://www.openstreetmap.org/?mlat=33.3937&amp;mlon=44.3432&amp;zoom=12#map=12/33.3937/44.3432","Maplink1")</f>
        <v>Maplink1</v>
      </c>
      <c r="AV753" s="14" t="str">
        <f>HYPERLINK("https://www.google.iq/maps/search/+33.3937,44.3432/@33.3937,44.3432,14z?hl=en","Maplink2")</f>
        <v>Maplink2</v>
      </c>
      <c r="AW753" s="14" t="str">
        <f>HYPERLINK("http://www.bing.com/maps/?lvl=14&amp;sty=h&amp;cp=33.3937~44.3432&amp;sp=point.33.3937_44.3432_Al Rabeaa 332","Maplink3")</f>
        <v>Maplink3</v>
      </c>
    </row>
    <row r="754" spans="1:49" ht="15" customHeight="1" x14ac:dyDescent="0.25">
      <c r="A754" s="21">
        <v>27256</v>
      </c>
      <c r="B754" s="22" t="s">
        <v>11</v>
      </c>
      <c r="C754" s="22" t="s">
        <v>1552</v>
      </c>
      <c r="D754" s="22" t="s">
        <v>8382</v>
      </c>
      <c r="E754" s="22" t="s">
        <v>8383</v>
      </c>
      <c r="F754" s="22">
        <v>33.391647504200002</v>
      </c>
      <c r="G754" s="22">
        <v>44.340611975599998</v>
      </c>
      <c r="H754" s="21" t="s">
        <v>1449</v>
      </c>
      <c r="I754" s="21" t="s">
        <v>1555</v>
      </c>
      <c r="J754" s="21"/>
      <c r="K754" s="24">
        <v>89</v>
      </c>
      <c r="L754" s="24">
        <v>534</v>
      </c>
      <c r="M754" s="23">
        <v>34</v>
      </c>
      <c r="N754" s="23"/>
      <c r="O754" s="23"/>
      <c r="P754" s="23"/>
      <c r="Q754" s="23"/>
      <c r="R754" s="23">
        <v>11</v>
      </c>
      <c r="S754" s="23"/>
      <c r="T754" s="23"/>
      <c r="U754" s="23"/>
      <c r="V754" s="23"/>
      <c r="W754" s="23"/>
      <c r="X754" s="23"/>
      <c r="Y754" s="23">
        <v>15</v>
      </c>
      <c r="Z754" s="23"/>
      <c r="AA754" s="23">
        <v>29</v>
      </c>
      <c r="AB754" s="23"/>
      <c r="AC754" s="23"/>
      <c r="AD754" s="23"/>
      <c r="AE754" s="23"/>
      <c r="AF754" s="23">
        <v>23</v>
      </c>
      <c r="AG754" s="23"/>
      <c r="AH754" s="23"/>
      <c r="AI754" s="23"/>
      <c r="AJ754" s="23"/>
      <c r="AK754" s="23">
        <v>66</v>
      </c>
      <c r="AL754" s="23"/>
      <c r="AM754" s="23"/>
      <c r="AN754" s="23"/>
      <c r="AO754" s="23"/>
      <c r="AP754" s="23"/>
      <c r="AQ754" s="23"/>
      <c r="AR754" s="23">
        <v>57</v>
      </c>
      <c r="AS754" s="23">
        <v>32</v>
      </c>
      <c r="AT754" s="23"/>
      <c r="AU754" s="14" t="str">
        <f>HYPERLINK("http://www.openstreetmap.org/?mlat=33.3937&amp;mlon=44.3432&amp;zoom=12#map=12/33.3937/44.3432","Maplink1")</f>
        <v>Maplink1</v>
      </c>
      <c r="AV754" s="14" t="str">
        <f>HYPERLINK("https://www.google.iq/maps/search/+33.3937,44.3432/@33.3937,44.3432,14z?hl=en","Maplink2")</f>
        <v>Maplink2</v>
      </c>
      <c r="AW754" s="14" t="str">
        <f>HYPERLINK("http://www.bing.com/maps/?lvl=14&amp;sty=h&amp;cp=33.3937~44.3432&amp;sp=point.33.3937_44.3432_Al Rabea'a 336","Maplink3")</f>
        <v>Maplink3</v>
      </c>
    </row>
    <row r="755" spans="1:49" ht="15" customHeight="1" x14ac:dyDescent="0.25">
      <c r="A755" s="21">
        <v>22777</v>
      </c>
      <c r="B755" s="22" t="s">
        <v>11</v>
      </c>
      <c r="C755" s="22" t="s">
        <v>1552</v>
      </c>
      <c r="D755" s="22" t="s">
        <v>8384</v>
      </c>
      <c r="E755" s="22" t="s">
        <v>8385</v>
      </c>
      <c r="F755" s="22">
        <v>33.392567878500003</v>
      </c>
      <c r="G755" s="22">
        <v>44.365669052999998</v>
      </c>
      <c r="H755" s="21" t="s">
        <v>1449</v>
      </c>
      <c r="I755" s="21" t="s">
        <v>1555</v>
      </c>
      <c r="J755" s="21" t="s">
        <v>1689</v>
      </c>
      <c r="K755" s="24">
        <v>185</v>
      </c>
      <c r="L755" s="24">
        <v>1110</v>
      </c>
      <c r="M755" s="23">
        <v>145</v>
      </c>
      <c r="N755" s="23"/>
      <c r="O755" s="23"/>
      <c r="P755" s="23"/>
      <c r="Q755" s="23"/>
      <c r="R755" s="23">
        <v>4</v>
      </c>
      <c r="S755" s="23"/>
      <c r="T755" s="23"/>
      <c r="U755" s="23"/>
      <c r="V755" s="23"/>
      <c r="W755" s="23"/>
      <c r="X755" s="23"/>
      <c r="Y755" s="23">
        <v>30</v>
      </c>
      <c r="Z755" s="23"/>
      <c r="AA755" s="23">
        <v>6</v>
      </c>
      <c r="AB755" s="23"/>
      <c r="AC755" s="23"/>
      <c r="AD755" s="23"/>
      <c r="AE755" s="23"/>
      <c r="AF755" s="23">
        <v>70</v>
      </c>
      <c r="AG755" s="23"/>
      <c r="AH755" s="23"/>
      <c r="AI755" s="23"/>
      <c r="AJ755" s="23"/>
      <c r="AK755" s="23">
        <v>115</v>
      </c>
      <c r="AL755" s="23"/>
      <c r="AM755" s="23"/>
      <c r="AN755" s="23"/>
      <c r="AO755" s="23">
        <v>78</v>
      </c>
      <c r="AP755" s="23">
        <v>45</v>
      </c>
      <c r="AQ755" s="23">
        <v>61</v>
      </c>
      <c r="AR755" s="23">
        <v>1</v>
      </c>
      <c r="AS755" s="23"/>
      <c r="AT755" s="23"/>
      <c r="AU755" s="14" t="str">
        <f>HYPERLINK("http://www.openstreetmap.org/?mlat=33.398&amp;mlon=44.359&amp;zoom=12#map=12/33.398/44.359","Maplink1")</f>
        <v>Maplink1</v>
      </c>
      <c r="AV755" s="14" t="str">
        <f>HYPERLINK("https://www.google.iq/maps/search/+33.398,44.359/@33.398,44.359,14z?hl=en","Maplink2")</f>
        <v>Maplink2</v>
      </c>
      <c r="AW755" s="14" t="str">
        <f>HYPERLINK("http://www.bing.com/maps/?lvl=14&amp;sty=h&amp;cp=33.398~44.359&amp;sp=point.33.398_44.359_Hay Al Rabee 340","Maplink3")</f>
        <v>Maplink3</v>
      </c>
    </row>
    <row r="756" spans="1:49" ht="15" customHeight="1" x14ac:dyDescent="0.25">
      <c r="A756" s="21">
        <v>22874</v>
      </c>
      <c r="B756" s="22" t="s">
        <v>11</v>
      </c>
      <c r="C756" s="22" t="s">
        <v>1552</v>
      </c>
      <c r="D756" s="22" t="s">
        <v>8386</v>
      </c>
      <c r="E756" s="22" t="s">
        <v>8387</v>
      </c>
      <c r="F756" s="22">
        <v>33.419339112999999</v>
      </c>
      <c r="G756" s="22">
        <v>44.352560725700002</v>
      </c>
      <c r="H756" s="21" t="s">
        <v>1449</v>
      </c>
      <c r="I756" s="21" t="s">
        <v>1555</v>
      </c>
      <c r="J756" s="21" t="s">
        <v>1697</v>
      </c>
      <c r="K756" s="24">
        <v>76</v>
      </c>
      <c r="L756" s="24">
        <v>456</v>
      </c>
      <c r="M756" s="23">
        <v>53</v>
      </c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>
        <v>23</v>
      </c>
      <c r="Z756" s="23"/>
      <c r="AA756" s="23"/>
      <c r="AB756" s="23"/>
      <c r="AC756" s="23"/>
      <c r="AD756" s="23"/>
      <c r="AE756" s="23"/>
      <c r="AF756" s="23">
        <v>27</v>
      </c>
      <c r="AG756" s="23"/>
      <c r="AH756" s="23"/>
      <c r="AI756" s="23"/>
      <c r="AJ756" s="23"/>
      <c r="AK756" s="23">
        <v>49</v>
      </c>
      <c r="AL756" s="23"/>
      <c r="AM756" s="23"/>
      <c r="AN756" s="23"/>
      <c r="AO756" s="23">
        <v>42</v>
      </c>
      <c r="AP756" s="23"/>
      <c r="AQ756" s="23">
        <v>23</v>
      </c>
      <c r="AR756" s="23"/>
      <c r="AS756" s="23">
        <v>11</v>
      </c>
      <c r="AT756" s="23"/>
      <c r="AU756" s="14" t="str">
        <f>HYPERLINK("http://www.openstreetmap.org/?mlat=33.425&amp;mlon=44.3505&amp;zoom=12#map=12/33.425/44.3505","Maplink1")</f>
        <v>Maplink1</v>
      </c>
      <c r="AV756" s="14" t="str">
        <f>HYPERLINK("https://www.google.iq/maps/search/+33.425,44.3505/@33.425,44.3505,14z?hl=en","Maplink2")</f>
        <v>Maplink2</v>
      </c>
      <c r="AW756" s="14" t="str">
        <f>HYPERLINK("http://www.bing.com/maps/?lvl=14&amp;sty=h&amp;cp=33.425~44.3505&amp;sp=point.33.425_44.3505_Kriat-342","Maplink3")</f>
        <v>Maplink3</v>
      </c>
    </row>
    <row r="757" spans="1:49" ht="15" customHeight="1" x14ac:dyDescent="0.25">
      <c r="A757" s="21">
        <v>27325</v>
      </c>
      <c r="B757" s="22" t="s">
        <v>11</v>
      </c>
      <c r="C757" s="22" t="s">
        <v>1552</v>
      </c>
      <c r="D757" s="22" t="s">
        <v>7399</v>
      </c>
      <c r="E757" s="22" t="s">
        <v>1690</v>
      </c>
      <c r="F757" s="22">
        <v>33.400929902500003</v>
      </c>
      <c r="G757" s="22">
        <v>44.409842724500002</v>
      </c>
      <c r="H757" s="21" t="s">
        <v>1449</v>
      </c>
      <c r="I757" s="21" t="s">
        <v>1555</v>
      </c>
      <c r="J757" s="21"/>
      <c r="K757" s="24">
        <v>52</v>
      </c>
      <c r="L757" s="24">
        <v>312</v>
      </c>
      <c r="M757" s="23">
        <v>15</v>
      </c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>
        <v>27</v>
      </c>
      <c r="Z757" s="23"/>
      <c r="AA757" s="23">
        <v>10</v>
      </c>
      <c r="AB757" s="23"/>
      <c r="AC757" s="23"/>
      <c r="AD757" s="23"/>
      <c r="AE757" s="23"/>
      <c r="AF757" s="23">
        <v>11</v>
      </c>
      <c r="AG757" s="23"/>
      <c r="AH757" s="23">
        <v>5</v>
      </c>
      <c r="AI757" s="23"/>
      <c r="AJ757" s="23"/>
      <c r="AK757" s="23">
        <v>36</v>
      </c>
      <c r="AL757" s="23"/>
      <c r="AM757" s="23"/>
      <c r="AN757" s="23"/>
      <c r="AO757" s="23">
        <v>12</v>
      </c>
      <c r="AP757" s="23"/>
      <c r="AQ757" s="23">
        <v>25</v>
      </c>
      <c r="AR757" s="23">
        <v>15</v>
      </c>
      <c r="AS757" s="23"/>
      <c r="AT757" s="23"/>
      <c r="AU757" s="14" t="str">
        <f>HYPERLINK("http://www.openstreetmap.org/?mlat=33.418&amp;mlon=44.4217&amp;zoom=12#map=12/33.418/44.4217","Maplink1")</f>
        <v>Maplink1</v>
      </c>
      <c r="AV757" s="14" t="str">
        <f>HYPERLINK("https://www.google.iq/maps/search/+33.418,44.4217/@33.418,44.4217,14z?hl=en","Maplink2")</f>
        <v>Maplink2</v>
      </c>
      <c r="AW757" s="14" t="str">
        <f>HYPERLINK("http://www.bing.com/maps/?lvl=14&amp;sty=h&amp;cp=33.418~44.4217&amp;sp=point.33.418_44.4217_Hay Ur - 325","Maplink3")</f>
        <v>Maplink3</v>
      </c>
    </row>
    <row r="758" spans="1:49" ht="15" customHeight="1" x14ac:dyDescent="0.25">
      <c r="A758" s="21">
        <v>24029</v>
      </c>
      <c r="B758" s="22" t="s">
        <v>11</v>
      </c>
      <c r="C758" s="22" t="s">
        <v>1552</v>
      </c>
      <c r="D758" s="22" t="s">
        <v>7305</v>
      </c>
      <c r="E758" s="22" t="s">
        <v>1715</v>
      </c>
      <c r="F758" s="22">
        <v>33.422863999999997</v>
      </c>
      <c r="G758" s="22">
        <v>44.432422000000003</v>
      </c>
      <c r="H758" s="21" t="s">
        <v>1449</v>
      </c>
      <c r="I758" s="21" t="s">
        <v>1555</v>
      </c>
      <c r="J758" s="21" t="s">
        <v>1716</v>
      </c>
      <c r="K758" s="24">
        <v>18</v>
      </c>
      <c r="L758" s="24">
        <v>108</v>
      </c>
      <c r="M758" s="23">
        <v>4</v>
      </c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>
        <v>13</v>
      </c>
      <c r="Z758" s="23"/>
      <c r="AA758" s="23">
        <v>1</v>
      </c>
      <c r="AB758" s="23"/>
      <c r="AC758" s="23"/>
      <c r="AD758" s="23"/>
      <c r="AE758" s="23"/>
      <c r="AF758" s="23"/>
      <c r="AG758" s="23"/>
      <c r="AH758" s="23"/>
      <c r="AI758" s="23"/>
      <c r="AJ758" s="23"/>
      <c r="AK758" s="23">
        <v>18</v>
      </c>
      <c r="AL758" s="23"/>
      <c r="AM758" s="23"/>
      <c r="AN758" s="23"/>
      <c r="AO758" s="23">
        <v>4</v>
      </c>
      <c r="AP758" s="23"/>
      <c r="AQ758" s="23">
        <v>1</v>
      </c>
      <c r="AR758" s="23">
        <v>13</v>
      </c>
      <c r="AS758" s="23"/>
      <c r="AT758" s="23"/>
      <c r="AU758" s="14" t="str">
        <f>HYPERLINK("http://www.openstreetmap.org/?mlat=33.4229&amp;mlon=44.4324&amp;zoom=12#map=12/33.4229/44.4324","Maplink1")</f>
        <v>Maplink1</v>
      </c>
      <c r="AV758" s="14" t="str">
        <f>HYPERLINK("https://www.google.iq/maps/search/+33.4229,44.4324/@33.4229,44.4324,14z?hl=en","Maplink2")</f>
        <v>Maplink2</v>
      </c>
      <c r="AW758" s="14" t="str">
        <f>HYPERLINK("http://www.bing.com/maps/?lvl=14&amp;sty=h&amp;cp=33.4229~44.4324&amp;sp=point.33.4229_44.4324_Ur-327","Maplink3")</f>
        <v>Maplink3</v>
      </c>
    </row>
    <row r="759" spans="1:49" ht="15" customHeight="1" x14ac:dyDescent="0.25">
      <c r="A759" s="21">
        <v>27326</v>
      </c>
      <c r="B759" s="22" t="s">
        <v>11</v>
      </c>
      <c r="C759" s="22" t="s">
        <v>1552</v>
      </c>
      <c r="D759" s="22" t="s">
        <v>7400</v>
      </c>
      <c r="E759" s="22" t="s">
        <v>7684</v>
      </c>
      <c r="F759" s="22">
        <v>33.418185478799998</v>
      </c>
      <c r="G759" s="22">
        <v>44.424875334600003</v>
      </c>
      <c r="H759" s="21" t="s">
        <v>1449</v>
      </c>
      <c r="I759" s="21" t="s">
        <v>1555</v>
      </c>
      <c r="J759" s="21"/>
      <c r="K759" s="24">
        <v>21</v>
      </c>
      <c r="L759" s="24">
        <v>126</v>
      </c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>
        <v>21</v>
      </c>
      <c r="Z759" s="23"/>
      <c r="AA759" s="23"/>
      <c r="AB759" s="23"/>
      <c r="AC759" s="23"/>
      <c r="AD759" s="23"/>
      <c r="AE759" s="23"/>
      <c r="AF759" s="23">
        <v>2</v>
      </c>
      <c r="AG759" s="23"/>
      <c r="AH759" s="23"/>
      <c r="AI759" s="23"/>
      <c r="AJ759" s="23"/>
      <c r="AK759" s="23">
        <v>19</v>
      </c>
      <c r="AL759" s="23"/>
      <c r="AM759" s="23"/>
      <c r="AN759" s="23"/>
      <c r="AO759" s="23"/>
      <c r="AP759" s="23"/>
      <c r="AQ759" s="23">
        <v>4</v>
      </c>
      <c r="AR759" s="23">
        <v>17</v>
      </c>
      <c r="AS759" s="23"/>
      <c r="AT759" s="23"/>
      <c r="AU759" s="14" t="str">
        <f>HYPERLINK("http://www.openstreetmap.org/?mlat=33.4229&amp;mlon=44.4324&amp;zoom=12#map=12/33.4229/44.4324","Maplink1")</f>
        <v>Maplink1</v>
      </c>
      <c r="AV759" s="14" t="str">
        <f>HYPERLINK("https://www.google.iq/maps/search/+33.4229,44.4324/@33.4229,44.4324,14z?hl=en","Maplink2")</f>
        <v>Maplink2</v>
      </c>
      <c r="AW759" s="14" t="str">
        <f>HYPERLINK("http://www.bing.com/maps/?lvl=14&amp;sty=h&amp;cp=33.4229~44.4324&amp;sp=point.33.4229_44.4324_Hay Ur - 329","Maplink3")</f>
        <v>Maplink3</v>
      </c>
    </row>
    <row r="760" spans="1:49" ht="15" customHeight="1" x14ac:dyDescent="0.25">
      <c r="A760" s="21">
        <v>25211</v>
      </c>
      <c r="B760" s="22" t="s">
        <v>11</v>
      </c>
      <c r="C760" s="22" t="s">
        <v>1552</v>
      </c>
      <c r="D760" s="22" t="s">
        <v>1695</v>
      </c>
      <c r="E760" s="22" t="s">
        <v>1696</v>
      </c>
      <c r="F760" s="22">
        <v>33.522579999999998</v>
      </c>
      <c r="G760" s="22">
        <v>44.381630000000001</v>
      </c>
      <c r="H760" s="21" t="s">
        <v>1449</v>
      </c>
      <c r="I760" s="21" t="s">
        <v>1555</v>
      </c>
      <c r="J760" s="21"/>
      <c r="K760" s="24">
        <v>17</v>
      </c>
      <c r="L760" s="24">
        <v>102</v>
      </c>
      <c r="M760" s="23">
        <v>2</v>
      </c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>
        <v>15</v>
      </c>
      <c r="AB760" s="23"/>
      <c r="AC760" s="23"/>
      <c r="AD760" s="23"/>
      <c r="AE760" s="23"/>
      <c r="AF760" s="23">
        <v>17</v>
      </c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>
        <v>15</v>
      </c>
      <c r="AR760" s="23"/>
      <c r="AS760" s="23"/>
      <c r="AT760" s="23">
        <v>2</v>
      </c>
      <c r="AU760" s="14" t="str">
        <f>HYPERLINK("http://www.openstreetmap.org/?mlat=33.5234&amp;mlon=44.376&amp;zoom=12#map=12/33.5234/44.376","Maplink1")</f>
        <v>Maplink1</v>
      </c>
      <c r="AV760" s="14" t="str">
        <f>HYPERLINK("https://www.google.iq/maps/search/+33.5234,44.376/@33.5234,44.376,14z?hl=en","Maplink2")</f>
        <v>Maplink2</v>
      </c>
      <c r="AW760" s="14" t="str">
        <f>HYPERLINK("http://www.bing.com/maps/?lvl=14&amp;sty=h&amp;cp=33.5234~44.376&amp;sp=point.33.5234_44.376_Jowad Al Faiadh Village","Maplink3")</f>
        <v>Maplink3</v>
      </c>
    </row>
    <row r="761" spans="1:49" ht="15" customHeight="1" x14ac:dyDescent="0.25">
      <c r="A761" s="21">
        <v>25218</v>
      </c>
      <c r="B761" s="22" t="s">
        <v>11</v>
      </c>
      <c r="C761" s="22" t="s">
        <v>1552</v>
      </c>
      <c r="D761" s="22" t="s">
        <v>1698</v>
      </c>
      <c r="E761" s="22" t="s">
        <v>1699</v>
      </c>
      <c r="F761" s="22">
        <v>33.621949999999998</v>
      </c>
      <c r="G761" s="22">
        <v>44.354480000000002</v>
      </c>
      <c r="H761" s="21" t="s">
        <v>1449</v>
      </c>
      <c r="I761" s="21" t="s">
        <v>1555</v>
      </c>
      <c r="J761" s="21"/>
      <c r="K761" s="24">
        <v>8</v>
      </c>
      <c r="L761" s="24">
        <v>48</v>
      </c>
      <c r="M761" s="23">
        <v>8</v>
      </c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>
        <v>8</v>
      </c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>
        <v>8</v>
      </c>
      <c r="AS761" s="23"/>
      <c r="AT761" s="23"/>
      <c r="AU761" s="14" t="str">
        <f>HYPERLINK("http://www.openstreetmap.org/?mlat=33.4603&amp;mlon=44.3168&amp;zoom=12#map=12/33.4603/44.3168","Maplink1")</f>
        <v>Maplink1</v>
      </c>
      <c r="AV761" s="14" t="str">
        <f>HYPERLINK("https://www.google.iq/maps/search/+33.4603,44.3168/@33.4603,44.3168,14z?hl=en","Maplink2")</f>
        <v>Maplink2</v>
      </c>
      <c r="AW761" s="14" t="str">
        <f>HYPERLINK("http://www.bing.com/maps/?lvl=14&amp;sty=h&amp;cp=33.4603~44.3168&amp;sp=point.33.4603_44.3168_Mahmmud Al Musleh Village","Maplink3")</f>
        <v>Maplink3</v>
      </c>
    </row>
    <row r="762" spans="1:49" ht="15" customHeight="1" x14ac:dyDescent="0.25">
      <c r="A762" s="21">
        <v>25212</v>
      </c>
      <c r="B762" s="22" t="s">
        <v>11</v>
      </c>
      <c r="C762" s="22" t="s">
        <v>1552</v>
      </c>
      <c r="D762" s="22" t="s">
        <v>1700</v>
      </c>
      <c r="E762" s="22" t="s">
        <v>1701</v>
      </c>
      <c r="F762" s="22">
        <v>33.533405084199998</v>
      </c>
      <c r="G762" s="22">
        <v>44.335823021800003</v>
      </c>
      <c r="H762" s="21" t="s">
        <v>1449</v>
      </c>
      <c r="I762" s="21" t="s">
        <v>1555</v>
      </c>
      <c r="J762" s="21"/>
      <c r="K762" s="24">
        <v>10</v>
      </c>
      <c r="L762" s="24">
        <v>60</v>
      </c>
      <c r="M762" s="23">
        <v>2</v>
      </c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>
        <v>8</v>
      </c>
      <c r="AB762" s="23"/>
      <c r="AC762" s="23"/>
      <c r="AD762" s="23"/>
      <c r="AE762" s="23"/>
      <c r="AF762" s="23">
        <v>7</v>
      </c>
      <c r="AG762" s="23"/>
      <c r="AH762" s="23"/>
      <c r="AI762" s="23"/>
      <c r="AJ762" s="23"/>
      <c r="AK762" s="23">
        <v>3</v>
      </c>
      <c r="AL762" s="23"/>
      <c r="AM762" s="23"/>
      <c r="AN762" s="23"/>
      <c r="AO762" s="23"/>
      <c r="AP762" s="23"/>
      <c r="AQ762" s="23"/>
      <c r="AR762" s="23">
        <v>4</v>
      </c>
      <c r="AS762" s="23">
        <v>6</v>
      </c>
      <c r="AT762" s="23"/>
      <c r="AU762" s="14" t="str">
        <f>HYPERLINK("http://www.openstreetmap.org/?mlat=33.534&amp;mlon=44.3452&amp;zoom=12#map=12/33.534/44.3452","Maplink1")</f>
        <v>Maplink1</v>
      </c>
      <c r="AV762" s="14" t="str">
        <f>HYPERLINK("https://www.google.iq/maps/search/+33.534,44.3452/@33.534,44.3452,14z?hl=en","Maplink2")</f>
        <v>Maplink2</v>
      </c>
      <c r="AW762" s="14" t="str">
        <f>HYPERLINK("http://www.bing.com/maps/?lvl=14&amp;sty=h&amp;cp=33.534~44.3452&amp;sp=point.33.534_44.3452_Majed al Naser village","Maplink3")</f>
        <v>Maplink3</v>
      </c>
    </row>
    <row r="763" spans="1:49" ht="15" customHeight="1" x14ac:dyDescent="0.25">
      <c r="A763" s="21">
        <v>7688</v>
      </c>
      <c r="B763" s="22" t="s">
        <v>11</v>
      </c>
      <c r="C763" s="22" t="s">
        <v>1552</v>
      </c>
      <c r="D763" s="22" t="s">
        <v>1702</v>
      </c>
      <c r="E763" s="22" t="s">
        <v>1703</v>
      </c>
      <c r="F763" s="22">
        <v>33.533405084199998</v>
      </c>
      <c r="G763" s="22">
        <v>44.335823021800003</v>
      </c>
      <c r="H763" s="21" t="s">
        <v>1449</v>
      </c>
      <c r="I763" s="21" t="s">
        <v>1555</v>
      </c>
      <c r="J763" s="21" t="s">
        <v>1704</v>
      </c>
      <c r="K763" s="24">
        <v>69</v>
      </c>
      <c r="L763" s="24">
        <v>414</v>
      </c>
      <c r="M763" s="23">
        <v>11</v>
      </c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>
        <v>28</v>
      </c>
      <c r="Z763" s="23"/>
      <c r="AA763" s="23">
        <v>30</v>
      </c>
      <c r="AB763" s="23"/>
      <c r="AC763" s="23"/>
      <c r="AD763" s="23"/>
      <c r="AE763" s="23"/>
      <c r="AF763" s="23">
        <v>48</v>
      </c>
      <c r="AG763" s="23"/>
      <c r="AH763" s="23"/>
      <c r="AI763" s="23"/>
      <c r="AJ763" s="23"/>
      <c r="AK763" s="23">
        <v>21</v>
      </c>
      <c r="AL763" s="23"/>
      <c r="AM763" s="23"/>
      <c r="AN763" s="23"/>
      <c r="AO763" s="23"/>
      <c r="AP763" s="23">
        <v>18</v>
      </c>
      <c r="AQ763" s="23"/>
      <c r="AR763" s="23">
        <v>12</v>
      </c>
      <c r="AS763" s="23">
        <v>39</v>
      </c>
      <c r="AT763" s="23"/>
      <c r="AU763" s="14" t="str">
        <f>HYPERLINK("http://www.openstreetmap.org/?mlat=33.5081&amp;mlon=44.3767&amp;zoom=12#map=12/33.5081/44.3767","Maplink1")</f>
        <v>Maplink1</v>
      </c>
      <c r="AV763" s="14" t="str">
        <f>HYPERLINK("https://www.google.iq/maps/search/+33.5081,44.3767/@33.5081,44.3767,14z?hl=en","Maplink2")</f>
        <v>Maplink2</v>
      </c>
      <c r="AW763" s="14" t="str">
        <f>HYPERLINK("http://www.bing.com/maps/?lvl=14&amp;sty=h&amp;cp=33.5081~44.3767&amp;sp=point.33.5081_44.3767_Qaryat Al-Intisar","Maplink3")</f>
        <v>Maplink3</v>
      </c>
    </row>
    <row r="764" spans="1:49" ht="15" customHeight="1" x14ac:dyDescent="0.25">
      <c r="A764" s="21">
        <v>7646</v>
      </c>
      <c r="B764" s="22" t="s">
        <v>11</v>
      </c>
      <c r="C764" s="22" t="s">
        <v>1552</v>
      </c>
      <c r="D764" s="22" t="s">
        <v>8388</v>
      </c>
      <c r="E764" s="22" t="s">
        <v>1705</v>
      </c>
      <c r="F764" s="22">
        <v>33.430094975700001</v>
      </c>
      <c r="G764" s="22">
        <v>44.432396324300001</v>
      </c>
      <c r="H764" s="21" t="s">
        <v>1449</v>
      </c>
      <c r="I764" s="21" t="s">
        <v>1555</v>
      </c>
      <c r="J764" s="21" t="s">
        <v>1706</v>
      </c>
      <c r="K764" s="24">
        <v>66</v>
      </c>
      <c r="L764" s="24">
        <v>396</v>
      </c>
      <c r="M764" s="23">
        <v>13</v>
      </c>
      <c r="N764" s="23"/>
      <c r="O764" s="23"/>
      <c r="P764" s="23"/>
      <c r="Q764" s="23"/>
      <c r="R764" s="23">
        <v>10</v>
      </c>
      <c r="S764" s="23"/>
      <c r="T764" s="23"/>
      <c r="U764" s="23"/>
      <c r="V764" s="23"/>
      <c r="W764" s="23"/>
      <c r="X764" s="23"/>
      <c r="Y764" s="23">
        <v>23</v>
      </c>
      <c r="Z764" s="23"/>
      <c r="AA764" s="23">
        <v>20</v>
      </c>
      <c r="AB764" s="23"/>
      <c r="AC764" s="23"/>
      <c r="AD764" s="23"/>
      <c r="AE764" s="23"/>
      <c r="AF764" s="23">
        <v>16</v>
      </c>
      <c r="AG764" s="23"/>
      <c r="AH764" s="23"/>
      <c r="AI764" s="23"/>
      <c r="AJ764" s="23"/>
      <c r="AK764" s="23">
        <v>50</v>
      </c>
      <c r="AL764" s="23"/>
      <c r="AM764" s="23"/>
      <c r="AN764" s="23"/>
      <c r="AO764" s="23">
        <v>4</v>
      </c>
      <c r="AP764" s="23">
        <v>20</v>
      </c>
      <c r="AQ764" s="23">
        <v>10</v>
      </c>
      <c r="AR764" s="23">
        <v>26</v>
      </c>
      <c r="AS764" s="23">
        <v>6</v>
      </c>
      <c r="AT764" s="23"/>
      <c r="AU764" s="14" t="str">
        <f>HYPERLINK("http://www.openstreetmap.org/?mlat=33.4386&amp;mlon=44.4394&amp;zoom=12#map=12/33.4386/44.4394","Maplink1")</f>
        <v>Maplink1</v>
      </c>
      <c r="AV764" s="14" t="str">
        <f>HYPERLINK("https://www.google.iq/maps/search/+33.4386,44.4394/@33.4386,44.4394,14z?hl=en","Maplink2")</f>
        <v>Maplink2</v>
      </c>
      <c r="AW764" s="14" t="str">
        <f>HYPERLINK("http://www.bing.com/maps/?lvl=14&amp;sty=h&amp;cp=33.4386~44.4394&amp;sp=point.33.4386_44.4394_Saba Eqssuor","Maplink3")</f>
        <v>Maplink3</v>
      </c>
    </row>
    <row r="765" spans="1:49" ht="15" customHeight="1" x14ac:dyDescent="0.25">
      <c r="A765" s="21">
        <v>25210</v>
      </c>
      <c r="B765" s="22" t="s">
        <v>11</v>
      </c>
      <c r="C765" s="22" t="s">
        <v>1552</v>
      </c>
      <c r="D765" s="22" t="s">
        <v>1707</v>
      </c>
      <c r="E765" s="22" t="s">
        <v>1708</v>
      </c>
      <c r="F765" s="22">
        <v>33.522061519300003</v>
      </c>
      <c r="G765" s="22">
        <v>44.308123346400002</v>
      </c>
      <c r="H765" s="21" t="s">
        <v>1449</v>
      </c>
      <c r="I765" s="21" t="s">
        <v>1555</v>
      </c>
      <c r="J765" s="21"/>
      <c r="K765" s="24">
        <v>7</v>
      </c>
      <c r="L765" s="24">
        <v>42</v>
      </c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>
        <v>7</v>
      </c>
      <c r="AB765" s="23"/>
      <c r="AC765" s="23"/>
      <c r="AD765" s="23"/>
      <c r="AE765" s="23"/>
      <c r="AF765" s="23">
        <v>7</v>
      </c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>
        <v>7</v>
      </c>
      <c r="AR765" s="23"/>
      <c r="AS765" s="23"/>
      <c r="AT765" s="23"/>
      <c r="AU765" s="14" t="str">
        <f>HYPERLINK("http://www.openstreetmap.org/?mlat=33.556&amp;mlon=44.3562&amp;zoom=12#map=12/33.556/44.3562","Maplink1")</f>
        <v>Maplink1</v>
      </c>
      <c r="AV765" s="14" t="str">
        <f>HYPERLINK("https://www.google.iq/maps/search/+33.556,44.3562/@33.556,44.3562,14z?hl=en","Maplink2")</f>
        <v>Maplink2</v>
      </c>
      <c r="AW765" s="14" t="str">
        <f>HYPERLINK("http://www.bing.com/maps/?lvl=14&amp;sty=h&amp;cp=33.556~44.3562&amp;sp=point.33.556_44.3562_Taleb Al Ali Village","Maplink3")</f>
        <v>Maplink3</v>
      </c>
    </row>
    <row r="766" spans="1:49" ht="15" customHeight="1" x14ac:dyDescent="0.25">
      <c r="A766" s="21">
        <v>24439</v>
      </c>
      <c r="B766" s="22" t="s">
        <v>11</v>
      </c>
      <c r="C766" s="22" t="s">
        <v>1552</v>
      </c>
      <c r="D766" s="22" t="s">
        <v>1709</v>
      </c>
      <c r="E766" s="22" t="s">
        <v>1710</v>
      </c>
      <c r="F766" s="22">
        <v>33.4033504298</v>
      </c>
      <c r="G766" s="22">
        <v>44.392013704900002</v>
      </c>
      <c r="H766" s="21" t="s">
        <v>1449</v>
      </c>
      <c r="I766" s="21" t="s">
        <v>1555</v>
      </c>
      <c r="J766" s="21"/>
      <c r="K766" s="24">
        <v>35</v>
      </c>
      <c r="L766" s="24">
        <v>210</v>
      </c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>
        <v>35</v>
      </c>
      <c r="Z766" s="23"/>
      <c r="AA766" s="23"/>
      <c r="AB766" s="23"/>
      <c r="AC766" s="23"/>
      <c r="AD766" s="23"/>
      <c r="AE766" s="23"/>
      <c r="AF766" s="23">
        <v>7</v>
      </c>
      <c r="AG766" s="23"/>
      <c r="AH766" s="23"/>
      <c r="AI766" s="23"/>
      <c r="AJ766" s="23"/>
      <c r="AK766" s="23">
        <v>28</v>
      </c>
      <c r="AL766" s="23"/>
      <c r="AM766" s="23"/>
      <c r="AN766" s="23"/>
      <c r="AO766" s="23"/>
      <c r="AP766" s="23">
        <v>35</v>
      </c>
      <c r="AQ766" s="23"/>
      <c r="AR766" s="23"/>
      <c r="AS766" s="23"/>
      <c r="AT766" s="23"/>
      <c r="AU766" s="14" t="str">
        <f>HYPERLINK("http://www.openstreetmap.org/?mlat=33.4065&amp;mlon=44.3903&amp;zoom=12#map=12/33.4065/44.3903","Maplink1")</f>
        <v>Maplink1</v>
      </c>
      <c r="AV766" s="14" t="str">
        <f>HYPERLINK("https://www.google.iq/maps/search/+33.4065,44.3903/@33.4065,44.3903,14z?hl=en","Maplink2")</f>
        <v>Maplink2</v>
      </c>
      <c r="AW766" s="14" t="str">
        <f>HYPERLINK("http://www.bing.com/maps/?lvl=14&amp;sty=h&amp;cp=33.4065~44.3903&amp;sp=point.33.4065_44.3903_Tarbiya-317","Maplink3")</f>
        <v>Maplink3</v>
      </c>
    </row>
    <row r="767" spans="1:49" ht="15" customHeight="1" x14ac:dyDescent="0.25">
      <c r="A767" s="21">
        <v>24001</v>
      </c>
      <c r="B767" s="22" t="s">
        <v>11</v>
      </c>
      <c r="C767" s="22" t="s">
        <v>1552</v>
      </c>
      <c r="D767" s="22" t="s">
        <v>1711</v>
      </c>
      <c r="E767" s="22" t="s">
        <v>7685</v>
      </c>
      <c r="F767" s="22">
        <v>33.401910000000001</v>
      </c>
      <c r="G767" s="22">
        <v>44.36891</v>
      </c>
      <c r="H767" s="21" t="s">
        <v>1449</v>
      </c>
      <c r="I767" s="21" t="s">
        <v>1555</v>
      </c>
      <c r="J767" s="21" t="s">
        <v>1712</v>
      </c>
      <c r="K767" s="24">
        <v>154</v>
      </c>
      <c r="L767" s="24">
        <v>924</v>
      </c>
      <c r="M767" s="23">
        <v>113</v>
      </c>
      <c r="N767" s="23"/>
      <c r="O767" s="23"/>
      <c r="P767" s="23"/>
      <c r="Q767" s="23"/>
      <c r="R767" s="23">
        <v>4</v>
      </c>
      <c r="S767" s="23"/>
      <c r="T767" s="23"/>
      <c r="U767" s="23"/>
      <c r="V767" s="23"/>
      <c r="W767" s="23"/>
      <c r="X767" s="23"/>
      <c r="Y767" s="23">
        <v>24</v>
      </c>
      <c r="Z767" s="23"/>
      <c r="AA767" s="23">
        <v>13</v>
      </c>
      <c r="AB767" s="23"/>
      <c r="AC767" s="23"/>
      <c r="AD767" s="23"/>
      <c r="AE767" s="23"/>
      <c r="AF767" s="23">
        <v>128</v>
      </c>
      <c r="AG767" s="23"/>
      <c r="AH767" s="23"/>
      <c r="AI767" s="23"/>
      <c r="AJ767" s="23"/>
      <c r="AK767" s="23">
        <v>26</v>
      </c>
      <c r="AL767" s="23"/>
      <c r="AM767" s="23"/>
      <c r="AN767" s="23"/>
      <c r="AO767" s="23">
        <v>68</v>
      </c>
      <c r="AP767" s="23">
        <v>43</v>
      </c>
      <c r="AQ767" s="23"/>
      <c r="AR767" s="23">
        <v>9</v>
      </c>
      <c r="AS767" s="23">
        <v>34</v>
      </c>
      <c r="AT767" s="23"/>
      <c r="AU767" s="14" t="str">
        <f>HYPERLINK("http://www.openstreetmap.org/?mlat=33.4054&amp;mlon=44.3655&amp;zoom=12#map=12/33.4054/44.3655","Maplink1")</f>
        <v>Maplink1</v>
      </c>
      <c r="AV767" s="14" t="str">
        <f>HYPERLINK("https://www.google.iq/maps/search/+33.4054,44.3655/@33.4054,44.3655,14z?hl=en","Maplink2")</f>
        <v>Maplink2</v>
      </c>
      <c r="AW767" s="14" t="str">
        <f>HYPERLINK("http://www.bing.com/maps/?lvl=14&amp;sty=h&amp;cp=33.4054~44.3655&amp;sp=point.33.4054_44.3655_Tunis-326","Maplink3")</f>
        <v>Maplink3</v>
      </c>
    </row>
    <row r="768" spans="1:49" ht="15" customHeight="1" x14ac:dyDescent="0.25">
      <c r="A768" s="21">
        <v>27254</v>
      </c>
      <c r="B768" s="22" t="s">
        <v>11</v>
      </c>
      <c r="C768" s="22" t="s">
        <v>1552</v>
      </c>
      <c r="D768" s="22" t="s">
        <v>7401</v>
      </c>
      <c r="E768" s="22" t="s">
        <v>7686</v>
      </c>
      <c r="F768" s="22">
        <v>33.392875380900001</v>
      </c>
      <c r="G768" s="22">
        <v>44.368974763799997</v>
      </c>
      <c r="H768" s="21" t="s">
        <v>1449</v>
      </c>
      <c r="I768" s="21" t="s">
        <v>1555</v>
      </c>
      <c r="J768" s="21"/>
      <c r="K768" s="24">
        <v>42</v>
      </c>
      <c r="L768" s="24">
        <v>252</v>
      </c>
      <c r="M768" s="23">
        <v>18</v>
      </c>
      <c r="N768" s="23"/>
      <c r="O768" s="23"/>
      <c r="P768" s="23"/>
      <c r="Q768" s="23"/>
      <c r="R768" s="23">
        <v>6</v>
      </c>
      <c r="S768" s="23"/>
      <c r="T768" s="23"/>
      <c r="U768" s="23"/>
      <c r="V768" s="23"/>
      <c r="W768" s="23"/>
      <c r="X768" s="23"/>
      <c r="Y768" s="23">
        <v>18</v>
      </c>
      <c r="Z768" s="23"/>
      <c r="AA768" s="23"/>
      <c r="AB768" s="23"/>
      <c r="AC768" s="23"/>
      <c r="AD768" s="23"/>
      <c r="AE768" s="23"/>
      <c r="AF768" s="23">
        <v>11</v>
      </c>
      <c r="AG768" s="23"/>
      <c r="AH768" s="23"/>
      <c r="AI768" s="23"/>
      <c r="AJ768" s="23"/>
      <c r="AK768" s="23">
        <v>31</v>
      </c>
      <c r="AL768" s="23"/>
      <c r="AM768" s="23"/>
      <c r="AN768" s="23"/>
      <c r="AO768" s="23"/>
      <c r="AP768" s="23"/>
      <c r="AQ768" s="23"/>
      <c r="AR768" s="23">
        <v>20</v>
      </c>
      <c r="AS768" s="23">
        <v>22</v>
      </c>
      <c r="AT768" s="23"/>
      <c r="AU768" s="14" t="str">
        <f>HYPERLINK("http://www.openstreetmap.org/?mlat=33.4054&amp;mlon=44.3655&amp;zoom=12#map=12/33.4054/44.3655","Maplink1")</f>
        <v>Maplink1</v>
      </c>
      <c r="AV768" s="14" t="str">
        <f>HYPERLINK("https://www.google.iq/maps/search/+33.4054,44.3655/@33.4054,44.3655,14z?hl=en","Maplink2")</f>
        <v>Maplink2</v>
      </c>
      <c r="AW768" s="14" t="str">
        <f>HYPERLINK("http://www.bing.com/maps/?lvl=14&amp;sty=h&amp;cp=33.4054~44.3655&amp;sp=point.33.4054_44.3655_Tunis - 328","Maplink3")</f>
        <v>Maplink3</v>
      </c>
    </row>
    <row r="769" spans="1:49" ht="15" customHeight="1" x14ac:dyDescent="0.25">
      <c r="A769" s="21">
        <v>22538</v>
      </c>
      <c r="B769" s="22" t="s">
        <v>11</v>
      </c>
      <c r="C769" s="22" t="s">
        <v>1552</v>
      </c>
      <c r="D769" s="22" t="s">
        <v>1713</v>
      </c>
      <c r="E769" s="22" t="s">
        <v>7687</v>
      </c>
      <c r="F769" s="22">
        <v>33.401463460599999</v>
      </c>
      <c r="G769" s="22">
        <v>44.366820565799998</v>
      </c>
      <c r="H769" s="21" t="s">
        <v>1449</v>
      </c>
      <c r="I769" s="21" t="s">
        <v>1555</v>
      </c>
      <c r="J769" s="21" t="s">
        <v>1714</v>
      </c>
      <c r="K769" s="24">
        <v>160</v>
      </c>
      <c r="L769" s="24">
        <v>960</v>
      </c>
      <c r="M769" s="23">
        <v>78</v>
      </c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>
        <v>12</v>
      </c>
      <c r="Z769" s="23"/>
      <c r="AA769" s="23">
        <v>70</v>
      </c>
      <c r="AB769" s="23"/>
      <c r="AC769" s="23"/>
      <c r="AD769" s="23"/>
      <c r="AE769" s="23"/>
      <c r="AF769" s="23">
        <v>50</v>
      </c>
      <c r="AG769" s="23"/>
      <c r="AH769" s="23"/>
      <c r="AI769" s="23"/>
      <c r="AJ769" s="23"/>
      <c r="AK769" s="23">
        <v>110</v>
      </c>
      <c r="AL769" s="23"/>
      <c r="AM769" s="23"/>
      <c r="AN769" s="23"/>
      <c r="AO769" s="23"/>
      <c r="AP769" s="23">
        <v>70</v>
      </c>
      <c r="AQ769" s="23">
        <v>12</v>
      </c>
      <c r="AR769" s="23"/>
      <c r="AS769" s="23">
        <v>78</v>
      </c>
      <c r="AT769" s="23"/>
      <c r="AU769" s="14" t="str">
        <f>HYPERLINK("http://www.openstreetmap.org/?mlat=33.4054&amp;mlon=44.3656&amp;zoom=12#map=12/33.4054/44.3656","Maplink1")</f>
        <v>Maplink1</v>
      </c>
      <c r="AV769" s="14" t="str">
        <f>HYPERLINK("https://www.google.iq/maps/search/+33.4054,44.3656/@33.4054,44.3656,14z?hl=en","Maplink2")</f>
        <v>Maplink2</v>
      </c>
      <c r="AW769" s="14" t="str">
        <f>HYPERLINK("http://www.bing.com/maps/?lvl=14&amp;sty=h&amp;cp=33.4054~44.3656&amp;sp=point.33.4054_44.3656_Tunis-330","Maplink3")</f>
        <v>Maplink3</v>
      </c>
    </row>
    <row r="770" spans="1:49" ht="15" customHeight="1" x14ac:dyDescent="0.25">
      <c r="A770" s="21">
        <v>25214</v>
      </c>
      <c r="B770" s="22" t="s">
        <v>11</v>
      </c>
      <c r="C770" s="22" t="s">
        <v>1552</v>
      </c>
      <c r="D770" s="22" t="s">
        <v>1717</v>
      </c>
      <c r="E770" s="22" t="s">
        <v>1718</v>
      </c>
      <c r="F770" s="22">
        <v>33.518940000000001</v>
      </c>
      <c r="G770" s="22">
        <v>44.340719999999997</v>
      </c>
      <c r="H770" s="21" t="s">
        <v>1449</v>
      </c>
      <c r="I770" s="21" t="s">
        <v>1555</v>
      </c>
      <c r="J770" s="21"/>
      <c r="K770" s="24">
        <v>10</v>
      </c>
      <c r="L770" s="24">
        <v>60</v>
      </c>
      <c r="M770" s="23">
        <v>10</v>
      </c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>
        <v>10</v>
      </c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>
        <v>10</v>
      </c>
      <c r="AS770" s="23"/>
      <c r="AT770" s="23"/>
      <c r="AU770" s="14" t="str">
        <f>HYPERLINK("http://www.openstreetmap.org/?mlat=33.4665&amp;mlon=44.3036&amp;zoom=12#map=12/33.4665/44.3036","Maplink1")</f>
        <v>Maplink1</v>
      </c>
      <c r="AV770" s="14" t="str">
        <f>HYPERLINK("https://www.google.iq/maps/search/+33.4665,44.3036/@33.4665,44.3036,14z?hl=en","Maplink2")</f>
        <v>Maplink2</v>
      </c>
      <c r="AW770" s="14" t="str">
        <f>HYPERLINK("http://www.bing.com/maps/?lvl=14&amp;sty=h&amp;cp=33.4665~44.3036&amp;sp=point.33.4665_44.3036_Zuber jaata village","Maplink3")</f>
        <v>Maplink3</v>
      </c>
    </row>
    <row r="771" spans="1:49" ht="15" customHeight="1" x14ac:dyDescent="0.25">
      <c r="A771" s="21">
        <v>24734</v>
      </c>
      <c r="B771" s="22" t="s">
        <v>11</v>
      </c>
      <c r="C771" s="22" t="s">
        <v>1719</v>
      </c>
      <c r="D771" s="22" t="s">
        <v>8389</v>
      </c>
      <c r="E771" s="22" t="s">
        <v>8390</v>
      </c>
      <c r="F771" s="22">
        <v>33.360931485599998</v>
      </c>
      <c r="G771" s="22">
        <v>44.418060818800001</v>
      </c>
      <c r="H771" s="21" t="s">
        <v>1449</v>
      </c>
      <c r="I771" s="21" t="s">
        <v>1720</v>
      </c>
      <c r="J771" s="21"/>
      <c r="K771" s="24">
        <v>44</v>
      </c>
      <c r="L771" s="24">
        <v>264</v>
      </c>
      <c r="M771" s="23">
        <v>9</v>
      </c>
      <c r="N771" s="23"/>
      <c r="O771" s="23"/>
      <c r="P771" s="23"/>
      <c r="Q771" s="23"/>
      <c r="R771" s="23">
        <v>5</v>
      </c>
      <c r="S771" s="23"/>
      <c r="T771" s="23"/>
      <c r="U771" s="23"/>
      <c r="V771" s="23"/>
      <c r="W771" s="23"/>
      <c r="X771" s="23"/>
      <c r="Y771" s="23">
        <v>22</v>
      </c>
      <c r="Z771" s="23"/>
      <c r="AA771" s="23">
        <v>8</v>
      </c>
      <c r="AB771" s="23"/>
      <c r="AC771" s="23"/>
      <c r="AD771" s="23"/>
      <c r="AE771" s="23"/>
      <c r="AF771" s="23">
        <v>18</v>
      </c>
      <c r="AG771" s="23"/>
      <c r="AH771" s="23"/>
      <c r="AI771" s="23"/>
      <c r="AJ771" s="23"/>
      <c r="AK771" s="23">
        <v>26</v>
      </c>
      <c r="AL771" s="23"/>
      <c r="AM771" s="23"/>
      <c r="AN771" s="23"/>
      <c r="AO771" s="23">
        <v>25</v>
      </c>
      <c r="AP771" s="23"/>
      <c r="AQ771" s="23"/>
      <c r="AR771" s="23">
        <v>6</v>
      </c>
      <c r="AS771" s="23">
        <v>8</v>
      </c>
      <c r="AT771" s="23">
        <v>5</v>
      </c>
      <c r="AU771" s="14" t="str">
        <f>HYPERLINK("http://www.openstreetmap.org/?mlat=33.3658&amp;mlon=44.4167&amp;zoom=12#map=12/33.3658/44.4167","Maplink1")</f>
        <v>Maplink1</v>
      </c>
      <c r="AV771" s="14" t="str">
        <f>HYPERLINK("https://www.google.iq/maps/search/+33.3658,44.4167/@33.3658,44.4167,14z?hl=en","Maplink2")</f>
        <v>Maplink2</v>
      </c>
      <c r="AW771" s="14" t="str">
        <f>HYPERLINK("http://www.bing.com/maps/?lvl=14&amp;sty=h&amp;cp=33.3658~44.4167&amp;sp=point.33.3658_44.4167_14 Tamoz-Mahalla 508","Maplink3")</f>
        <v>Maplink3</v>
      </c>
    </row>
    <row r="772" spans="1:49" ht="15" customHeight="1" x14ac:dyDescent="0.25">
      <c r="A772" s="21">
        <v>24735</v>
      </c>
      <c r="B772" s="22" t="s">
        <v>11</v>
      </c>
      <c r="C772" s="22" t="s">
        <v>1719</v>
      </c>
      <c r="D772" s="22" t="s">
        <v>8391</v>
      </c>
      <c r="E772" s="22" t="s">
        <v>8392</v>
      </c>
      <c r="F772" s="22">
        <v>33.364818329099997</v>
      </c>
      <c r="G772" s="22">
        <v>44.412184670400002</v>
      </c>
      <c r="H772" s="21" t="s">
        <v>1449</v>
      </c>
      <c r="I772" s="21" t="s">
        <v>1720</v>
      </c>
      <c r="J772" s="21"/>
      <c r="K772" s="24">
        <v>40</v>
      </c>
      <c r="L772" s="24">
        <v>240</v>
      </c>
      <c r="M772" s="23">
        <v>19</v>
      </c>
      <c r="N772" s="23"/>
      <c r="O772" s="23"/>
      <c r="P772" s="23"/>
      <c r="Q772" s="23"/>
      <c r="R772" s="23">
        <v>4</v>
      </c>
      <c r="S772" s="23"/>
      <c r="T772" s="23"/>
      <c r="U772" s="23"/>
      <c r="V772" s="23"/>
      <c r="W772" s="23"/>
      <c r="X772" s="23"/>
      <c r="Y772" s="23">
        <v>13</v>
      </c>
      <c r="Z772" s="23"/>
      <c r="AA772" s="23">
        <v>4</v>
      </c>
      <c r="AB772" s="23"/>
      <c r="AC772" s="23"/>
      <c r="AD772" s="23"/>
      <c r="AE772" s="23"/>
      <c r="AF772" s="23">
        <v>19</v>
      </c>
      <c r="AG772" s="23"/>
      <c r="AH772" s="23"/>
      <c r="AI772" s="23"/>
      <c r="AJ772" s="23"/>
      <c r="AK772" s="23">
        <v>21</v>
      </c>
      <c r="AL772" s="23"/>
      <c r="AM772" s="23"/>
      <c r="AN772" s="23"/>
      <c r="AO772" s="23">
        <v>8</v>
      </c>
      <c r="AP772" s="23">
        <v>11</v>
      </c>
      <c r="AQ772" s="23"/>
      <c r="AR772" s="23">
        <v>10</v>
      </c>
      <c r="AS772" s="23">
        <v>9</v>
      </c>
      <c r="AT772" s="23">
        <v>2</v>
      </c>
      <c r="AU772" s="14" t="str">
        <f>HYPERLINK("http://www.openstreetmap.org/?mlat=33.3558&amp;mlon=44.4158&amp;zoom=12#map=12/33.3558/44.4158","Maplink1")</f>
        <v>Maplink1</v>
      </c>
      <c r="AV772" s="14" t="str">
        <f>HYPERLINK("https://www.google.iq/maps/search/+33.3558,44.4158/@33.3558,44.4158,14z?hl=en","Maplink2")</f>
        <v>Maplink2</v>
      </c>
      <c r="AW772" s="14" t="str">
        <f>HYPERLINK("http://www.bing.com/maps/?lvl=14&amp;sty=h&amp;cp=33.3558~44.4158&amp;sp=point.33.3558_44.4158_14 Tamoz-Mahalla 510","Maplink3")</f>
        <v>Maplink3</v>
      </c>
    </row>
    <row r="773" spans="1:49" ht="15" customHeight="1" x14ac:dyDescent="0.25">
      <c r="A773" s="21">
        <v>24714</v>
      </c>
      <c r="B773" s="22" t="s">
        <v>11</v>
      </c>
      <c r="C773" s="22" t="s">
        <v>1719</v>
      </c>
      <c r="D773" s="22" t="s">
        <v>8393</v>
      </c>
      <c r="E773" s="22" t="s">
        <v>8394</v>
      </c>
      <c r="F773" s="22">
        <v>33.324334634899998</v>
      </c>
      <c r="G773" s="22">
        <v>44.408973013699999</v>
      </c>
      <c r="H773" s="21" t="s">
        <v>1449</v>
      </c>
      <c r="I773" s="21" t="s">
        <v>1720</v>
      </c>
      <c r="J773" s="21"/>
      <c r="K773" s="24">
        <v>20</v>
      </c>
      <c r="L773" s="24">
        <v>120</v>
      </c>
      <c r="M773" s="23">
        <v>6</v>
      </c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>
        <v>14</v>
      </c>
      <c r="Z773" s="23"/>
      <c r="AA773" s="23"/>
      <c r="AB773" s="23"/>
      <c r="AC773" s="23"/>
      <c r="AD773" s="23"/>
      <c r="AE773" s="23"/>
      <c r="AF773" s="23">
        <v>6</v>
      </c>
      <c r="AG773" s="23"/>
      <c r="AH773" s="23"/>
      <c r="AI773" s="23"/>
      <c r="AJ773" s="23"/>
      <c r="AK773" s="23">
        <v>14</v>
      </c>
      <c r="AL773" s="23"/>
      <c r="AM773" s="23"/>
      <c r="AN773" s="23"/>
      <c r="AO773" s="23"/>
      <c r="AP773" s="23">
        <v>8</v>
      </c>
      <c r="AQ773" s="23"/>
      <c r="AR773" s="23">
        <v>5</v>
      </c>
      <c r="AS773" s="23">
        <v>6</v>
      </c>
      <c r="AT773" s="23">
        <v>1</v>
      </c>
      <c r="AU773" s="14" t="str">
        <f>HYPERLINK("http://www.openstreetmap.org/?mlat=33.3176&amp;mlon=44.4169&amp;zoom=12#map=12/33.3176/44.4169","Maplink1")</f>
        <v>Maplink1</v>
      </c>
      <c r="AV773" s="14" t="str">
        <f>HYPERLINK("https://www.google.iq/maps/search/+33.3176,44.4169/@33.3176,44.4169,14z?hl=en","Maplink2")</f>
        <v>Maplink2</v>
      </c>
      <c r="AW773" s="14" t="str">
        <f>HYPERLINK("http://www.bing.com/maps/?lvl=14&amp;sty=h&amp;cp=33.3176~44.4169&amp;sp=point.33.3176_44.4169_Al Abu Nuas-102","Maplink3")</f>
        <v>Maplink3</v>
      </c>
    </row>
    <row r="774" spans="1:49" ht="15" customHeight="1" x14ac:dyDescent="0.25">
      <c r="A774" s="21">
        <v>22054</v>
      </c>
      <c r="B774" s="22" t="s">
        <v>11</v>
      </c>
      <c r="C774" s="22" t="s">
        <v>1719</v>
      </c>
      <c r="D774" s="22" t="s">
        <v>8395</v>
      </c>
      <c r="E774" s="22" t="s">
        <v>7688</v>
      </c>
      <c r="F774" s="22">
        <v>33.306299989800003</v>
      </c>
      <c r="G774" s="22">
        <v>44.518027678700001</v>
      </c>
      <c r="H774" s="21" t="s">
        <v>1449</v>
      </c>
      <c r="I774" s="21" t="s">
        <v>1720</v>
      </c>
      <c r="J774" s="21" t="s">
        <v>1722</v>
      </c>
      <c r="K774" s="24">
        <v>20</v>
      </c>
      <c r="L774" s="24">
        <v>120</v>
      </c>
      <c r="M774" s="23">
        <v>2</v>
      </c>
      <c r="N774" s="23"/>
      <c r="O774" s="23"/>
      <c r="P774" s="23"/>
      <c r="Q774" s="23"/>
      <c r="R774" s="23">
        <v>3</v>
      </c>
      <c r="S774" s="23"/>
      <c r="T774" s="23"/>
      <c r="U774" s="23"/>
      <c r="V774" s="23"/>
      <c r="W774" s="23"/>
      <c r="X774" s="23"/>
      <c r="Y774" s="23">
        <v>15</v>
      </c>
      <c r="Z774" s="23"/>
      <c r="AA774" s="23"/>
      <c r="AB774" s="23"/>
      <c r="AC774" s="23"/>
      <c r="AD774" s="23"/>
      <c r="AE774" s="23"/>
      <c r="AF774" s="23">
        <v>8</v>
      </c>
      <c r="AG774" s="23"/>
      <c r="AH774" s="23"/>
      <c r="AI774" s="23"/>
      <c r="AJ774" s="23">
        <v>7</v>
      </c>
      <c r="AK774" s="23">
        <v>5</v>
      </c>
      <c r="AL774" s="23"/>
      <c r="AM774" s="23"/>
      <c r="AN774" s="23"/>
      <c r="AO774" s="23">
        <v>5</v>
      </c>
      <c r="AP774" s="23"/>
      <c r="AQ774" s="23">
        <v>13</v>
      </c>
      <c r="AR774" s="23">
        <v>2</v>
      </c>
      <c r="AS774" s="23"/>
      <c r="AT774" s="23"/>
      <c r="AU774" s="14" t="str">
        <f>HYPERLINK("http://www.openstreetmap.org/?mlat=33.3093&amp;mlon=44.5081&amp;zoom=12#map=12/33.3093/44.5081","Maplink1")</f>
        <v>Maplink1</v>
      </c>
      <c r="AV774" s="14" t="str">
        <f>HYPERLINK("https://www.google.iq/maps/search/+33.3093,44.5081/@33.3093,44.5081,14z?hl=en","Maplink2")</f>
        <v>Maplink2</v>
      </c>
      <c r="AW774" s="14" t="str">
        <f>HYPERLINK("http://www.bing.com/maps/?lvl=14&amp;sty=h&amp;cp=33.3093~44.5081&amp;sp=point.33.3093_44.5081_Al Ameen (Mahala 739)","Maplink3")</f>
        <v>Maplink3</v>
      </c>
    </row>
    <row r="775" spans="1:49" ht="15" customHeight="1" x14ac:dyDescent="0.25">
      <c r="A775" s="21">
        <v>21752</v>
      </c>
      <c r="B775" s="22" t="s">
        <v>11</v>
      </c>
      <c r="C775" s="22" t="s">
        <v>1719</v>
      </c>
      <c r="D775" s="22" t="s">
        <v>8396</v>
      </c>
      <c r="E775" s="22" t="s">
        <v>7741</v>
      </c>
      <c r="F775" s="22">
        <v>33.309727143099998</v>
      </c>
      <c r="G775" s="22">
        <v>44.506287073199999</v>
      </c>
      <c r="H775" s="21" t="s">
        <v>1449</v>
      </c>
      <c r="I775" s="21" t="s">
        <v>1720</v>
      </c>
      <c r="J775" s="21" t="s">
        <v>1829</v>
      </c>
      <c r="K775" s="24">
        <v>31</v>
      </c>
      <c r="L775" s="24">
        <v>186</v>
      </c>
      <c r="M775" s="23">
        <v>5</v>
      </c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>
        <v>18</v>
      </c>
      <c r="Z775" s="23"/>
      <c r="AA775" s="23">
        <v>8</v>
      </c>
      <c r="AB775" s="23"/>
      <c r="AC775" s="23"/>
      <c r="AD775" s="23"/>
      <c r="AE775" s="23"/>
      <c r="AF775" s="23">
        <v>3</v>
      </c>
      <c r="AG775" s="23"/>
      <c r="AH775" s="23"/>
      <c r="AI775" s="23"/>
      <c r="AJ775" s="23">
        <v>8</v>
      </c>
      <c r="AK775" s="23">
        <v>20</v>
      </c>
      <c r="AL775" s="23"/>
      <c r="AM775" s="23"/>
      <c r="AN775" s="23"/>
      <c r="AO775" s="23">
        <v>3</v>
      </c>
      <c r="AP775" s="23"/>
      <c r="AQ775" s="23">
        <v>18</v>
      </c>
      <c r="AR775" s="23">
        <v>1</v>
      </c>
      <c r="AS775" s="23">
        <v>9</v>
      </c>
      <c r="AT775" s="23"/>
      <c r="AU775" s="14" t="str">
        <f>HYPERLINK("http://www.openstreetmap.org/?mlat=33.306&amp;mlon=44.512&amp;zoom=12#map=12/33.306/44.512","Maplink1")</f>
        <v>Maplink1</v>
      </c>
      <c r="AV775" s="14" t="str">
        <f>HYPERLINK("https://www.google.iq/maps/search/+33.306,44.512/@33.306,44.512,14z?hl=en","Maplink2")</f>
        <v>Maplink2</v>
      </c>
      <c r="AW775" s="14" t="str">
        <f>HYPERLINK("http://www.bing.com/maps/?lvl=14&amp;sty=h&amp;cp=33.306~44.512&amp;sp=point.33.306_44.512_Ameen-Mahalla 737","Maplink3")</f>
        <v>Maplink3</v>
      </c>
    </row>
    <row r="776" spans="1:49" ht="15" customHeight="1" x14ac:dyDescent="0.25">
      <c r="A776" s="21">
        <v>21888</v>
      </c>
      <c r="B776" s="22" t="s">
        <v>11</v>
      </c>
      <c r="C776" s="22" t="s">
        <v>1719</v>
      </c>
      <c r="D776" s="22" t="s">
        <v>8397</v>
      </c>
      <c r="E776" s="22" t="s">
        <v>7690</v>
      </c>
      <c r="F776" s="22">
        <v>33.300582324399997</v>
      </c>
      <c r="G776" s="22">
        <v>44.512814598600002</v>
      </c>
      <c r="H776" s="21" t="s">
        <v>1449</v>
      </c>
      <c r="I776" s="21" t="s">
        <v>1720</v>
      </c>
      <c r="J776" s="21" t="s">
        <v>1724</v>
      </c>
      <c r="K776" s="24">
        <v>22</v>
      </c>
      <c r="L776" s="24">
        <v>132</v>
      </c>
      <c r="M776" s="23">
        <v>2</v>
      </c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>
        <v>20</v>
      </c>
      <c r="Z776" s="23"/>
      <c r="AA776" s="23"/>
      <c r="AB776" s="23"/>
      <c r="AC776" s="23"/>
      <c r="AD776" s="23"/>
      <c r="AE776" s="23"/>
      <c r="AF776" s="23">
        <v>4</v>
      </c>
      <c r="AG776" s="23"/>
      <c r="AH776" s="23"/>
      <c r="AI776" s="23"/>
      <c r="AJ776" s="23">
        <v>10</v>
      </c>
      <c r="AK776" s="23">
        <v>8</v>
      </c>
      <c r="AL776" s="23"/>
      <c r="AM776" s="23"/>
      <c r="AN776" s="23"/>
      <c r="AO776" s="23"/>
      <c r="AP776" s="23">
        <v>6</v>
      </c>
      <c r="AQ776" s="23">
        <v>12</v>
      </c>
      <c r="AR776" s="23">
        <v>4</v>
      </c>
      <c r="AS776" s="23"/>
      <c r="AT776" s="23"/>
      <c r="AU776" s="14" t="str">
        <f>HYPERLINK("http://www.openstreetmap.org/?mlat=33.3078&amp;mlon=44.5175&amp;zoom=12#map=12/33.3078/44.5175","Maplink1")</f>
        <v>Maplink1</v>
      </c>
      <c r="AV776" s="14" t="str">
        <f>HYPERLINK("https://www.google.iq/maps/search/+33.3078,44.5175/@33.3078,44.5175,14z?hl=en","Maplink2")</f>
        <v>Maplink2</v>
      </c>
      <c r="AW776" s="14" t="str">
        <f>HYPERLINK("http://www.bing.com/maps/?lvl=14&amp;sty=h&amp;cp=33.3078~44.5175&amp;sp=point.33.3078_44.5175_Al Amin-Mahalla 741","Maplink3")</f>
        <v>Maplink3</v>
      </c>
    </row>
    <row r="777" spans="1:49" ht="15" customHeight="1" x14ac:dyDescent="0.25">
      <c r="A777" s="21">
        <v>22055</v>
      </c>
      <c r="B777" s="22" t="s">
        <v>11</v>
      </c>
      <c r="C777" s="22" t="s">
        <v>1719</v>
      </c>
      <c r="D777" s="22" t="s">
        <v>8398</v>
      </c>
      <c r="E777" s="22" t="s">
        <v>7689</v>
      </c>
      <c r="F777" s="22">
        <v>33.302917266100003</v>
      </c>
      <c r="G777" s="22">
        <v>44.5200593064</v>
      </c>
      <c r="H777" s="21" t="s">
        <v>1449</v>
      </c>
      <c r="I777" s="21" t="s">
        <v>1720</v>
      </c>
      <c r="J777" s="21" t="s">
        <v>1723</v>
      </c>
      <c r="K777" s="24">
        <v>38</v>
      </c>
      <c r="L777" s="24">
        <v>228</v>
      </c>
      <c r="M777" s="23">
        <v>7</v>
      </c>
      <c r="N777" s="23"/>
      <c r="O777" s="23"/>
      <c r="P777" s="23"/>
      <c r="Q777" s="23"/>
      <c r="R777" s="23">
        <v>3</v>
      </c>
      <c r="S777" s="23"/>
      <c r="T777" s="23"/>
      <c r="U777" s="23"/>
      <c r="V777" s="23"/>
      <c r="W777" s="23"/>
      <c r="X777" s="23"/>
      <c r="Y777" s="23">
        <v>24</v>
      </c>
      <c r="Z777" s="23"/>
      <c r="AA777" s="23">
        <v>4</v>
      </c>
      <c r="AB777" s="23"/>
      <c r="AC777" s="23"/>
      <c r="AD777" s="23"/>
      <c r="AE777" s="23"/>
      <c r="AF777" s="23">
        <v>9</v>
      </c>
      <c r="AG777" s="23"/>
      <c r="AH777" s="23"/>
      <c r="AI777" s="23"/>
      <c r="AJ777" s="23">
        <v>8</v>
      </c>
      <c r="AK777" s="23">
        <v>21</v>
      </c>
      <c r="AL777" s="23"/>
      <c r="AM777" s="23"/>
      <c r="AN777" s="23"/>
      <c r="AO777" s="23">
        <v>3</v>
      </c>
      <c r="AP777" s="23"/>
      <c r="AQ777" s="23">
        <v>22</v>
      </c>
      <c r="AR777" s="23">
        <v>6</v>
      </c>
      <c r="AS777" s="23">
        <v>7</v>
      </c>
      <c r="AT777" s="23"/>
      <c r="AU777" s="14" t="str">
        <f>HYPERLINK("http://www.openstreetmap.org/?mlat=33.3039&amp;mlon=44.5209&amp;zoom=12#map=12/33.3039/44.5209","Maplink1")</f>
        <v>Maplink1</v>
      </c>
      <c r="AV777" s="14" t="str">
        <f>HYPERLINK("https://www.google.iq/maps/search/+33.3039,44.5209/@33.3039,44.5209,14z?hl=en","Maplink2")</f>
        <v>Maplink2</v>
      </c>
      <c r="AW777" s="14" t="str">
        <f>HYPERLINK("http://www.bing.com/maps/?lvl=14&amp;sty=h&amp;cp=33.3039~44.5209&amp;sp=point.33.3039_44.5209_Al Ameen (Mahala 743)","Maplink3")</f>
        <v>Maplink3</v>
      </c>
    </row>
    <row r="778" spans="1:49" ht="15" customHeight="1" x14ac:dyDescent="0.25">
      <c r="A778" s="21">
        <v>21751</v>
      </c>
      <c r="B778" s="22" t="s">
        <v>11</v>
      </c>
      <c r="C778" s="22" t="s">
        <v>1719</v>
      </c>
      <c r="D778" s="22" t="s">
        <v>8399</v>
      </c>
      <c r="E778" s="22" t="s">
        <v>7742</v>
      </c>
      <c r="F778" s="22">
        <v>33.302924036199997</v>
      </c>
      <c r="G778" s="22">
        <v>44.5276561517</v>
      </c>
      <c r="H778" s="21" t="s">
        <v>1449</v>
      </c>
      <c r="I778" s="21" t="s">
        <v>1720</v>
      </c>
      <c r="J778" s="21" t="s">
        <v>1830</v>
      </c>
      <c r="K778" s="24">
        <v>55</v>
      </c>
      <c r="L778" s="24">
        <v>330</v>
      </c>
      <c r="M778" s="23">
        <v>6</v>
      </c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>
        <v>49</v>
      </c>
      <c r="Z778" s="23"/>
      <c r="AA778" s="23"/>
      <c r="AB778" s="23"/>
      <c r="AC778" s="23"/>
      <c r="AD778" s="23"/>
      <c r="AE778" s="23"/>
      <c r="AF778" s="23">
        <v>19</v>
      </c>
      <c r="AG778" s="23"/>
      <c r="AH778" s="23"/>
      <c r="AI778" s="23"/>
      <c r="AJ778" s="23"/>
      <c r="AK778" s="23">
        <v>36</v>
      </c>
      <c r="AL778" s="23"/>
      <c r="AM778" s="23"/>
      <c r="AN778" s="23"/>
      <c r="AO778" s="23">
        <v>10</v>
      </c>
      <c r="AP778" s="23"/>
      <c r="AQ778" s="23">
        <v>38</v>
      </c>
      <c r="AR778" s="23">
        <v>7</v>
      </c>
      <c r="AS778" s="23"/>
      <c r="AT778" s="23"/>
      <c r="AU778" s="14" t="str">
        <f>HYPERLINK("http://www.openstreetmap.org/?mlat=33.3073&amp;mlon=44.5087&amp;zoom=12#map=12/33.3073/44.5087","Maplink1")</f>
        <v>Maplink1</v>
      </c>
      <c r="AV778" s="14" t="str">
        <f>HYPERLINK("https://www.google.iq/maps/search/+33.3073,44.5087/@33.3073,44.5087,14z?hl=en","Maplink2")</f>
        <v>Maplink2</v>
      </c>
      <c r="AW778" s="14" t="str">
        <f>HYPERLINK("http://www.bing.com/maps/?lvl=14&amp;sty=h&amp;cp=33.3073~44.5087&amp;sp=point.33.3073_44.5087_Ameen-Mahalla 745","Maplink3")</f>
        <v>Maplink3</v>
      </c>
    </row>
    <row r="779" spans="1:49" ht="15" customHeight="1" x14ac:dyDescent="0.25">
      <c r="A779" s="21">
        <v>21889</v>
      </c>
      <c r="B779" s="22" t="s">
        <v>11</v>
      </c>
      <c r="C779" s="22" t="s">
        <v>1719</v>
      </c>
      <c r="D779" s="22" t="s">
        <v>8400</v>
      </c>
      <c r="E779" s="22" t="s">
        <v>1725</v>
      </c>
      <c r="F779" s="22">
        <v>33.293900743000002</v>
      </c>
      <c r="G779" s="22">
        <v>44.522639442100001</v>
      </c>
      <c r="H779" s="21" t="s">
        <v>1449</v>
      </c>
      <c r="I779" s="21" t="s">
        <v>1720</v>
      </c>
      <c r="J779" s="21" t="s">
        <v>1726</v>
      </c>
      <c r="K779" s="24">
        <v>31</v>
      </c>
      <c r="L779" s="24">
        <v>186</v>
      </c>
      <c r="M779" s="23">
        <v>6</v>
      </c>
      <c r="N779" s="23"/>
      <c r="O779" s="23"/>
      <c r="P779" s="23"/>
      <c r="Q779" s="23"/>
      <c r="R779" s="23">
        <v>2</v>
      </c>
      <c r="S779" s="23"/>
      <c r="T779" s="23"/>
      <c r="U779" s="23"/>
      <c r="V779" s="23"/>
      <c r="W779" s="23"/>
      <c r="X779" s="23"/>
      <c r="Y779" s="23">
        <v>23</v>
      </c>
      <c r="Z779" s="23"/>
      <c r="AA779" s="23"/>
      <c r="AB779" s="23"/>
      <c r="AC779" s="23"/>
      <c r="AD779" s="23"/>
      <c r="AE779" s="23"/>
      <c r="AF779" s="23">
        <v>15</v>
      </c>
      <c r="AG779" s="23"/>
      <c r="AH779" s="23"/>
      <c r="AI779" s="23"/>
      <c r="AJ779" s="23"/>
      <c r="AK779" s="23">
        <v>11</v>
      </c>
      <c r="AL779" s="23"/>
      <c r="AM779" s="23">
        <v>5</v>
      </c>
      <c r="AN779" s="23"/>
      <c r="AO779" s="23"/>
      <c r="AP779" s="23"/>
      <c r="AQ779" s="23">
        <v>22</v>
      </c>
      <c r="AR779" s="23">
        <v>5</v>
      </c>
      <c r="AS779" s="23">
        <v>4</v>
      </c>
      <c r="AT779" s="23"/>
      <c r="AU779" s="14" t="str">
        <f>HYPERLINK("http://www.openstreetmap.org/?mlat=33.3026&amp;mlon=44.5091&amp;zoom=12#map=12/33.3026/44.5091","Maplink1")</f>
        <v>Maplink1</v>
      </c>
      <c r="AV779" s="14" t="str">
        <f>HYPERLINK("https://www.google.iq/maps/search/+33.3026,44.5091/@33.3026,44.5091,14z?hl=en","Maplink2")</f>
        <v>Maplink2</v>
      </c>
      <c r="AW779" s="14" t="str">
        <f>HYPERLINK("http://www.bing.com/maps/?lvl=14&amp;sty=h&amp;cp=33.3026~44.5091&amp;sp=point.33.3026_44.5091_Al Amin-Mahalla 747","Maplink3")</f>
        <v>Maplink3</v>
      </c>
    </row>
    <row r="780" spans="1:49" ht="15" customHeight="1" x14ac:dyDescent="0.25">
      <c r="A780" s="21">
        <v>24939</v>
      </c>
      <c r="B780" s="22" t="s">
        <v>11</v>
      </c>
      <c r="C780" s="22" t="s">
        <v>1719</v>
      </c>
      <c r="D780" s="22" t="s">
        <v>1727</v>
      </c>
      <c r="E780" s="22" t="s">
        <v>8401</v>
      </c>
      <c r="F780" s="22">
        <v>33.3505921223</v>
      </c>
      <c r="G780" s="22">
        <v>44.381086251500001</v>
      </c>
      <c r="H780" s="21" t="s">
        <v>1449</v>
      </c>
      <c r="I780" s="21" t="s">
        <v>1720</v>
      </c>
      <c r="J780" s="21"/>
      <c r="K780" s="24">
        <v>16</v>
      </c>
      <c r="L780" s="24">
        <v>96</v>
      </c>
      <c r="M780" s="23">
        <v>6</v>
      </c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>
        <v>7</v>
      </c>
      <c r="Z780" s="23"/>
      <c r="AA780" s="23">
        <v>3</v>
      </c>
      <c r="AB780" s="23"/>
      <c r="AC780" s="23"/>
      <c r="AD780" s="23"/>
      <c r="AE780" s="23"/>
      <c r="AF780" s="23">
        <v>10</v>
      </c>
      <c r="AG780" s="23"/>
      <c r="AH780" s="23"/>
      <c r="AI780" s="23"/>
      <c r="AJ780" s="23"/>
      <c r="AK780" s="23">
        <v>6</v>
      </c>
      <c r="AL780" s="23"/>
      <c r="AM780" s="23"/>
      <c r="AN780" s="23"/>
      <c r="AO780" s="23"/>
      <c r="AP780" s="23">
        <v>5</v>
      </c>
      <c r="AQ780" s="23">
        <v>6</v>
      </c>
      <c r="AR780" s="23"/>
      <c r="AS780" s="23">
        <v>4</v>
      </c>
      <c r="AT780" s="23">
        <v>1</v>
      </c>
      <c r="AU780" s="14" t="str">
        <f>HYPERLINK("http://www.openstreetmap.org/?mlat=33.347&amp;mlon=44.3797&amp;zoom=12#map=12/33.347/44.3797","Maplink1")</f>
        <v>Maplink1</v>
      </c>
      <c r="AV780" s="14" t="str">
        <f>HYPERLINK("https://www.google.iq/maps/search/+33.347,44.3797/@33.347,44.3797,14z?hl=en","Maplink2")</f>
        <v>Maplink2</v>
      </c>
      <c r="AW780" s="14" t="str">
        <f>HYPERLINK("http://www.bing.com/maps/?lvl=14&amp;sty=h&amp;cp=33.347~44.3797&amp;sp=point.33.347_44.3797_Al Atebaa-116","Maplink3")</f>
        <v>Maplink3</v>
      </c>
    </row>
    <row r="781" spans="1:49" ht="15" customHeight="1" x14ac:dyDescent="0.25">
      <c r="A781" s="21">
        <v>24940</v>
      </c>
      <c r="B781" s="22" t="s">
        <v>11</v>
      </c>
      <c r="C781" s="22" t="s">
        <v>1719</v>
      </c>
      <c r="D781" s="22" t="s">
        <v>1728</v>
      </c>
      <c r="E781" s="22" t="s">
        <v>8402</v>
      </c>
      <c r="F781" s="22">
        <v>33.351935561099999</v>
      </c>
      <c r="G781" s="22">
        <v>44.374527208700002</v>
      </c>
      <c r="H781" s="21" t="s">
        <v>1449</v>
      </c>
      <c r="I781" s="21" t="s">
        <v>1720</v>
      </c>
      <c r="J781" s="21"/>
      <c r="K781" s="24">
        <v>6</v>
      </c>
      <c r="L781" s="24">
        <v>36</v>
      </c>
      <c r="M781" s="23">
        <v>3</v>
      </c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>
        <v>3</v>
      </c>
      <c r="Z781" s="23"/>
      <c r="AA781" s="23"/>
      <c r="AB781" s="23"/>
      <c r="AC781" s="23"/>
      <c r="AD781" s="23"/>
      <c r="AE781" s="23"/>
      <c r="AF781" s="23">
        <v>6</v>
      </c>
      <c r="AG781" s="23"/>
      <c r="AH781" s="23"/>
      <c r="AI781" s="23"/>
      <c r="AJ781" s="23"/>
      <c r="AK781" s="23"/>
      <c r="AL781" s="23"/>
      <c r="AM781" s="23"/>
      <c r="AN781" s="23"/>
      <c r="AO781" s="23"/>
      <c r="AP781" s="23">
        <v>3</v>
      </c>
      <c r="AQ781" s="23"/>
      <c r="AR781" s="23"/>
      <c r="AS781" s="23">
        <v>3</v>
      </c>
      <c r="AT781" s="23"/>
      <c r="AU781" s="14" t="str">
        <f>HYPERLINK("http://www.openstreetmap.org/?mlat=33.347&amp;mlon=44.3797&amp;zoom=12#map=12/33.347/44.3797","Maplink1")</f>
        <v>Maplink1</v>
      </c>
      <c r="AV781" s="14" t="str">
        <f>HYPERLINK("https://www.google.iq/maps/search/+33.347,44.3797/@33.347,44.3797,14z?hl=en","Maplink2")</f>
        <v>Maplink2</v>
      </c>
      <c r="AW781" s="14" t="str">
        <f>HYPERLINK("http://www.bing.com/maps/?lvl=14&amp;sty=h&amp;cp=33.347~44.3797&amp;sp=point.33.347_44.3797_Al Atebaa-118","Maplink3")</f>
        <v>Maplink3</v>
      </c>
    </row>
    <row r="782" spans="1:49" ht="15" customHeight="1" x14ac:dyDescent="0.25">
      <c r="A782" s="21">
        <v>24938</v>
      </c>
      <c r="B782" s="22" t="s">
        <v>11</v>
      </c>
      <c r="C782" s="22" t="s">
        <v>1719</v>
      </c>
      <c r="D782" s="22" t="s">
        <v>1729</v>
      </c>
      <c r="E782" s="22" t="s">
        <v>8403</v>
      </c>
      <c r="F782" s="22">
        <v>33.3528790063</v>
      </c>
      <c r="G782" s="22">
        <v>44.382055421499999</v>
      </c>
      <c r="H782" s="21" t="s">
        <v>1449</v>
      </c>
      <c r="I782" s="21" t="s">
        <v>1720</v>
      </c>
      <c r="J782" s="21"/>
      <c r="K782" s="24">
        <v>9</v>
      </c>
      <c r="L782" s="24">
        <v>54</v>
      </c>
      <c r="M782" s="23">
        <v>9</v>
      </c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>
        <v>9</v>
      </c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>
        <v>9</v>
      </c>
      <c r="AS782" s="23"/>
      <c r="AT782" s="23"/>
      <c r="AU782" s="14" t="str">
        <f>HYPERLINK("http://www.openstreetmap.org/?mlat=33.347&amp;mlon=44.3797&amp;zoom=12#map=12/33.347/44.3797","Maplink1")</f>
        <v>Maplink1</v>
      </c>
      <c r="AV782" s="14" t="str">
        <f>HYPERLINK("https://www.google.iq/maps/search/+33.347,44.3797/@33.347,44.3797,14z?hl=en","Maplink2")</f>
        <v>Maplink2</v>
      </c>
      <c r="AW782" s="14" t="str">
        <f>HYPERLINK("http://www.bing.com/maps/?lvl=14&amp;sty=h&amp;cp=33.347~44.3797&amp;sp=point.33.347_44.3797_Al Atebaa-120","Maplink3")</f>
        <v>Maplink3</v>
      </c>
    </row>
    <row r="783" spans="1:49" ht="15" customHeight="1" x14ac:dyDescent="0.25">
      <c r="A783" s="21">
        <v>24497</v>
      </c>
      <c r="B783" s="22" t="s">
        <v>11</v>
      </c>
      <c r="C783" s="22" t="s">
        <v>1719</v>
      </c>
      <c r="D783" s="22" t="s">
        <v>1730</v>
      </c>
      <c r="E783" s="22" t="s">
        <v>7691</v>
      </c>
      <c r="F783" s="22">
        <v>33.333759702400002</v>
      </c>
      <c r="G783" s="22">
        <v>44.481083356600003</v>
      </c>
      <c r="H783" s="21" t="s">
        <v>1449</v>
      </c>
      <c r="I783" s="21" t="s">
        <v>1720</v>
      </c>
      <c r="J783" s="21"/>
      <c r="K783" s="24">
        <v>47</v>
      </c>
      <c r="L783" s="24">
        <v>282</v>
      </c>
      <c r="M783" s="23">
        <v>18</v>
      </c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>
        <v>29</v>
      </c>
      <c r="Z783" s="23"/>
      <c r="AA783" s="23"/>
      <c r="AB783" s="23"/>
      <c r="AC783" s="23"/>
      <c r="AD783" s="23"/>
      <c r="AE783" s="23"/>
      <c r="AF783" s="23">
        <v>16</v>
      </c>
      <c r="AG783" s="23"/>
      <c r="AH783" s="23"/>
      <c r="AI783" s="23"/>
      <c r="AJ783" s="23"/>
      <c r="AK783" s="23">
        <v>31</v>
      </c>
      <c r="AL783" s="23"/>
      <c r="AM783" s="23"/>
      <c r="AN783" s="23"/>
      <c r="AO783" s="23"/>
      <c r="AP783" s="23"/>
      <c r="AQ783" s="23">
        <v>31</v>
      </c>
      <c r="AR783" s="23"/>
      <c r="AS783" s="23">
        <v>16</v>
      </c>
      <c r="AT783" s="23"/>
      <c r="AU783" s="14" t="str">
        <f>HYPERLINK("http://www.openstreetmap.org/?mlat=33.3449&amp;mlon=44.4838&amp;zoom=12#map=12/33.3449/44.4838","Maplink1")</f>
        <v>Maplink1</v>
      </c>
      <c r="AV783" s="14" t="str">
        <f>HYPERLINK("https://www.google.iq/maps/search/+33.3449,44.4838/@33.3449,44.4838,14z?hl=en","Maplink2")</f>
        <v>Maplink2</v>
      </c>
      <c r="AW783" s="14" t="str">
        <f>HYPERLINK("http://www.bing.com/maps/?lvl=14&amp;sty=h&amp;cp=33.3449~44.4838&amp;sp=point.33.3449_44.4838_Al baladiyat-728","Maplink3")</f>
        <v>Maplink3</v>
      </c>
    </row>
    <row r="784" spans="1:49" ht="15" customHeight="1" x14ac:dyDescent="0.25">
      <c r="A784" s="21">
        <v>24498</v>
      </c>
      <c r="B784" s="22" t="s">
        <v>11</v>
      </c>
      <c r="C784" s="22" t="s">
        <v>1719</v>
      </c>
      <c r="D784" s="22" t="s">
        <v>1731</v>
      </c>
      <c r="E784" s="22" t="s">
        <v>7692</v>
      </c>
      <c r="F784" s="22">
        <v>33.336680463100002</v>
      </c>
      <c r="G784" s="22">
        <v>44.4831531731</v>
      </c>
      <c r="H784" s="21" t="s">
        <v>1449</v>
      </c>
      <c r="I784" s="21" t="s">
        <v>1720</v>
      </c>
      <c r="J784" s="21"/>
      <c r="K784" s="24">
        <v>47</v>
      </c>
      <c r="L784" s="24">
        <v>282</v>
      </c>
      <c r="M784" s="23">
        <v>21</v>
      </c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>
        <v>26</v>
      </c>
      <c r="Z784" s="23"/>
      <c r="AA784" s="23"/>
      <c r="AB784" s="23"/>
      <c r="AC784" s="23"/>
      <c r="AD784" s="23"/>
      <c r="AE784" s="23"/>
      <c r="AF784" s="23">
        <v>17</v>
      </c>
      <c r="AG784" s="23"/>
      <c r="AH784" s="23"/>
      <c r="AI784" s="23"/>
      <c r="AJ784" s="23"/>
      <c r="AK784" s="23">
        <v>30</v>
      </c>
      <c r="AL784" s="23"/>
      <c r="AM784" s="23"/>
      <c r="AN784" s="23"/>
      <c r="AO784" s="23"/>
      <c r="AP784" s="23"/>
      <c r="AQ784" s="23">
        <v>11</v>
      </c>
      <c r="AR784" s="23">
        <v>27</v>
      </c>
      <c r="AS784" s="23">
        <v>9</v>
      </c>
      <c r="AT784" s="23"/>
      <c r="AU784" s="14" t="str">
        <f>HYPERLINK("http://www.openstreetmap.org/?mlat=33.3481&amp;mlon=44.486&amp;zoom=12#map=12/33.3481/44.486","Maplink1")</f>
        <v>Maplink1</v>
      </c>
      <c r="AV784" s="14" t="str">
        <f>HYPERLINK("https://www.google.iq/maps/search/+33.3481,44.486/@33.3481,44.486,14z?hl=en","Maplink2")</f>
        <v>Maplink2</v>
      </c>
      <c r="AW784" s="14" t="str">
        <f>HYPERLINK("http://www.bing.com/maps/?lvl=14&amp;sty=h&amp;cp=33.3481~44.486&amp;sp=point.33.3481_44.486_Al baladiyat-730","Maplink3")</f>
        <v>Maplink3</v>
      </c>
    </row>
    <row r="785" spans="1:49" ht="15" customHeight="1" x14ac:dyDescent="0.25">
      <c r="A785" s="21">
        <v>24500</v>
      </c>
      <c r="B785" s="22" t="s">
        <v>11</v>
      </c>
      <c r="C785" s="22" t="s">
        <v>1719</v>
      </c>
      <c r="D785" s="22" t="s">
        <v>1732</v>
      </c>
      <c r="E785" s="22" t="s">
        <v>7693</v>
      </c>
      <c r="F785" s="22">
        <v>33.348727294299998</v>
      </c>
      <c r="G785" s="22">
        <v>44.466729597600001</v>
      </c>
      <c r="H785" s="21" t="s">
        <v>1449</v>
      </c>
      <c r="I785" s="21" t="s">
        <v>1720</v>
      </c>
      <c r="J785" s="21"/>
      <c r="K785" s="24">
        <v>70</v>
      </c>
      <c r="L785" s="24">
        <v>420</v>
      </c>
      <c r="M785" s="23">
        <v>15</v>
      </c>
      <c r="N785" s="23"/>
      <c r="O785" s="23"/>
      <c r="P785" s="23"/>
      <c r="Q785" s="23"/>
      <c r="R785" s="23">
        <v>6</v>
      </c>
      <c r="S785" s="23"/>
      <c r="T785" s="23"/>
      <c r="U785" s="23"/>
      <c r="V785" s="23"/>
      <c r="W785" s="23"/>
      <c r="X785" s="23"/>
      <c r="Y785" s="23">
        <v>34</v>
      </c>
      <c r="Z785" s="23"/>
      <c r="AA785" s="23">
        <v>15</v>
      </c>
      <c r="AB785" s="23"/>
      <c r="AC785" s="23"/>
      <c r="AD785" s="23"/>
      <c r="AE785" s="23"/>
      <c r="AF785" s="23">
        <v>38</v>
      </c>
      <c r="AG785" s="23"/>
      <c r="AH785" s="23"/>
      <c r="AI785" s="23"/>
      <c r="AJ785" s="23"/>
      <c r="AK785" s="23">
        <v>32</v>
      </c>
      <c r="AL785" s="23"/>
      <c r="AM785" s="23"/>
      <c r="AN785" s="23"/>
      <c r="AO785" s="23"/>
      <c r="AP785" s="23"/>
      <c r="AQ785" s="23">
        <v>36</v>
      </c>
      <c r="AR785" s="23">
        <v>19</v>
      </c>
      <c r="AS785" s="23">
        <v>15</v>
      </c>
      <c r="AT785" s="23"/>
      <c r="AU785" s="14" t="str">
        <f>HYPERLINK("http://www.openstreetmap.org/?mlat=33.3481&amp;mlon=44.486&amp;zoom=12#map=12/33.3481/44.486","Maplink1")</f>
        <v>Maplink1</v>
      </c>
      <c r="AV785" s="14" t="str">
        <f>HYPERLINK("https://www.google.iq/maps/search/+33.3481,44.486/@33.3481,44.486,14z?hl=en","Maplink2")</f>
        <v>Maplink2</v>
      </c>
      <c r="AW785" s="14" t="str">
        <f>HYPERLINK("http://www.bing.com/maps/?lvl=14&amp;sty=h&amp;cp=33.3481~44.486&amp;sp=point.33.3481_44.486_Al baladiyat-732","Maplink3")</f>
        <v>Maplink3</v>
      </c>
    </row>
    <row r="786" spans="1:49" ht="15" customHeight="1" x14ac:dyDescent="0.25">
      <c r="A786" s="21">
        <v>24499</v>
      </c>
      <c r="B786" s="22" t="s">
        <v>11</v>
      </c>
      <c r="C786" s="22" t="s">
        <v>1719</v>
      </c>
      <c r="D786" s="22" t="s">
        <v>1733</v>
      </c>
      <c r="E786" s="22" t="s">
        <v>7694</v>
      </c>
      <c r="F786" s="22">
        <v>33.3513816257</v>
      </c>
      <c r="G786" s="22">
        <v>44.466488610900001</v>
      </c>
      <c r="H786" s="21" t="s">
        <v>1449</v>
      </c>
      <c r="I786" s="21" t="s">
        <v>1720</v>
      </c>
      <c r="J786" s="21"/>
      <c r="K786" s="24">
        <v>45</v>
      </c>
      <c r="L786" s="24">
        <v>270</v>
      </c>
      <c r="M786" s="23">
        <v>12</v>
      </c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>
        <v>24</v>
      </c>
      <c r="Z786" s="23"/>
      <c r="AA786" s="23">
        <v>9</v>
      </c>
      <c r="AB786" s="23"/>
      <c r="AC786" s="23"/>
      <c r="AD786" s="23"/>
      <c r="AE786" s="23"/>
      <c r="AF786" s="23">
        <v>18</v>
      </c>
      <c r="AG786" s="23"/>
      <c r="AH786" s="23"/>
      <c r="AI786" s="23"/>
      <c r="AJ786" s="23"/>
      <c r="AK786" s="23">
        <v>27</v>
      </c>
      <c r="AL786" s="23"/>
      <c r="AM786" s="23"/>
      <c r="AN786" s="23"/>
      <c r="AO786" s="23"/>
      <c r="AP786" s="23"/>
      <c r="AQ786" s="23">
        <v>31</v>
      </c>
      <c r="AR786" s="23">
        <v>7</v>
      </c>
      <c r="AS786" s="23">
        <v>7</v>
      </c>
      <c r="AT786" s="23"/>
      <c r="AU786" s="14" t="str">
        <f>HYPERLINK("http://www.openstreetmap.org/?mlat=33.3481&amp;mlon=44.486&amp;zoom=12#map=12/33.3481/44.486","Maplink1")</f>
        <v>Maplink1</v>
      </c>
      <c r="AV786" s="14" t="str">
        <f>HYPERLINK("https://www.google.iq/maps/search/+33.3481,44.486/@33.3481,44.486,14z?hl=en","Maplink2")</f>
        <v>Maplink2</v>
      </c>
      <c r="AW786" s="14" t="str">
        <f>HYPERLINK("http://www.bing.com/maps/?lvl=14&amp;sty=h&amp;cp=33.3481~44.486&amp;sp=point.33.3481_44.486_Al baladiyat-734","Maplink3")</f>
        <v>Maplink3</v>
      </c>
    </row>
    <row r="787" spans="1:49" ht="15" customHeight="1" x14ac:dyDescent="0.25">
      <c r="A787" s="21">
        <v>23731</v>
      </c>
      <c r="B787" s="22" t="s">
        <v>11</v>
      </c>
      <c r="C787" s="22" t="s">
        <v>1719</v>
      </c>
      <c r="D787" s="22" t="s">
        <v>1734</v>
      </c>
      <c r="E787" s="22" t="s">
        <v>7695</v>
      </c>
      <c r="F787" s="22">
        <v>33.3426969215</v>
      </c>
      <c r="G787" s="22">
        <v>44.485953904600002</v>
      </c>
      <c r="H787" s="21" t="s">
        <v>1449</v>
      </c>
      <c r="I787" s="21" t="s">
        <v>1720</v>
      </c>
      <c r="J787" s="21" t="s">
        <v>1735</v>
      </c>
      <c r="K787" s="24">
        <v>49</v>
      </c>
      <c r="L787" s="24">
        <v>294</v>
      </c>
      <c r="M787" s="23">
        <v>11</v>
      </c>
      <c r="N787" s="23"/>
      <c r="O787" s="23"/>
      <c r="P787" s="23"/>
      <c r="Q787" s="23"/>
      <c r="R787" s="23">
        <v>4</v>
      </c>
      <c r="S787" s="23"/>
      <c r="T787" s="23"/>
      <c r="U787" s="23"/>
      <c r="V787" s="23"/>
      <c r="W787" s="23"/>
      <c r="X787" s="23"/>
      <c r="Y787" s="23">
        <v>32</v>
      </c>
      <c r="Z787" s="23"/>
      <c r="AA787" s="23">
        <v>2</v>
      </c>
      <c r="AB787" s="23"/>
      <c r="AC787" s="23"/>
      <c r="AD787" s="23"/>
      <c r="AE787" s="23"/>
      <c r="AF787" s="23">
        <v>17</v>
      </c>
      <c r="AG787" s="23"/>
      <c r="AH787" s="23"/>
      <c r="AI787" s="23"/>
      <c r="AJ787" s="23"/>
      <c r="AK787" s="23">
        <v>24</v>
      </c>
      <c r="AL787" s="23">
        <v>8</v>
      </c>
      <c r="AM787" s="23"/>
      <c r="AN787" s="23"/>
      <c r="AO787" s="23"/>
      <c r="AP787" s="23">
        <v>20</v>
      </c>
      <c r="AQ787" s="23">
        <v>19</v>
      </c>
      <c r="AR787" s="23">
        <v>7</v>
      </c>
      <c r="AS787" s="23">
        <v>3</v>
      </c>
      <c r="AT787" s="23"/>
      <c r="AU787" s="14" t="str">
        <f>HYPERLINK("http://www.openstreetmap.org/?mlat=33.3488&amp;mlon=44.4781&amp;zoom=12#map=12/33.3488/44.4781","Maplink1")</f>
        <v>Maplink1</v>
      </c>
      <c r="AV787" s="14" t="str">
        <f>HYPERLINK("https://www.google.iq/maps/search/+33.3488,44.4781/@33.3488,44.4781,14z?hl=en","Maplink2")</f>
        <v>Maplink2</v>
      </c>
      <c r="AW787" s="14" t="str">
        <f>HYPERLINK("http://www.bing.com/maps/?lvl=14&amp;sty=h&amp;cp=33.3488~44.4781&amp;sp=point.33.3488_44.4781_Al baladiyat-738","Maplink3")</f>
        <v>Maplink3</v>
      </c>
    </row>
    <row r="788" spans="1:49" ht="15" customHeight="1" x14ac:dyDescent="0.25">
      <c r="A788" s="21">
        <v>24024</v>
      </c>
      <c r="B788" s="22" t="s">
        <v>11</v>
      </c>
      <c r="C788" s="22" t="s">
        <v>1719</v>
      </c>
      <c r="D788" s="22" t="s">
        <v>1736</v>
      </c>
      <c r="E788" s="22" t="s">
        <v>7696</v>
      </c>
      <c r="F788" s="22">
        <v>33.354996288700001</v>
      </c>
      <c r="G788" s="22">
        <v>44.4663441728</v>
      </c>
      <c r="H788" s="21" t="s">
        <v>1449</v>
      </c>
      <c r="I788" s="21" t="s">
        <v>1720</v>
      </c>
      <c r="J788" s="21" t="s">
        <v>1737</v>
      </c>
      <c r="K788" s="24">
        <v>62</v>
      </c>
      <c r="L788" s="24">
        <v>372</v>
      </c>
      <c r="M788" s="23">
        <v>26</v>
      </c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>
        <v>36</v>
      </c>
      <c r="Z788" s="23"/>
      <c r="AA788" s="23"/>
      <c r="AB788" s="23"/>
      <c r="AC788" s="23"/>
      <c r="AD788" s="23"/>
      <c r="AE788" s="23"/>
      <c r="AF788" s="23">
        <v>22</v>
      </c>
      <c r="AG788" s="23"/>
      <c r="AH788" s="23"/>
      <c r="AI788" s="23"/>
      <c r="AJ788" s="23">
        <v>10</v>
      </c>
      <c r="AK788" s="23">
        <v>30</v>
      </c>
      <c r="AL788" s="23"/>
      <c r="AM788" s="23"/>
      <c r="AN788" s="23"/>
      <c r="AO788" s="23">
        <v>12</v>
      </c>
      <c r="AP788" s="23"/>
      <c r="AQ788" s="23">
        <v>39</v>
      </c>
      <c r="AR788" s="23"/>
      <c r="AS788" s="23">
        <v>11</v>
      </c>
      <c r="AT788" s="23"/>
      <c r="AU788" s="14" t="str">
        <f>HYPERLINK("http://www.openstreetmap.org/?mlat=33.3504&amp;mlon=44.5072&amp;zoom=12#map=12/33.3504/44.5072","Maplink1")</f>
        <v>Maplink1</v>
      </c>
      <c r="AV788" s="14" t="str">
        <f>HYPERLINK("https://www.google.iq/maps/search/+33.3504,44.5072/@33.3504,44.5072,14z?hl=en","Maplink2")</f>
        <v>Maplink2</v>
      </c>
      <c r="AW788" s="14" t="str">
        <f>HYPERLINK("http://www.bing.com/maps/?lvl=14&amp;sty=h&amp;cp=33.3504~44.5072&amp;sp=point.33.3504_44.5072_Al Baladiyat-744","Maplink3")</f>
        <v>Maplink3</v>
      </c>
    </row>
    <row r="789" spans="1:49" ht="15" customHeight="1" x14ac:dyDescent="0.25">
      <c r="A789" s="21">
        <v>25406</v>
      </c>
      <c r="B789" s="22" t="s">
        <v>11</v>
      </c>
      <c r="C789" s="22" t="s">
        <v>1719</v>
      </c>
      <c r="D789" s="22" t="s">
        <v>1738</v>
      </c>
      <c r="E789" s="22" t="s">
        <v>7697</v>
      </c>
      <c r="F789" s="22">
        <v>33.3545795498</v>
      </c>
      <c r="G789" s="22">
        <v>44.477564094000002</v>
      </c>
      <c r="H789" s="21" t="s">
        <v>1449</v>
      </c>
      <c r="I789" s="21" t="s">
        <v>1720</v>
      </c>
      <c r="J789" s="21"/>
      <c r="K789" s="24">
        <v>28</v>
      </c>
      <c r="L789" s="24">
        <v>168</v>
      </c>
      <c r="M789" s="23">
        <v>2</v>
      </c>
      <c r="N789" s="23"/>
      <c r="O789" s="23"/>
      <c r="P789" s="23"/>
      <c r="Q789" s="23"/>
      <c r="R789" s="23">
        <v>10</v>
      </c>
      <c r="S789" s="23"/>
      <c r="T789" s="23"/>
      <c r="U789" s="23"/>
      <c r="V789" s="23"/>
      <c r="W789" s="23"/>
      <c r="X789" s="23"/>
      <c r="Y789" s="23"/>
      <c r="Z789" s="23"/>
      <c r="AA789" s="23">
        <v>16</v>
      </c>
      <c r="AB789" s="23"/>
      <c r="AC789" s="23"/>
      <c r="AD789" s="23"/>
      <c r="AE789" s="23"/>
      <c r="AF789" s="23">
        <v>7</v>
      </c>
      <c r="AG789" s="23"/>
      <c r="AH789" s="23"/>
      <c r="AI789" s="23"/>
      <c r="AJ789" s="23"/>
      <c r="AK789" s="23">
        <v>21</v>
      </c>
      <c r="AL789" s="23"/>
      <c r="AM789" s="23"/>
      <c r="AN789" s="23"/>
      <c r="AO789" s="23"/>
      <c r="AP789" s="23"/>
      <c r="AQ789" s="23">
        <v>14</v>
      </c>
      <c r="AR789" s="23">
        <v>5</v>
      </c>
      <c r="AS789" s="23">
        <v>9</v>
      </c>
      <c r="AT789" s="23"/>
      <c r="AU789" s="14" t="str">
        <f>HYPERLINK("http://www.openstreetmap.org/?mlat=33.3504&amp;mlon=44.5071&amp;zoom=12#map=12/33.3504/44.5071","Maplink1")</f>
        <v>Maplink1</v>
      </c>
      <c r="AV789" s="14" t="str">
        <f>HYPERLINK("https://www.google.iq/maps/search/+33.3504,44.5071/@33.3504,44.5071,14z?hl=en","Maplink2")</f>
        <v>Maplink2</v>
      </c>
      <c r="AW789" s="14" t="str">
        <f>HYPERLINK("http://www.bing.com/maps/?lvl=14&amp;sty=h&amp;cp=33.3504~44.5071&amp;sp=point.33.3504_44.5071_Al Baladiyat-746","Maplink3")</f>
        <v>Maplink3</v>
      </c>
    </row>
    <row r="790" spans="1:49" ht="15" customHeight="1" x14ac:dyDescent="0.25">
      <c r="A790" s="21">
        <v>22816</v>
      </c>
      <c r="B790" s="22" t="s">
        <v>11</v>
      </c>
      <c r="C790" s="22" t="s">
        <v>1719</v>
      </c>
      <c r="D790" s="22" t="s">
        <v>8404</v>
      </c>
      <c r="E790" s="22" t="s">
        <v>8405</v>
      </c>
      <c r="F790" s="22">
        <v>33.356918789399998</v>
      </c>
      <c r="G790" s="22">
        <v>44.425820418299999</v>
      </c>
      <c r="H790" s="21" t="s">
        <v>1449</v>
      </c>
      <c r="I790" s="21" t="s">
        <v>1720</v>
      </c>
      <c r="J790" s="21" t="s">
        <v>1857</v>
      </c>
      <c r="K790" s="24">
        <v>100</v>
      </c>
      <c r="L790" s="24">
        <v>600</v>
      </c>
      <c r="M790" s="23">
        <v>65</v>
      </c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>
        <v>25</v>
      </c>
      <c r="Z790" s="23"/>
      <c r="AA790" s="23">
        <v>10</v>
      </c>
      <c r="AB790" s="23"/>
      <c r="AC790" s="23"/>
      <c r="AD790" s="23"/>
      <c r="AE790" s="23"/>
      <c r="AF790" s="23">
        <v>26</v>
      </c>
      <c r="AG790" s="23"/>
      <c r="AH790" s="23"/>
      <c r="AI790" s="23"/>
      <c r="AJ790" s="23"/>
      <c r="AK790" s="23">
        <v>74</v>
      </c>
      <c r="AL790" s="23"/>
      <c r="AM790" s="23"/>
      <c r="AN790" s="23"/>
      <c r="AO790" s="23"/>
      <c r="AP790" s="23">
        <v>24</v>
      </c>
      <c r="AQ790" s="23">
        <v>16</v>
      </c>
      <c r="AR790" s="23">
        <v>30</v>
      </c>
      <c r="AS790" s="23">
        <v>26</v>
      </c>
      <c r="AT790" s="23">
        <v>4</v>
      </c>
      <c r="AU790" s="14" t="str">
        <f>HYPERLINK("http://www.openstreetmap.org/?mlat=33.3593&amp;mlon=44.4196&amp;zoom=12#map=12/33.3593/44.4196","Maplink1")</f>
        <v>Maplink1</v>
      </c>
      <c r="AV790" s="14" t="str">
        <f>HYPERLINK("https://www.google.iq/maps/search/+33.3593,44.4196/@33.3593,44.4196,14z?hl=en","Maplink2")</f>
        <v>Maplink2</v>
      </c>
      <c r="AW790" s="14" t="str">
        <f>HYPERLINK("http://www.bing.com/maps/?lvl=14&amp;sty=h&amp;cp=33.3593~44.4196&amp;sp=point.33.3593_44.4196_Idressi-505","Maplink3")</f>
        <v>Maplink3</v>
      </c>
    </row>
    <row r="791" spans="1:49" ht="15" customHeight="1" x14ac:dyDescent="0.25">
      <c r="A791" s="21">
        <v>24931</v>
      </c>
      <c r="B791" s="22" t="s">
        <v>11</v>
      </c>
      <c r="C791" s="22" t="s">
        <v>1719</v>
      </c>
      <c r="D791" s="22" t="s">
        <v>1739</v>
      </c>
      <c r="E791" s="22" t="s">
        <v>8406</v>
      </c>
      <c r="F791" s="22">
        <v>33.353101120300003</v>
      </c>
      <c r="G791" s="22">
        <v>44.424469553500003</v>
      </c>
      <c r="H791" s="21" t="s">
        <v>1449</v>
      </c>
      <c r="I791" s="21" t="s">
        <v>1720</v>
      </c>
      <c r="J791" s="21"/>
      <c r="K791" s="24">
        <v>40</v>
      </c>
      <c r="L791" s="24">
        <v>240</v>
      </c>
      <c r="M791" s="23">
        <v>16</v>
      </c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>
        <v>17</v>
      </c>
      <c r="Z791" s="23"/>
      <c r="AA791" s="23">
        <v>7</v>
      </c>
      <c r="AB791" s="23"/>
      <c r="AC791" s="23"/>
      <c r="AD791" s="23"/>
      <c r="AE791" s="23"/>
      <c r="AF791" s="23">
        <v>21</v>
      </c>
      <c r="AG791" s="23"/>
      <c r="AH791" s="23"/>
      <c r="AI791" s="23"/>
      <c r="AJ791" s="23"/>
      <c r="AK791" s="23">
        <v>19</v>
      </c>
      <c r="AL791" s="23"/>
      <c r="AM791" s="23"/>
      <c r="AN791" s="23"/>
      <c r="AO791" s="23"/>
      <c r="AP791" s="23">
        <v>15</v>
      </c>
      <c r="AQ791" s="23">
        <v>9</v>
      </c>
      <c r="AR791" s="23">
        <v>8</v>
      </c>
      <c r="AS791" s="23">
        <v>8</v>
      </c>
      <c r="AT791" s="23"/>
      <c r="AU791" s="14" t="str">
        <f>HYPERLINK("http://www.openstreetmap.org/?mlat=33.3519&amp;mlon=44.43&amp;zoom=12#map=12/33.3519/44.43","Maplink1")</f>
        <v>Maplink1</v>
      </c>
      <c r="AV791" s="14" t="str">
        <f>HYPERLINK("https://www.google.iq/maps/search/+33.3519,44.43/@33.3519,44.43,14z?hl=en","Maplink2")</f>
        <v>Maplink2</v>
      </c>
      <c r="AW791" s="14" t="str">
        <f>HYPERLINK("http://www.bing.com/maps/?lvl=14&amp;sty=h&amp;cp=33.3519~44.43&amp;sp=point.33.3519_44.43_Al Edreesiy-507","Maplink3")</f>
        <v>Maplink3</v>
      </c>
    </row>
    <row r="792" spans="1:49" ht="15" customHeight="1" x14ac:dyDescent="0.25">
      <c r="A792" s="21">
        <v>21576</v>
      </c>
      <c r="B792" s="22" t="s">
        <v>11</v>
      </c>
      <c r="C792" s="22" t="s">
        <v>1719</v>
      </c>
      <c r="D792" s="22" t="s">
        <v>7531</v>
      </c>
      <c r="E792" s="22" t="s">
        <v>8180</v>
      </c>
      <c r="F792" s="22">
        <v>33.339153462600002</v>
      </c>
      <c r="G792" s="22">
        <v>44.501385930200001</v>
      </c>
      <c r="H792" s="21" t="s">
        <v>1449</v>
      </c>
      <c r="I792" s="21" t="s">
        <v>1720</v>
      </c>
      <c r="J792" s="21" t="s">
        <v>1740</v>
      </c>
      <c r="K792" s="24">
        <v>165</v>
      </c>
      <c r="L792" s="24">
        <v>990</v>
      </c>
      <c r="M792" s="23">
        <v>42</v>
      </c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>
        <v>100</v>
      </c>
      <c r="Z792" s="23"/>
      <c r="AA792" s="23">
        <v>23</v>
      </c>
      <c r="AB792" s="23"/>
      <c r="AC792" s="23"/>
      <c r="AD792" s="23"/>
      <c r="AE792" s="23"/>
      <c r="AF792" s="23">
        <v>91</v>
      </c>
      <c r="AG792" s="23"/>
      <c r="AH792" s="23"/>
      <c r="AI792" s="23"/>
      <c r="AJ792" s="23"/>
      <c r="AK792" s="23">
        <v>74</v>
      </c>
      <c r="AL792" s="23"/>
      <c r="AM792" s="23"/>
      <c r="AN792" s="23"/>
      <c r="AO792" s="23"/>
      <c r="AP792" s="23">
        <v>32</v>
      </c>
      <c r="AQ792" s="23">
        <v>42</v>
      </c>
      <c r="AR792" s="23">
        <v>60</v>
      </c>
      <c r="AS792" s="23">
        <v>31</v>
      </c>
      <c r="AT792" s="23"/>
      <c r="AU792" s="14" t="str">
        <f>HYPERLINK("http://www.openstreetmap.org/?mlat=33.3354&amp;mlon=44.5127&amp;zoom=12#map=12/33.3354/44.5127","Maplink1")</f>
        <v>Maplink1</v>
      </c>
      <c r="AV792" s="14" t="str">
        <f>HYPERLINK("https://www.google.iq/maps/search/+33.3354,44.5127/@33.3354,44.5127,14z?hl=en","Maplink2")</f>
        <v>Maplink2</v>
      </c>
      <c r="AW792" s="14" t="str">
        <f>HYPERLINK("http://www.bing.com/maps/?lvl=14&amp;sty=h&amp;cp=33.3354~44.5127&amp;sp=point.33.3354_44.5127_Al Fudhiliyah -753","Maplink3")</f>
        <v>Maplink3</v>
      </c>
    </row>
    <row r="793" spans="1:49" ht="15" customHeight="1" x14ac:dyDescent="0.25">
      <c r="A793" s="21">
        <v>23286</v>
      </c>
      <c r="B793" s="22" t="s">
        <v>11</v>
      </c>
      <c r="C793" s="22" t="s">
        <v>1719</v>
      </c>
      <c r="D793" s="22" t="s">
        <v>7402</v>
      </c>
      <c r="E793" s="22" t="s">
        <v>7698</v>
      </c>
      <c r="F793" s="22">
        <v>33.3382040308</v>
      </c>
      <c r="G793" s="22">
        <v>44.410480993999997</v>
      </c>
      <c r="H793" s="21" t="s">
        <v>1449</v>
      </c>
      <c r="I793" s="21" t="s">
        <v>1720</v>
      </c>
      <c r="J793" s="21" t="s">
        <v>1721</v>
      </c>
      <c r="K793" s="24">
        <v>113</v>
      </c>
      <c r="L793" s="24">
        <v>678</v>
      </c>
      <c r="M793" s="23">
        <v>113</v>
      </c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>
        <v>5</v>
      </c>
      <c r="AG793" s="23"/>
      <c r="AH793" s="23"/>
      <c r="AI793" s="23"/>
      <c r="AJ793" s="23">
        <v>33</v>
      </c>
      <c r="AK793" s="23"/>
      <c r="AL793" s="23">
        <v>75</v>
      </c>
      <c r="AM793" s="23"/>
      <c r="AN793" s="23"/>
      <c r="AO793" s="23"/>
      <c r="AP793" s="23"/>
      <c r="AQ793" s="23">
        <v>9</v>
      </c>
      <c r="AR793" s="23"/>
      <c r="AS793" s="23">
        <v>104</v>
      </c>
      <c r="AT793" s="23"/>
      <c r="AU793" s="14" t="str">
        <f>HYPERLINK("http://www.openstreetmap.org/?mlat=33.3112&amp;mlon=44.4402&amp;zoom=12#map=12/33.3112/44.4402","Maplink1")</f>
        <v>Maplink1</v>
      </c>
      <c r="AV793" s="14" t="str">
        <f>HYPERLINK("https://www.google.iq/maps/search/+33.3112,44.4402/@33.3112,44.4402,14z?hl=en","Maplink2")</f>
        <v>Maplink2</v>
      </c>
      <c r="AW793" s="14" t="str">
        <f>HYPERLINK("http://www.bing.com/maps/?lvl=14&amp;sty=h&amp;cp=33.3112~44.4402&amp;sp=point.33.3112_44.4402_ Al Gilani - 123","Maplink3")</f>
        <v>Maplink3</v>
      </c>
    </row>
    <row r="794" spans="1:49" ht="15" customHeight="1" x14ac:dyDescent="0.25">
      <c r="A794" s="21">
        <v>22772</v>
      </c>
      <c r="B794" s="22" t="s">
        <v>11</v>
      </c>
      <c r="C794" s="22" t="s">
        <v>1719</v>
      </c>
      <c r="D794" s="22" t="s">
        <v>8407</v>
      </c>
      <c r="E794" s="22" t="s">
        <v>8408</v>
      </c>
      <c r="F794" s="22">
        <v>33.337494551900001</v>
      </c>
      <c r="G794" s="22">
        <v>44.4056158199</v>
      </c>
      <c r="H794" s="21" t="s">
        <v>1449</v>
      </c>
      <c r="I794" s="21" t="s">
        <v>1720</v>
      </c>
      <c r="J794" s="21" t="s">
        <v>1744</v>
      </c>
      <c r="K794" s="24">
        <v>8</v>
      </c>
      <c r="L794" s="24">
        <v>48</v>
      </c>
      <c r="M794" s="23"/>
      <c r="N794" s="23"/>
      <c r="O794" s="23"/>
      <c r="P794" s="23"/>
      <c r="Q794" s="23"/>
      <c r="R794" s="23">
        <v>4</v>
      </c>
      <c r="S794" s="23"/>
      <c r="T794" s="23"/>
      <c r="U794" s="23"/>
      <c r="V794" s="23"/>
      <c r="W794" s="23"/>
      <c r="X794" s="23"/>
      <c r="Y794" s="23">
        <v>3</v>
      </c>
      <c r="Z794" s="23"/>
      <c r="AA794" s="23">
        <v>1</v>
      </c>
      <c r="AB794" s="23"/>
      <c r="AC794" s="23"/>
      <c r="AD794" s="23"/>
      <c r="AE794" s="23"/>
      <c r="AF794" s="23">
        <v>2</v>
      </c>
      <c r="AG794" s="23"/>
      <c r="AH794" s="23"/>
      <c r="AI794" s="23"/>
      <c r="AJ794" s="23"/>
      <c r="AK794" s="23">
        <v>6</v>
      </c>
      <c r="AL794" s="23"/>
      <c r="AM794" s="23"/>
      <c r="AN794" s="23"/>
      <c r="AO794" s="23"/>
      <c r="AP794" s="23">
        <v>3</v>
      </c>
      <c r="AQ794" s="23">
        <v>5</v>
      </c>
      <c r="AR794" s="23"/>
      <c r="AS794" s="23"/>
      <c r="AT794" s="23"/>
      <c r="AU794" s="14" t="str">
        <f>HYPERLINK("http://www.openstreetmap.org/?mlat=33.3578&amp;mlon=44.4089&amp;zoom=12#map=12/33.3578/44.4089","Maplink1")</f>
        <v>Maplink1</v>
      </c>
      <c r="AV794" s="14" t="str">
        <f>HYPERLINK("https://www.google.iq/maps/search/+33.3578,44.4089/@33.3578,44.4089,14z?hl=en","Maplink2")</f>
        <v>Maplink2</v>
      </c>
      <c r="AW794" s="14" t="str">
        <f>HYPERLINK("http://www.bing.com/maps/?lvl=14&amp;sty=h&amp;cp=33.3578~44.4089&amp;sp=point.33.3578_44.4089_Al Jumhori-Mahala 111","Maplink3")</f>
        <v>Maplink3</v>
      </c>
    </row>
    <row r="795" spans="1:49" ht="15" customHeight="1" x14ac:dyDescent="0.25">
      <c r="A795" s="21">
        <v>24942</v>
      </c>
      <c r="B795" s="22" t="s">
        <v>11</v>
      </c>
      <c r="C795" s="22" t="s">
        <v>1719</v>
      </c>
      <c r="D795" s="22" t="s">
        <v>8409</v>
      </c>
      <c r="E795" s="22" t="s">
        <v>8410</v>
      </c>
      <c r="F795" s="22">
        <v>33.332736218199997</v>
      </c>
      <c r="G795" s="22">
        <v>44.410477466899998</v>
      </c>
      <c r="H795" s="21" t="s">
        <v>1449</v>
      </c>
      <c r="I795" s="21" t="s">
        <v>1720</v>
      </c>
      <c r="J795" s="21"/>
      <c r="K795" s="24">
        <v>3</v>
      </c>
      <c r="L795" s="24">
        <v>18</v>
      </c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>
        <v>3</v>
      </c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>
        <v>3</v>
      </c>
      <c r="AL795" s="23"/>
      <c r="AM795" s="23"/>
      <c r="AN795" s="23"/>
      <c r="AO795" s="23"/>
      <c r="AP795" s="23">
        <v>2</v>
      </c>
      <c r="AQ795" s="23"/>
      <c r="AR795" s="23">
        <v>1</v>
      </c>
      <c r="AS795" s="23"/>
      <c r="AT795" s="23"/>
      <c r="AU795" s="14" t="str">
        <f>HYPERLINK("http://www.openstreetmap.org/?mlat=33.3392&amp;mlon=44.3964&amp;zoom=12#map=12/33.3392/44.3964","Maplink1")</f>
        <v>Maplink1</v>
      </c>
      <c r="AV795" s="14" t="str">
        <f>HYPERLINK("https://www.google.iq/maps/search/+33.3392,44.3964/@33.3392,44.3964,14z?hl=en","Maplink2")</f>
        <v>Maplink2</v>
      </c>
      <c r="AW795" s="14" t="str">
        <f>HYPERLINK("http://www.bing.com/maps/?lvl=14&amp;sty=h&amp;cp=33.3392~44.3964&amp;sp=point.33.3392_44.3964_Al Geumhoriah-109","Maplink3")</f>
        <v>Maplink3</v>
      </c>
    </row>
    <row r="796" spans="1:49" ht="15" customHeight="1" x14ac:dyDescent="0.25">
      <c r="A796" s="21">
        <v>24943</v>
      </c>
      <c r="B796" s="22" t="s">
        <v>11</v>
      </c>
      <c r="C796" s="22" t="s">
        <v>1719</v>
      </c>
      <c r="D796" s="22" t="s">
        <v>8411</v>
      </c>
      <c r="E796" s="22" t="s">
        <v>8412</v>
      </c>
      <c r="F796" s="22">
        <v>33.339869978999999</v>
      </c>
      <c r="G796" s="22">
        <v>44.402138087200001</v>
      </c>
      <c r="H796" s="21" t="s">
        <v>1449</v>
      </c>
      <c r="I796" s="21" t="s">
        <v>1720</v>
      </c>
      <c r="J796" s="21"/>
      <c r="K796" s="24">
        <v>7</v>
      </c>
      <c r="L796" s="24">
        <v>42</v>
      </c>
      <c r="M796" s="23">
        <v>4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>
        <v>3</v>
      </c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>
        <v>7</v>
      </c>
      <c r="AL796" s="23"/>
      <c r="AM796" s="23"/>
      <c r="AN796" s="23"/>
      <c r="AO796" s="23"/>
      <c r="AP796" s="23">
        <v>3</v>
      </c>
      <c r="AQ796" s="23"/>
      <c r="AR796" s="23"/>
      <c r="AS796" s="23">
        <v>4</v>
      </c>
      <c r="AT796" s="23"/>
      <c r="AU796" s="14" t="str">
        <f>HYPERLINK("http://www.openstreetmap.org/?mlat=33.3393&amp;mlon=44.3959&amp;zoom=12#map=12/33.3393/44.3959","Maplink1")</f>
        <v>Maplink1</v>
      </c>
      <c r="AV796" s="14" t="str">
        <f>HYPERLINK("https://www.google.iq/maps/search/+33.3393,44.3959/@33.3393,44.3959,14z?hl=en","Maplink2")</f>
        <v>Maplink2</v>
      </c>
      <c r="AW796" s="14" t="str">
        <f>HYPERLINK("http://www.bing.com/maps/?lvl=14&amp;sty=h&amp;cp=33.3393~44.3959&amp;sp=point.33.3393_44.3959_Al Geumhoriah-113","Maplink3")</f>
        <v>Maplink3</v>
      </c>
    </row>
    <row r="797" spans="1:49" ht="15" customHeight="1" x14ac:dyDescent="0.25">
      <c r="A797" s="21">
        <v>24944</v>
      </c>
      <c r="B797" s="22" t="s">
        <v>11</v>
      </c>
      <c r="C797" s="22" t="s">
        <v>1719</v>
      </c>
      <c r="D797" s="22" t="s">
        <v>8413</v>
      </c>
      <c r="E797" s="22" t="s">
        <v>8414</v>
      </c>
      <c r="F797" s="22">
        <v>33.3442195039</v>
      </c>
      <c r="G797" s="22">
        <v>44.395319489400002</v>
      </c>
      <c r="H797" s="21" t="s">
        <v>1449</v>
      </c>
      <c r="I797" s="21" t="s">
        <v>1720</v>
      </c>
      <c r="J797" s="21"/>
      <c r="K797" s="24">
        <v>4</v>
      </c>
      <c r="L797" s="24">
        <v>24</v>
      </c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>
        <v>4</v>
      </c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>
        <v>4</v>
      </c>
      <c r="AL797" s="23"/>
      <c r="AM797" s="23"/>
      <c r="AN797" s="23"/>
      <c r="AO797" s="23"/>
      <c r="AP797" s="23">
        <v>4</v>
      </c>
      <c r="AQ797" s="23"/>
      <c r="AR797" s="23"/>
      <c r="AS797" s="23"/>
      <c r="AT797" s="23"/>
      <c r="AU797" s="14" t="str">
        <f>HYPERLINK("http://www.openstreetmap.org/?mlat=33.3393&amp;mlon=44.3962&amp;zoom=12#map=12/33.3393/44.3962","Maplink1")</f>
        <v>Maplink1</v>
      </c>
      <c r="AV797" s="14" t="str">
        <f>HYPERLINK("https://www.google.iq/maps/search/+33.3393,44.3962/@33.3393,44.3962,14z?hl=en","Maplink2")</f>
        <v>Maplink2</v>
      </c>
      <c r="AW797" s="14" t="str">
        <f>HYPERLINK("http://www.bing.com/maps/?lvl=14&amp;sty=h&amp;cp=33.3393~44.3962&amp;sp=point.33.3393_44.3962_Al Geumhoriah-115","Maplink3")</f>
        <v>Maplink3</v>
      </c>
    </row>
    <row r="798" spans="1:49" ht="15" customHeight="1" x14ac:dyDescent="0.25">
      <c r="A798" s="21">
        <v>21744</v>
      </c>
      <c r="B798" s="22" t="s">
        <v>11</v>
      </c>
      <c r="C798" s="22" t="s">
        <v>1719</v>
      </c>
      <c r="D798" s="22" t="s">
        <v>8415</v>
      </c>
      <c r="E798" s="22" t="s">
        <v>8416</v>
      </c>
      <c r="F798" s="22">
        <v>33.3460929831</v>
      </c>
      <c r="G798" s="22">
        <v>44.392671362900003</v>
      </c>
      <c r="H798" s="21" t="s">
        <v>1449</v>
      </c>
      <c r="I798" s="21" t="s">
        <v>1720</v>
      </c>
      <c r="J798" s="21" t="s">
        <v>1858</v>
      </c>
      <c r="K798" s="24">
        <v>32</v>
      </c>
      <c r="L798" s="24">
        <v>192</v>
      </c>
      <c r="M798" s="23">
        <v>6</v>
      </c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>
        <v>22</v>
      </c>
      <c r="Z798" s="23"/>
      <c r="AA798" s="23">
        <v>4</v>
      </c>
      <c r="AB798" s="23"/>
      <c r="AC798" s="23"/>
      <c r="AD798" s="23"/>
      <c r="AE798" s="23"/>
      <c r="AF798" s="23">
        <v>8</v>
      </c>
      <c r="AG798" s="23"/>
      <c r="AH798" s="23"/>
      <c r="AI798" s="23"/>
      <c r="AJ798" s="23"/>
      <c r="AK798" s="23">
        <v>24</v>
      </c>
      <c r="AL798" s="23"/>
      <c r="AM798" s="23"/>
      <c r="AN798" s="23"/>
      <c r="AO798" s="23">
        <v>6</v>
      </c>
      <c r="AP798" s="23">
        <v>19</v>
      </c>
      <c r="AQ798" s="23">
        <v>3</v>
      </c>
      <c r="AR798" s="23">
        <v>3</v>
      </c>
      <c r="AS798" s="23">
        <v>1</v>
      </c>
      <c r="AT798" s="23"/>
      <c r="AU798" s="14" t="str">
        <f>HYPERLINK("http://www.openstreetmap.org/?mlat=33.3445&amp;mlon=44.3918&amp;zoom=12#map=12/33.3445/44.3918","Maplink1")</f>
        <v>Maplink1</v>
      </c>
      <c r="AV798" s="14" t="str">
        <f>HYPERLINK("https://www.google.iq/maps/search/+33.3445,44.3918/@33.3445,44.3918,14z?hl=en","Maplink2")</f>
        <v>Maplink2</v>
      </c>
      <c r="AW798" s="14" t="str">
        <f>HYPERLINK("http://www.bing.com/maps/?lvl=14&amp;sty=h&amp;cp=33.3445~44.3918&amp;sp=point.33.3445_44.3918_Jumhoriya-mahalla 117","Maplink3")</f>
        <v>Maplink3</v>
      </c>
    </row>
    <row r="799" spans="1:49" ht="15" customHeight="1" x14ac:dyDescent="0.25">
      <c r="A799" s="21">
        <v>21630</v>
      </c>
      <c r="B799" s="22" t="s">
        <v>11</v>
      </c>
      <c r="C799" s="22" t="s">
        <v>1719</v>
      </c>
      <c r="D799" s="22" t="s">
        <v>8417</v>
      </c>
      <c r="E799" s="22" t="s">
        <v>8418</v>
      </c>
      <c r="F799" s="22">
        <v>33.348265294699999</v>
      </c>
      <c r="G799" s="22">
        <v>44.389618422600002</v>
      </c>
      <c r="H799" s="21" t="s">
        <v>1449</v>
      </c>
      <c r="I799" s="21" t="s">
        <v>1720</v>
      </c>
      <c r="J799" s="21" t="s">
        <v>1745</v>
      </c>
      <c r="K799" s="24">
        <v>16</v>
      </c>
      <c r="L799" s="24">
        <v>96</v>
      </c>
      <c r="M799" s="23">
        <v>8</v>
      </c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>
        <v>8</v>
      </c>
      <c r="Z799" s="23"/>
      <c r="AA799" s="23"/>
      <c r="AB799" s="23"/>
      <c r="AC799" s="23"/>
      <c r="AD799" s="23"/>
      <c r="AE799" s="23"/>
      <c r="AF799" s="23">
        <v>3</v>
      </c>
      <c r="AG799" s="23"/>
      <c r="AH799" s="23"/>
      <c r="AI799" s="23"/>
      <c r="AJ799" s="23"/>
      <c r="AK799" s="23">
        <v>13</v>
      </c>
      <c r="AL799" s="23"/>
      <c r="AM799" s="23"/>
      <c r="AN799" s="23"/>
      <c r="AO799" s="23"/>
      <c r="AP799" s="23"/>
      <c r="AQ799" s="23">
        <v>15</v>
      </c>
      <c r="AR799" s="23">
        <v>1</v>
      </c>
      <c r="AS799" s="23"/>
      <c r="AT799" s="23"/>
      <c r="AU799" s="14" t="str">
        <f>HYPERLINK("http://www.openstreetmap.org/?mlat=33.3433&amp;mlon=44.3957&amp;zoom=12#map=12/33.3433/44.3957","Maplink1")</f>
        <v>Maplink1</v>
      </c>
      <c r="AV799" s="14" t="str">
        <f>HYPERLINK("https://www.google.iq/maps/search/+33.3433,44.3957/@33.3433,44.3957,14z?hl=en","Maplink2")</f>
        <v>Maplink2</v>
      </c>
      <c r="AW799" s="14" t="str">
        <f>HYPERLINK("http://www.bing.com/maps/?lvl=14&amp;sty=h&amp;cp=33.3433~44.3957&amp;sp=point.33.3433_44.3957_Al Jumhoriyah (Mahala-119)","Maplink3")</f>
        <v>Maplink3</v>
      </c>
    </row>
    <row r="800" spans="1:49" ht="15" customHeight="1" x14ac:dyDescent="0.25">
      <c r="A800" s="21">
        <v>22056</v>
      </c>
      <c r="B800" s="22" t="s">
        <v>11</v>
      </c>
      <c r="C800" s="22" t="s">
        <v>1719</v>
      </c>
      <c r="D800" s="22" t="s">
        <v>8419</v>
      </c>
      <c r="E800" s="22" t="s">
        <v>7706</v>
      </c>
      <c r="F800" s="22">
        <v>33.350510656899999</v>
      </c>
      <c r="G800" s="22">
        <v>44.506744013800002</v>
      </c>
      <c r="H800" s="21" t="s">
        <v>1449</v>
      </c>
      <c r="I800" s="21" t="s">
        <v>1720</v>
      </c>
      <c r="J800" s="21" t="s">
        <v>1746</v>
      </c>
      <c r="K800" s="24">
        <v>49</v>
      </c>
      <c r="L800" s="24">
        <v>294</v>
      </c>
      <c r="M800" s="23">
        <v>21</v>
      </c>
      <c r="N800" s="23"/>
      <c r="O800" s="23"/>
      <c r="P800" s="23"/>
      <c r="Q800" s="23"/>
      <c r="R800" s="23"/>
      <c r="S800" s="23"/>
      <c r="T800" s="23"/>
      <c r="U800" s="23">
        <v>3</v>
      </c>
      <c r="V800" s="23"/>
      <c r="W800" s="23"/>
      <c r="X800" s="23"/>
      <c r="Y800" s="23">
        <v>25</v>
      </c>
      <c r="Z800" s="23"/>
      <c r="AA800" s="23"/>
      <c r="AB800" s="23"/>
      <c r="AC800" s="23"/>
      <c r="AD800" s="23"/>
      <c r="AE800" s="23"/>
      <c r="AF800" s="23">
        <v>20</v>
      </c>
      <c r="AG800" s="23"/>
      <c r="AH800" s="23"/>
      <c r="AI800" s="23"/>
      <c r="AJ800" s="23"/>
      <c r="AK800" s="23">
        <v>29</v>
      </c>
      <c r="AL800" s="23"/>
      <c r="AM800" s="23"/>
      <c r="AN800" s="23"/>
      <c r="AO800" s="23">
        <v>10</v>
      </c>
      <c r="AP800" s="23"/>
      <c r="AQ800" s="23">
        <v>8</v>
      </c>
      <c r="AR800" s="23">
        <v>20</v>
      </c>
      <c r="AS800" s="23">
        <v>11</v>
      </c>
      <c r="AT800" s="23"/>
      <c r="AU800" s="14" t="str">
        <f>HYPERLINK("http://www.openstreetmap.org/?mlat=33.3542&amp;mlon=44.5124&amp;zoom=12#map=12/33.3542/44.5124","Maplink1")</f>
        <v>Maplink1</v>
      </c>
      <c r="AV800" s="14" t="str">
        <f>HYPERLINK("https://www.google.iq/maps/search/+33.3542,44.5124/@33.3542,44.5124,14z?hl=en","Maplink2")</f>
        <v>Maplink2</v>
      </c>
      <c r="AW800" s="14" t="str">
        <f>HYPERLINK("http://www.bing.com/maps/?lvl=14&amp;sty=h&amp;cp=33.3542~44.5124&amp;sp=point.33.3542_44.5124_Al Kamaliya (Mahla 757)","Maplink3")</f>
        <v>Maplink3</v>
      </c>
    </row>
    <row r="801" spans="1:49" ht="15" customHeight="1" x14ac:dyDescent="0.25">
      <c r="A801" s="21">
        <v>22145</v>
      </c>
      <c r="B801" s="22" t="s">
        <v>11</v>
      </c>
      <c r="C801" s="22" t="s">
        <v>1719</v>
      </c>
      <c r="D801" s="22" t="s">
        <v>8420</v>
      </c>
      <c r="E801" s="22" t="s">
        <v>7708</v>
      </c>
      <c r="F801" s="22">
        <v>33.3531647804</v>
      </c>
      <c r="G801" s="22">
        <v>44.514683949000002</v>
      </c>
      <c r="H801" s="21" t="s">
        <v>1449</v>
      </c>
      <c r="I801" s="21" t="s">
        <v>1720</v>
      </c>
      <c r="J801" s="21" t="s">
        <v>1748</v>
      </c>
      <c r="K801" s="24">
        <v>55</v>
      </c>
      <c r="L801" s="24">
        <v>330</v>
      </c>
      <c r="M801" s="23">
        <v>18</v>
      </c>
      <c r="N801" s="23"/>
      <c r="O801" s="23"/>
      <c r="P801" s="23"/>
      <c r="Q801" s="23"/>
      <c r="R801" s="23">
        <v>9</v>
      </c>
      <c r="S801" s="23"/>
      <c r="T801" s="23"/>
      <c r="U801" s="23"/>
      <c r="V801" s="23"/>
      <c r="W801" s="23"/>
      <c r="X801" s="23"/>
      <c r="Y801" s="23">
        <v>28</v>
      </c>
      <c r="Z801" s="23"/>
      <c r="AA801" s="23"/>
      <c r="AB801" s="23"/>
      <c r="AC801" s="23"/>
      <c r="AD801" s="23"/>
      <c r="AE801" s="23"/>
      <c r="AF801" s="23">
        <v>26</v>
      </c>
      <c r="AG801" s="23"/>
      <c r="AH801" s="23"/>
      <c r="AI801" s="23"/>
      <c r="AJ801" s="23"/>
      <c r="AK801" s="23">
        <v>29</v>
      </c>
      <c r="AL801" s="23"/>
      <c r="AM801" s="23"/>
      <c r="AN801" s="23"/>
      <c r="AO801" s="23">
        <v>4</v>
      </c>
      <c r="AP801" s="23"/>
      <c r="AQ801" s="23">
        <v>20</v>
      </c>
      <c r="AR801" s="23">
        <v>21</v>
      </c>
      <c r="AS801" s="23">
        <v>10</v>
      </c>
      <c r="AT801" s="23"/>
      <c r="AU801" s="14" t="str">
        <f>HYPERLINK("http://www.openstreetmap.org/?mlat=33.3533&amp;mlon=44.5212&amp;zoom=12#map=12/33.3533/44.5212","Maplink1")</f>
        <v>Maplink1</v>
      </c>
      <c r="AV801" s="14" t="str">
        <f>HYPERLINK("https://www.google.iq/maps/search/+33.3533,44.5212/@33.3533,44.5212,14z?hl=en","Maplink2")</f>
        <v>Maplink2</v>
      </c>
      <c r="AW801" s="14" t="str">
        <f>HYPERLINK("http://www.bing.com/maps/?lvl=14&amp;sty=h&amp;cp=33.3533~44.5212&amp;sp=point.33.3533_44.5212_Al Kamaliya-Mahalla 759","Maplink3")</f>
        <v>Maplink3</v>
      </c>
    </row>
    <row r="802" spans="1:49" ht="15" customHeight="1" x14ac:dyDescent="0.25">
      <c r="A802" s="21">
        <v>22146</v>
      </c>
      <c r="B802" s="22" t="s">
        <v>11</v>
      </c>
      <c r="C802" s="22" t="s">
        <v>1719</v>
      </c>
      <c r="D802" s="22" t="s">
        <v>8421</v>
      </c>
      <c r="E802" s="22" t="s">
        <v>7709</v>
      </c>
      <c r="F802" s="22">
        <v>33.353323259299998</v>
      </c>
      <c r="G802" s="22">
        <v>44.530436651199999</v>
      </c>
      <c r="H802" s="21" t="s">
        <v>1449</v>
      </c>
      <c r="I802" s="21" t="s">
        <v>1720</v>
      </c>
      <c r="J802" s="21" t="s">
        <v>1749</v>
      </c>
      <c r="K802" s="24">
        <v>24</v>
      </c>
      <c r="L802" s="24">
        <v>144</v>
      </c>
      <c r="M802" s="23">
        <v>9</v>
      </c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>
        <v>15</v>
      </c>
      <c r="Z802" s="23"/>
      <c r="AA802" s="23"/>
      <c r="AB802" s="23"/>
      <c r="AC802" s="23"/>
      <c r="AD802" s="23"/>
      <c r="AE802" s="23"/>
      <c r="AF802" s="23">
        <v>9</v>
      </c>
      <c r="AG802" s="23"/>
      <c r="AH802" s="23"/>
      <c r="AI802" s="23"/>
      <c r="AJ802" s="23"/>
      <c r="AK802" s="23">
        <v>15</v>
      </c>
      <c r="AL802" s="23"/>
      <c r="AM802" s="23"/>
      <c r="AN802" s="23"/>
      <c r="AO802" s="23"/>
      <c r="AP802" s="23"/>
      <c r="AQ802" s="23"/>
      <c r="AR802" s="23">
        <v>15</v>
      </c>
      <c r="AS802" s="23">
        <v>9</v>
      </c>
      <c r="AT802" s="23"/>
      <c r="AU802" s="14" t="str">
        <f>HYPERLINK("http://www.openstreetmap.org/?mlat=33.3557&amp;mlon=44.5209&amp;zoom=12#map=12/33.3557/44.5209","Maplink1")</f>
        <v>Maplink1</v>
      </c>
      <c r="AV802" s="14" t="str">
        <f>HYPERLINK("https://www.google.iq/maps/search/+33.3557,44.5209/@33.3557,44.5209,14z?hl=en","Maplink2")</f>
        <v>Maplink2</v>
      </c>
      <c r="AW802" s="14" t="str">
        <f>HYPERLINK("http://www.bing.com/maps/?lvl=14&amp;sty=h&amp;cp=33.3557~44.5209&amp;sp=point.33.3557_44.5209_Al Kamaliya-Mahalla 767","Maplink3")</f>
        <v>Maplink3</v>
      </c>
    </row>
    <row r="803" spans="1:49" ht="15" customHeight="1" x14ac:dyDescent="0.25">
      <c r="A803" s="21">
        <v>24953</v>
      </c>
      <c r="B803" s="22" t="s">
        <v>11</v>
      </c>
      <c r="C803" s="22" t="s">
        <v>1719</v>
      </c>
      <c r="D803" s="22" t="s">
        <v>1747</v>
      </c>
      <c r="E803" s="22" t="s">
        <v>7707</v>
      </c>
      <c r="F803" s="22">
        <v>33.3608671203</v>
      </c>
      <c r="G803" s="22">
        <v>44.518764877000002</v>
      </c>
      <c r="H803" s="21" t="s">
        <v>1449</v>
      </c>
      <c r="I803" s="21" t="s">
        <v>1720</v>
      </c>
      <c r="J803" s="21"/>
      <c r="K803" s="24">
        <v>27</v>
      </c>
      <c r="L803" s="24">
        <v>162</v>
      </c>
      <c r="M803" s="23">
        <v>3</v>
      </c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>
        <v>24</v>
      </c>
      <c r="Z803" s="23"/>
      <c r="AA803" s="23"/>
      <c r="AB803" s="23"/>
      <c r="AC803" s="23"/>
      <c r="AD803" s="23"/>
      <c r="AE803" s="23"/>
      <c r="AF803" s="23">
        <v>21</v>
      </c>
      <c r="AG803" s="23"/>
      <c r="AH803" s="23"/>
      <c r="AI803" s="23"/>
      <c r="AJ803" s="23"/>
      <c r="AK803" s="23">
        <v>6</v>
      </c>
      <c r="AL803" s="23"/>
      <c r="AM803" s="23"/>
      <c r="AN803" s="23"/>
      <c r="AO803" s="23"/>
      <c r="AP803" s="23"/>
      <c r="AQ803" s="23"/>
      <c r="AR803" s="23">
        <v>22</v>
      </c>
      <c r="AS803" s="23">
        <v>5</v>
      </c>
      <c r="AT803" s="23"/>
      <c r="AU803" s="14" t="str">
        <f>HYPERLINK("http://www.openstreetmap.org/?mlat=33.3542&amp;mlon=44.5124&amp;zoom=12#map=12/33.3542/44.5124","Maplink1")</f>
        <v>Maplink1</v>
      </c>
      <c r="AV803" s="14" t="str">
        <f>HYPERLINK("https://www.google.iq/maps/search/+33.3542,44.5124/@33.3542,44.5124,14z?hl=en","Maplink2")</f>
        <v>Maplink2</v>
      </c>
      <c r="AW803" s="14" t="str">
        <f>HYPERLINK("http://www.bing.com/maps/?lvl=14&amp;sty=h&amp;cp=33.3542~44.5124&amp;sp=point.33.3542_44.5124_Al Kamaliya-765","Maplink3")</f>
        <v>Maplink3</v>
      </c>
    </row>
    <row r="804" spans="1:49" ht="15" customHeight="1" x14ac:dyDescent="0.25">
      <c r="A804" s="21">
        <v>24277</v>
      </c>
      <c r="B804" s="22" t="s">
        <v>11</v>
      </c>
      <c r="C804" s="22" t="s">
        <v>1719</v>
      </c>
      <c r="D804" s="22" t="s">
        <v>1751</v>
      </c>
      <c r="E804" s="22" t="s">
        <v>7710</v>
      </c>
      <c r="F804" s="22">
        <v>33.308129682900002</v>
      </c>
      <c r="G804" s="22">
        <v>44.423456297900003</v>
      </c>
      <c r="H804" s="21" t="s">
        <v>1449</v>
      </c>
      <c r="I804" s="21" t="s">
        <v>1720</v>
      </c>
      <c r="J804" s="21" t="s">
        <v>1752</v>
      </c>
      <c r="K804" s="24">
        <v>80</v>
      </c>
      <c r="L804" s="24">
        <v>480</v>
      </c>
      <c r="M804" s="23">
        <v>56</v>
      </c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>
        <v>24</v>
      </c>
      <c r="Z804" s="23"/>
      <c r="AA804" s="23"/>
      <c r="AB804" s="23"/>
      <c r="AC804" s="23"/>
      <c r="AD804" s="23"/>
      <c r="AE804" s="23"/>
      <c r="AF804" s="23">
        <v>24</v>
      </c>
      <c r="AG804" s="23"/>
      <c r="AH804" s="23"/>
      <c r="AI804" s="23"/>
      <c r="AJ804" s="23"/>
      <c r="AK804" s="23">
        <v>56</v>
      </c>
      <c r="AL804" s="23"/>
      <c r="AM804" s="23"/>
      <c r="AN804" s="23"/>
      <c r="AO804" s="23">
        <v>12</v>
      </c>
      <c r="AP804" s="23">
        <v>2</v>
      </c>
      <c r="AQ804" s="23">
        <v>28</v>
      </c>
      <c r="AR804" s="23">
        <v>23</v>
      </c>
      <c r="AS804" s="23">
        <v>15</v>
      </c>
      <c r="AT804" s="23"/>
      <c r="AU804" s="14" t="str">
        <f>HYPERLINK("http://www.openstreetmap.org/?mlat=33.3109&amp;mlon=44.4404&amp;zoom=12#map=12/33.3109/44.4404","Maplink1")</f>
        <v>Maplink1</v>
      </c>
      <c r="AV804" s="14" t="str">
        <f>HYPERLINK("https://www.google.iq/maps/search/+33.3109,44.4404/@33.3109,44.4404,14z?hl=en","Maplink2")</f>
        <v>Maplink2</v>
      </c>
      <c r="AW804" s="14" t="str">
        <f>HYPERLINK("http://www.bing.com/maps/?lvl=14&amp;sty=h&amp;cp=33.3109~44.4404&amp;sp=point.33.3109_44.4404_Al Karada-901","Maplink3")</f>
        <v>Maplink3</v>
      </c>
    </row>
    <row r="805" spans="1:49" ht="15" customHeight="1" x14ac:dyDescent="0.25">
      <c r="A805" s="21">
        <v>25928</v>
      </c>
      <c r="B805" s="22" t="s">
        <v>11</v>
      </c>
      <c r="C805" s="22" t="s">
        <v>1719</v>
      </c>
      <c r="D805" s="22" t="s">
        <v>1753</v>
      </c>
      <c r="E805" s="22" t="s">
        <v>7711</v>
      </c>
      <c r="F805" s="22">
        <v>33.302964160999998</v>
      </c>
      <c r="G805" s="22">
        <v>44.433887696500001</v>
      </c>
      <c r="H805" s="21" t="s">
        <v>1449</v>
      </c>
      <c r="I805" s="21" t="s">
        <v>1720</v>
      </c>
      <c r="J805" s="21"/>
      <c r="K805" s="24">
        <v>138</v>
      </c>
      <c r="L805" s="24">
        <v>828</v>
      </c>
      <c r="M805" s="23">
        <v>78</v>
      </c>
      <c r="N805" s="23"/>
      <c r="O805" s="23"/>
      <c r="P805" s="23"/>
      <c r="Q805" s="23"/>
      <c r="R805" s="23">
        <v>4</v>
      </c>
      <c r="S805" s="23"/>
      <c r="T805" s="23"/>
      <c r="U805" s="23"/>
      <c r="V805" s="23"/>
      <c r="W805" s="23"/>
      <c r="X805" s="23"/>
      <c r="Y805" s="23">
        <v>56</v>
      </c>
      <c r="Z805" s="23"/>
      <c r="AA805" s="23"/>
      <c r="AB805" s="23"/>
      <c r="AC805" s="23"/>
      <c r="AD805" s="23"/>
      <c r="AE805" s="23"/>
      <c r="AF805" s="23">
        <v>29</v>
      </c>
      <c r="AG805" s="23"/>
      <c r="AH805" s="23"/>
      <c r="AI805" s="23"/>
      <c r="AJ805" s="23"/>
      <c r="AK805" s="23">
        <v>109</v>
      </c>
      <c r="AL805" s="23"/>
      <c r="AM805" s="23"/>
      <c r="AN805" s="23"/>
      <c r="AO805" s="23"/>
      <c r="AP805" s="23">
        <v>26</v>
      </c>
      <c r="AQ805" s="23">
        <v>39</v>
      </c>
      <c r="AR805" s="23">
        <v>29</v>
      </c>
      <c r="AS805" s="23">
        <v>44</v>
      </c>
      <c r="AT805" s="23"/>
      <c r="AU805" s="14" t="str">
        <f>HYPERLINK("http://www.openstreetmap.org/?mlat=33.2959&amp;mlon=44.4164&amp;zoom=12#map=12/33.2959/44.4164","Maplink1")</f>
        <v>Maplink1</v>
      </c>
      <c r="AV805" s="14" t="str">
        <f>HYPERLINK("https://www.google.iq/maps/search/+33.2959,44.4164/@33.2959,44.4164,14z?hl=en","Maplink2")</f>
        <v>Maplink2</v>
      </c>
      <c r="AW805" s="14" t="str">
        <f>HYPERLINK("http://www.bing.com/maps/?lvl=14&amp;sty=h&amp;cp=33.2959~44.4164&amp;sp=point.33.2959_44.4164_Al Karada-903","Maplink3")</f>
        <v>Maplink3</v>
      </c>
    </row>
    <row r="806" spans="1:49" ht="15" customHeight="1" x14ac:dyDescent="0.25">
      <c r="A806" s="21">
        <v>24019</v>
      </c>
      <c r="B806" s="22" t="s">
        <v>11</v>
      </c>
      <c r="C806" s="22" t="s">
        <v>1719</v>
      </c>
      <c r="D806" s="22" t="s">
        <v>1754</v>
      </c>
      <c r="E806" s="22" t="s">
        <v>7712</v>
      </c>
      <c r="F806" s="22">
        <v>33.29933372</v>
      </c>
      <c r="G806" s="22">
        <v>44.4210109618</v>
      </c>
      <c r="H806" s="21" t="s">
        <v>1449</v>
      </c>
      <c r="I806" s="21" t="s">
        <v>1720</v>
      </c>
      <c r="J806" s="21" t="s">
        <v>1755</v>
      </c>
      <c r="K806" s="24">
        <v>38</v>
      </c>
      <c r="L806" s="24">
        <v>228</v>
      </c>
      <c r="M806" s="23">
        <v>18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>
        <v>20</v>
      </c>
      <c r="Z806" s="23"/>
      <c r="AA806" s="23"/>
      <c r="AB806" s="23"/>
      <c r="AC806" s="23"/>
      <c r="AD806" s="23"/>
      <c r="AE806" s="23"/>
      <c r="AF806" s="23">
        <v>8</v>
      </c>
      <c r="AG806" s="23"/>
      <c r="AH806" s="23"/>
      <c r="AI806" s="23"/>
      <c r="AJ806" s="23"/>
      <c r="AK806" s="23">
        <v>30</v>
      </c>
      <c r="AL806" s="23"/>
      <c r="AM806" s="23"/>
      <c r="AN806" s="23"/>
      <c r="AO806" s="23">
        <v>10</v>
      </c>
      <c r="AP806" s="23"/>
      <c r="AQ806" s="23"/>
      <c r="AR806" s="23">
        <v>18</v>
      </c>
      <c r="AS806" s="23">
        <v>10</v>
      </c>
      <c r="AT806" s="23"/>
      <c r="AU806" s="14" t="str">
        <f>HYPERLINK("http://www.openstreetmap.org/?mlat=33.296&amp;mlon=44.4165&amp;zoom=12#map=12/33.296/44.4165","Maplink1")</f>
        <v>Maplink1</v>
      </c>
      <c r="AV806" s="14" t="str">
        <f>HYPERLINK("https://www.google.iq/maps/search/+33.296,44.4165/@33.296,44.4165,14z?hl=en","Maplink2")</f>
        <v>Maplink2</v>
      </c>
      <c r="AW806" s="14" t="str">
        <f>HYPERLINK("http://www.bing.com/maps/?lvl=14&amp;sty=h&amp;cp=33.296~44.4165&amp;sp=point.33.296_44.4165_Al Karada-905","Maplink3")</f>
        <v>Maplink3</v>
      </c>
    </row>
    <row r="807" spans="1:49" ht="15" customHeight="1" x14ac:dyDescent="0.25">
      <c r="A807" s="21">
        <v>27248</v>
      </c>
      <c r="B807" s="22" t="s">
        <v>11</v>
      </c>
      <c r="C807" s="22" t="s">
        <v>1719</v>
      </c>
      <c r="D807" s="22" t="s">
        <v>7532</v>
      </c>
      <c r="E807" s="22" t="s">
        <v>1750</v>
      </c>
      <c r="F807" s="22">
        <v>33.295436209999998</v>
      </c>
      <c r="G807" s="22">
        <v>44.410134822700002</v>
      </c>
      <c r="H807" s="21" t="s">
        <v>1449</v>
      </c>
      <c r="I807" s="21" t="s">
        <v>1720</v>
      </c>
      <c r="J807" s="21"/>
      <c r="K807" s="24">
        <v>36</v>
      </c>
      <c r="L807" s="24">
        <v>216</v>
      </c>
      <c r="M807" s="23">
        <v>12</v>
      </c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>
        <v>24</v>
      </c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>
        <v>36</v>
      </c>
      <c r="AL807" s="23"/>
      <c r="AM807" s="23"/>
      <c r="AN807" s="23"/>
      <c r="AO807" s="23"/>
      <c r="AP807" s="23"/>
      <c r="AQ807" s="23">
        <v>18</v>
      </c>
      <c r="AR807" s="23"/>
      <c r="AS807" s="23">
        <v>18</v>
      </c>
      <c r="AT807" s="23"/>
      <c r="AU807" s="14" t="str">
        <f>HYPERLINK("http://www.openstreetmap.org/?mlat=33.3109&amp;mlon=44.4404&amp;zoom=12#map=12/33.3109/44.4404","Maplink1")</f>
        <v>Maplink1</v>
      </c>
      <c r="AV807" s="14" t="str">
        <f>HYPERLINK("https://www.google.iq/maps/search/+33.3109,44.4404/@33.3109,44.4404,14z?hl=en","Maplink2")</f>
        <v>Maplink2</v>
      </c>
      <c r="AW807" s="14" t="str">
        <f>HYPERLINK("http://www.bing.com/maps/?lvl=14&amp;sty=h&amp;cp=33.3109~44.4404&amp;sp=point.33.3109_44.4404_Al Karada -907","Maplink3")</f>
        <v>Maplink3</v>
      </c>
    </row>
    <row r="808" spans="1:49" ht="15" customHeight="1" x14ac:dyDescent="0.25">
      <c r="A808" s="21">
        <v>24475</v>
      </c>
      <c r="B808" s="22" t="s">
        <v>11</v>
      </c>
      <c r="C808" s="22" t="s">
        <v>1719</v>
      </c>
      <c r="D808" s="22" t="s">
        <v>8422</v>
      </c>
      <c r="E808" s="22" t="s">
        <v>7753</v>
      </c>
      <c r="F808" s="22">
        <v>33.389119768400001</v>
      </c>
      <c r="G808" s="22">
        <v>44.525942857899999</v>
      </c>
      <c r="H808" s="21" t="s">
        <v>1449</v>
      </c>
      <c r="I808" s="21" t="s">
        <v>1720</v>
      </c>
      <c r="J808" s="21"/>
      <c r="K808" s="24">
        <v>27</v>
      </c>
      <c r="L808" s="24">
        <v>162</v>
      </c>
      <c r="M808" s="23">
        <v>10</v>
      </c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>
        <v>17</v>
      </c>
      <c r="Z808" s="23"/>
      <c r="AA808" s="23"/>
      <c r="AB808" s="23"/>
      <c r="AC808" s="23"/>
      <c r="AD808" s="23"/>
      <c r="AE808" s="23"/>
      <c r="AF808" s="23">
        <v>12</v>
      </c>
      <c r="AG808" s="23"/>
      <c r="AH808" s="23"/>
      <c r="AI808" s="23"/>
      <c r="AJ808" s="23"/>
      <c r="AK808" s="23">
        <v>15</v>
      </c>
      <c r="AL808" s="23"/>
      <c r="AM808" s="23"/>
      <c r="AN808" s="23"/>
      <c r="AO808" s="23"/>
      <c r="AP808" s="23">
        <v>10</v>
      </c>
      <c r="AQ808" s="23">
        <v>7</v>
      </c>
      <c r="AR808" s="23">
        <v>7</v>
      </c>
      <c r="AS808" s="23">
        <v>3</v>
      </c>
      <c r="AT808" s="23"/>
      <c r="AU808" s="14" t="str">
        <f>HYPERLINK("http://www.openstreetmap.org/?mlat=33.4249&amp;mlon=44.5398&amp;zoom=12#map=12/33.4249/44.5398","Maplink1")</f>
        <v>Maplink1</v>
      </c>
      <c r="AV808" s="14" t="str">
        <f>HYPERLINK("https://www.google.iq/maps/search/+33.4249,44.5398/@33.4249,44.5398,14z?hl=en","Maplink2")</f>
        <v>Maplink2</v>
      </c>
      <c r="AW808" s="14" t="str">
        <f>HYPERLINK("http://www.bing.com/maps/?lvl=14&amp;sty=h&amp;cp=33.4249~44.5398&amp;sp=point.33.4249_44.5398_Maamil-Mahalla 771","Maplink3")</f>
        <v>Maplink3</v>
      </c>
    </row>
    <row r="809" spans="1:49" ht="15" customHeight="1" x14ac:dyDescent="0.25">
      <c r="A809" s="21">
        <v>21691</v>
      </c>
      <c r="B809" s="22" t="s">
        <v>11</v>
      </c>
      <c r="C809" s="22" t="s">
        <v>1719</v>
      </c>
      <c r="D809" s="22" t="s">
        <v>8423</v>
      </c>
      <c r="E809" s="22" t="s">
        <v>7714</v>
      </c>
      <c r="F809" s="22">
        <v>33.397230489400002</v>
      </c>
      <c r="G809" s="22">
        <v>44.529979790699997</v>
      </c>
      <c r="H809" s="21" t="s">
        <v>1449</v>
      </c>
      <c r="I809" s="21" t="s">
        <v>1720</v>
      </c>
      <c r="J809" s="21" t="s">
        <v>1757</v>
      </c>
      <c r="K809" s="24">
        <v>46</v>
      </c>
      <c r="L809" s="24">
        <v>276</v>
      </c>
      <c r="M809" s="23">
        <v>9</v>
      </c>
      <c r="N809" s="23"/>
      <c r="O809" s="23"/>
      <c r="P809" s="23"/>
      <c r="Q809" s="23"/>
      <c r="R809" s="23">
        <v>5</v>
      </c>
      <c r="S809" s="23"/>
      <c r="T809" s="23"/>
      <c r="U809" s="23"/>
      <c r="V809" s="23"/>
      <c r="W809" s="23"/>
      <c r="X809" s="23"/>
      <c r="Y809" s="23">
        <v>22</v>
      </c>
      <c r="Z809" s="23"/>
      <c r="AA809" s="23">
        <v>10</v>
      </c>
      <c r="AB809" s="23"/>
      <c r="AC809" s="23"/>
      <c r="AD809" s="23"/>
      <c r="AE809" s="23"/>
      <c r="AF809" s="23">
        <v>10</v>
      </c>
      <c r="AG809" s="23"/>
      <c r="AH809" s="23"/>
      <c r="AI809" s="23"/>
      <c r="AJ809" s="23"/>
      <c r="AK809" s="23">
        <v>36</v>
      </c>
      <c r="AL809" s="23"/>
      <c r="AM809" s="23"/>
      <c r="AN809" s="23"/>
      <c r="AO809" s="23"/>
      <c r="AP809" s="23"/>
      <c r="AQ809" s="23">
        <v>21</v>
      </c>
      <c r="AR809" s="23">
        <v>16</v>
      </c>
      <c r="AS809" s="23">
        <v>9</v>
      </c>
      <c r="AT809" s="23"/>
      <c r="AU809" s="14" t="str">
        <f>HYPERLINK("http://www.openstreetmap.org/?mlat=33.3893&amp;mlon=44.5325&amp;zoom=12#map=12/33.3893/44.5325","Maplink1")</f>
        <v>Maplink1</v>
      </c>
      <c r="AV809" s="14" t="str">
        <f>HYPERLINK("https://www.google.iq/maps/search/+33.3893,44.5325/@33.3893,44.5325,14z?hl=en","Maplink2")</f>
        <v>Maplink2</v>
      </c>
      <c r="AW809" s="14" t="str">
        <f>HYPERLINK("http://www.bing.com/maps/?lvl=14&amp;sty=h&amp;cp=33.3893~44.5325&amp;sp=point.33.3893_44.5325_Al Maamil-Mahala 773","Maplink3")</f>
        <v>Maplink3</v>
      </c>
    </row>
    <row r="810" spans="1:49" ht="15" customHeight="1" x14ac:dyDescent="0.25">
      <c r="A810" s="21">
        <v>21693</v>
      </c>
      <c r="B810" s="22" t="s">
        <v>11</v>
      </c>
      <c r="C810" s="22" t="s">
        <v>1719</v>
      </c>
      <c r="D810" s="22" t="s">
        <v>8424</v>
      </c>
      <c r="E810" s="22" t="s">
        <v>7715</v>
      </c>
      <c r="F810" s="22">
        <v>33.395061966500002</v>
      </c>
      <c r="G810" s="22">
        <v>44.520550939899998</v>
      </c>
      <c r="H810" s="21" t="s">
        <v>1449</v>
      </c>
      <c r="I810" s="21" t="s">
        <v>1720</v>
      </c>
      <c r="J810" s="21" t="s">
        <v>1758</v>
      </c>
      <c r="K810" s="24">
        <v>45</v>
      </c>
      <c r="L810" s="24">
        <v>270</v>
      </c>
      <c r="M810" s="23">
        <v>8</v>
      </c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>
        <v>20</v>
      </c>
      <c r="Z810" s="23"/>
      <c r="AA810" s="23">
        <v>17</v>
      </c>
      <c r="AB810" s="23"/>
      <c r="AC810" s="23"/>
      <c r="AD810" s="23"/>
      <c r="AE810" s="23"/>
      <c r="AF810" s="23">
        <v>20</v>
      </c>
      <c r="AG810" s="23"/>
      <c r="AH810" s="23"/>
      <c r="AI810" s="23"/>
      <c r="AJ810" s="23"/>
      <c r="AK810" s="23">
        <v>25</v>
      </c>
      <c r="AL810" s="23"/>
      <c r="AM810" s="23"/>
      <c r="AN810" s="23"/>
      <c r="AO810" s="23"/>
      <c r="AP810" s="23">
        <v>10</v>
      </c>
      <c r="AQ810" s="23">
        <v>10</v>
      </c>
      <c r="AR810" s="23">
        <v>17</v>
      </c>
      <c r="AS810" s="23">
        <v>8</v>
      </c>
      <c r="AT810" s="23"/>
      <c r="AU810" s="14" t="str">
        <f>HYPERLINK("http://www.openstreetmap.org/?mlat=33.3927&amp;mlon=44.527&amp;zoom=12#map=12/33.3927/44.527","Maplink1")</f>
        <v>Maplink1</v>
      </c>
      <c r="AV810" s="14" t="str">
        <f>HYPERLINK("https://www.google.iq/maps/search/+33.3927,44.527/@33.3927,44.527,14z?hl=en","Maplink2")</f>
        <v>Maplink2</v>
      </c>
      <c r="AW810" s="14" t="str">
        <f>HYPERLINK("http://www.bing.com/maps/?lvl=14&amp;sty=h&amp;cp=33.3927~44.527&amp;sp=point.33.3927_44.527_Al Maamil-Mahala 774","Maplink3")</f>
        <v>Maplink3</v>
      </c>
    </row>
    <row r="811" spans="1:49" ht="15" customHeight="1" x14ac:dyDescent="0.25">
      <c r="A811" s="21">
        <v>24474</v>
      </c>
      <c r="B811" s="22" t="s">
        <v>11</v>
      </c>
      <c r="C811" s="22" t="s">
        <v>1719</v>
      </c>
      <c r="D811" s="22" t="s">
        <v>8425</v>
      </c>
      <c r="E811" s="22" t="s">
        <v>7755</v>
      </c>
      <c r="F811" s="22">
        <v>33.383539994000003</v>
      </c>
      <c r="G811" s="22">
        <v>44.532965597299999</v>
      </c>
      <c r="H811" s="21" t="s">
        <v>1449</v>
      </c>
      <c r="I811" s="21" t="s">
        <v>1720</v>
      </c>
      <c r="J811" s="21"/>
      <c r="K811" s="24">
        <v>10</v>
      </c>
      <c r="L811" s="24">
        <v>60</v>
      </c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>
        <v>10</v>
      </c>
      <c r="Z811" s="23"/>
      <c r="AA811" s="23"/>
      <c r="AB811" s="23"/>
      <c r="AC811" s="23"/>
      <c r="AD811" s="23"/>
      <c r="AE811" s="23"/>
      <c r="AF811" s="23">
        <v>10</v>
      </c>
      <c r="AG811" s="23"/>
      <c r="AH811" s="23"/>
      <c r="AI811" s="23"/>
      <c r="AJ811" s="23"/>
      <c r="AK811" s="23"/>
      <c r="AL811" s="23"/>
      <c r="AM811" s="23"/>
      <c r="AN811" s="23"/>
      <c r="AO811" s="23"/>
      <c r="AP811" s="23">
        <v>10</v>
      </c>
      <c r="AQ811" s="23"/>
      <c r="AR811" s="23"/>
      <c r="AS811" s="23"/>
      <c r="AT811" s="23"/>
      <c r="AU811" s="14" t="str">
        <f>HYPERLINK("http://www.openstreetmap.org/?mlat=33.4301&amp;mlon=44.0549&amp;zoom=12#map=12/33.4301/44.0549","Maplink1")</f>
        <v>Maplink1</v>
      </c>
      <c r="AV811" s="14" t="str">
        <f>HYPERLINK("https://www.google.iq/maps/search/+33.4301,44.0549/@33.4301,44.0549,14z?hl=en","Maplink2")</f>
        <v>Maplink2</v>
      </c>
      <c r="AW811" s="14" t="str">
        <f>HYPERLINK("http://www.bing.com/maps/?lvl=14&amp;sty=h&amp;cp=33.4301~44.0549&amp;sp=point.33.4301_44.0549_Maamil-Mahalla 781","Maplink3")</f>
        <v>Maplink3</v>
      </c>
    </row>
    <row r="812" spans="1:49" ht="15" customHeight="1" x14ac:dyDescent="0.25">
      <c r="A812" s="21">
        <v>21753</v>
      </c>
      <c r="B812" s="22" t="s">
        <v>11</v>
      </c>
      <c r="C812" s="22" t="s">
        <v>1719</v>
      </c>
      <c r="D812" s="22" t="s">
        <v>8426</v>
      </c>
      <c r="E812" s="22" t="s">
        <v>7756</v>
      </c>
      <c r="F812" s="22">
        <v>33.424506040300002</v>
      </c>
      <c r="G812" s="22">
        <v>44.530010461800003</v>
      </c>
      <c r="H812" s="21" t="s">
        <v>1449</v>
      </c>
      <c r="I812" s="21" t="s">
        <v>1720</v>
      </c>
      <c r="J812" s="21" t="s">
        <v>1859</v>
      </c>
      <c r="K812" s="24">
        <v>159</v>
      </c>
      <c r="L812" s="24">
        <v>954</v>
      </c>
      <c r="M812" s="23">
        <v>6</v>
      </c>
      <c r="N812" s="23"/>
      <c r="O812" s="23"/>
      <c r="P812" s="23"/>
      <c r="Q812" s="23"/>
      <c r="R812" s="23">
        <v>3</v>
      </c>
      <c r="S812" s="23"/>
      <c r="T812" s="23"/>
      <c r="U812" s="23"/>
      <c r="V812" s="23"/>
      <c r="W812" s="23"/>
      <c r="X812" s="23"/>
      <c r="Y812" s="23">
        <v>145</v>
      </c>
      <c r="Z812" s="23"/>
      <c r="AA812" s="23">
        <v>5</v>
      </c>
      <c r="AB812" s="23"/>
      <c r="AC812" s="23"/>
      <c r="AD812" s="23"/>
      <c r="AE812" s="23"/>
      <c r="AF812" s="23">
        <v>23</v>
      </c>
      <c r="AG812" s="23"/>
      <c r="AH812" s="23"/>
      <c r="AI812" s="23"/>
      <c r="AJ812" s="23"/>
      <c r="AK812" s="23">
        <v>106</v>
      </c>
      <c r="AL812" s="23"/>
      <c r="AM812" s="23">
        <v>30</v>
      </c>
      <c r="AN812" s="23"/>
      <c r="AO812" s="23"/>
      <c r="AP812" s="23">
        <v>69</v>
      </c>
      <c r="AQ812" s="23">
        <v>43</v>
      </c>
      <c r="AR812" s="23">
        <v>41</v>
      </c>
      <c r="AS812" s="23">
        <v>6</v>
      </c>
      <c r="AT812" s="23"/>
      <c r="AU812" s="14" t="str">
        <f>HYPERLINK("http://www.openstreetmap.org/?mlat=33.4186&amp;mlon=44.5274&amp;zoom=12#map=12/33.4186/44.5274","Maplink1")</f>
        <v>Maplink1</v>
      </c>
      <c r="AV812" s="14" t="str">
        <f>HYPERLINK("https://www.google.iq/maps/search/+33.4186,44.5274/@33.4186,44.5274,14z?hl=en","Maplink2")</f>
        <v>Maplink2</v>
      </c>
      <c r="AW812" s="14" t="str">
        <f>HYPERLINK("http://www.bing.com/maps/?lvl=14&amp;sty=h&amp;cp=33.4186~44.5274&amp;sp=point.33.4186_44.5274_Maamil-Mahalla 799","Maplink3")</f>
        <v>Maplink3</v>
      </c>
    </row>
    <row r="813" spans="1:49" ht="15" customHeight="1" x14ac:dyDescent="0.25">
      <c r="A813" s="21">
        <v>21692</v>
      </c>
      <c r="B813" s="22" t="s">
        <v>11</v>
      </c>
      <c r="C813" s="22" t="s">
        <v>1719</v>
      </c>
      <c r="D813" s="22" t="s">
        <v>8427</v>
      </c>
      <c r="E813" s="22" t="s">
        <v>7713</v>
      </c>
      <c r="F813" s="22">
        <v>33.3908705658</v>
      </c>
      <c r="G813" s="22">
        <v>44.520135448200001</v>
      </c>
      <c r="H813" s="21" t="s">
        <v>1449</v>
      </c>
      <c r="I813" s="21" t="s">
        <v>1720</v>
      </c>
      <c r="J813" s="21" t="s">
        <v>1756</v>
      </c>
      <c r="K813" s="24">
        <v>15</v>
      </c>
      <c r="L813" s="24">
        <v>90</v>
      </c>
      <c r="M813" s="23">
        <v>1</v>
      </c>
      <c r="N813" s="23"/>
      <c r="O813" s="23"/>
      <c r="P813" s="23"/>
      <c r="Q813" s="23"/>
      <c r="R813" s="23">
        <v>4</v>
      </c>
      <c r="S813" s="23"/>
      <c r="T813" s="23"/>
      <c r="U813" s="23"/>
      <c r="V813" s="23"/>
      <c r="W813" s="23"/>
      <c r="X813" s="23"/>
      <c r="Y813" s="23">
        <v>10</v>
      </c>
      <c r="Z813" s="23"/>
      <c r="AA813" s="23"/>
      <c r="AB813" s="23"/>
      <c r="AC813" s="23"/>
      <c r="AD813" s="23"/>
      <c r="AE813" s="23"/>
      <c r="AF813" s="23">
        <v>10</v>
      </c>
      <c r="AG813" s="23"/>
      <c r="AH813" s="23"/>
      <c r="AI813" s="23"/>
      <c r="AJ813" s="23"/>
      <c r="AK813" s="23">
        <v>5</v>
      </c>
      <c r="AL813" s="23"/>
      <c r="AM813" s="23"/>
      <c r="AN813" s="23"/>
      <c r="AO813" s="23"/>
      <c r="AP813" s="23">
        <v>5</v>
      </c>
      <c r="AQ813" s="23">
        <v>1</v>
      </c>
      <c r="AR813" s="23">
        <v>9</v>
      </c>
      <c r="AS813" s="23"/>
      <c r="AT813" s="23"/>
      <c r="AU813" s="14" t="str">
        <f>HYPERLINK("http://www.openstreetmap.org/?mlat=33.3903&amp;mlon=44.5269&amp;zoom=12#map=12/33.3903/44.5269","Maplink1")</f>
        <v>Maplink1</v>
      </c>
      <c r="AV813" s="14" t="str">
        <f>HYPERLINK("https://www.google.iq/maps/search/+33.3903,44.5269/@33.3903,44.5269,14z?hl=en","Maplink2")</f>
        <v>Maplink2</v>
      </c>
      <c r="AW813" s="14" t="str">
        <f>HYPERLINK("http://www.bing.com/maps/?lvl=14&amp;sty=h&amp;cp=33.3903~44.5269&amp;sp=point.33.3903_44.5269_Al Maamil-Mahala 772","Maplink3")</f>
        <v>Maplink3</v>
      </c>
    </row>
    <row r="814" spans="1:49" ht="15" customHeight="1" x14ac:dyDescent="0.25">
      <c r="A814" s="21">
        <v>24477</v>
      </c>
      <c r="B814" s="22" t="s">
        <v>11</v>
      </c>
      <c r="C814" s="22" t="s">
        <v>1719</v>
      </c>
      <c r="D814" s="22" t="s">
        <v>8428</v>
      </c>
      <c r="E814" s="22" t="s">
        <v>7754</v>
      </c>
      <c r="F814" s="22">
        <v>33.424506040300002</v>
      </c>
      <c r="G814" s="22">
        <v>44.530010461800003</v>
      </c>
      <c r="H814" s="21" t="s">
        <v>1449</v>
      </c>
      <c r="I814" s="21" t="s">
        <v>1720</v>
      </c>
      <c r="J814" s="21"/>
      <c r="K814" s="24">
        <v>34</v>
      </c>
      <c r="L814" s="24">
        <v>204</v>
      </c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>
        <v>34</v>
      </c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>
        <v>34</v>
      </c>
      <c r="AL814" s="23"/>
      <c r="AM814" s="23"/>
      <c r="AN814" s="23"/>
      <c r="AO814" s="23"/>
      <c r="AP814" s="23">
        <v>34</v>
      </c>
      <c r="AQ814" s="23"/>
      <c r="AR814" s="23"/>
      <c r="AS814" s="23"/>
      <c r="AT814" s="23"/>
      <c r="AU814" s="14" t="str">
        <f>HYPERLINK("http://www.openstreetmap.org/?mlat=33.4259&amp;mlon=44.5502&amp;zoom=12#map=12/33.4259/44.5502","Maplink1")</f>
        <v>Maplink1</v>
      </c>
      <c r="AV814" s="14" t="str">
        <f>HYPERLINK("https://www.google.iq/maps/search/+33.4259,44.5502/@33.4259,44.5502,14z?hl=en","Maplink2")</f>
        <v>Maplink2</v>
      </c>
      <c r="AW814" s="14" t="str">
        <f>HYPERLINK("http://www.bing.com/maps/?lvl=14&amp;sty=h&amp;cp=33.4259~44.5502&amp;sp=point.33.4259_44.5502_Maamil-Mahalla 779","Maplink3")</f>
        <v>Maplink3</v>
      </c>
    </row>
    <row r="815" spans="1:49" ht="15" customHeight="1" x14ac:dyDescent="0.25">
      <c r="A815" s="21">
        <v>23757</v>
      </c>
      <c r="B815" s="22" t="s">
        <v>11</v>
      </c>
      <c r="C815" s="22" t="s">
        <v>1719</v>
      </c>
      <c r="D815" s="22" t="s">
        <v>1759</v>
      </c>
      <c r="E815" s="22" t="s">
        <v>7716</v>
      </c>
      <c r="F815" s="22">
        <v>33.3267127174</v>
      </c>
      <c r="G815" s="22">
        <v>44.4902249015</v>
      </c>
      <c r="H815" s="21" t="s">
        <v>1449</v>
      </c>
      <c r="I815" s="21" t="s">
        <v>1720</v>
      </c>
      <c r="J815" s="21" t="s">
        <v>1760</v>
      </c>
      <c r="K815" s="24">
        <v>238</v>
      </c>
      <c r="L815" s="24">
        <v>1428</v>
      </c>
      <c r="M815" s="23">
        <v>125</v>
      </c>
      <c r="N815" s="23"/>
      <c r="O815" s="23"/>
      <c r="P815" s="23"/>
      <c r="Q815" s="23"/>
      <c r="R815" s="23">
        <v>24</v>
      </c>
      <c r="S815" s="23"/>
      <c r="T815" s="23"/>
      <c r="U815" s="23"/>
      <c r="V815" s="23"/>
      <c r="W815" s="23"/>
      <c r="X815" s="23"/>
      <c r="Y815" s="23">
        <v>69</v>
      </c>
      <c r="Z815" s="23"/>
      <c r="AA815" s="23">
        <v>20</v>
      </c>
      <c r="AB815" s="23"/>
      <c r="AC815" s="23"/>
      <c r="AD815" s="23"/>
      <c r="AE815" s="23"/>
      <c r="AF815" s="23">
        <v>101</v>
      </c>
      <c r="AG815" s="23"/>
      <c r="AH815" s="23"/>
      <c r="AI815" s="23"/>
      <c r="AJ815" s="23"/>
      <c r="AK815" s="23">
        <v>137</v>
      </c>
      <c r="AL815" s="23"/>
      <c r="AM815" s="23"/>
      <c r="AN815" s="23"/>
      <c r="AO815" s="23">
        <v>11</v>
      </c>
      <c r="AP815" s="23">
        <v>21</v>
      </c>
      <c r="AQ815" s="23">
        <v>86</v>
      </c>
      <c r="AR815" s="23">
        <v>60</v>
      </c>
      <c r="AS815" s="23">
        <v>60</v>
      </c>
      <c r="AT815" s="23"/>
      <c r="AU815" s="14" t="str">
        <f>HYPERLINK("http://www.openstreetmap.org/?mlat=33.322&amp;mlon=44.5013&amp;zoom=12#map=12/33.322/44.5013","Maplink1")</f>
        <v>Maplink1</v>
      </c>
      <c r="AV815" s="14" t="str">
        <f>HYPERLINK("https://www.google.iq/maps/search/+33.322,44.5013/@33.322,44.5013,14z?hl=en","Maplink2")</f>
        <v>Maplink2</v>
      </c>
      <c r="AW815" s="14" t="str">
        <f>HYPERLINK("http://www.bing.com/maps/?lvl=14&amp;sty=h&amp;cp=33.322~44.5013&amp;sp=point.33.322_44.5013_Al Mashtal-729","Maplink3")</f>
        <v>Maplink3</v>
      </c>
    </row>
    <row r="816" spans="1:49" ht="15" customHeight="1" x14ac:dyDescent="0.25">
      <c r="A816" s="21">
        <v>25401</v>
      </c>
      <c r="B816" s="22" t="s">
        <v>11</v>
      </c>
      <c r="C816" s="22" t="s">
        <v>1719</v>
      </c>
      <c r="D816" s="22" t="s">
        <v>1761</v>
      </c>
      <c r="E816" s="22" t="s">
        <v>7717</v>
      </c>
      <c r="F816" s="22">
        <v>33.3178690656</v>
      </c>
      <c r="G816" s="22">
        <v>44.506746184100002</v>
      </c>
      <c r="H816" s="21" t="s">
        <v>1449</v>
      </c>
      <c r="I816" s="21" t="s">
        <v>1720</v>
      </c>
      <c r="J816" s="21"/>
      <c r="K816" s="24">
        <v>126</v>
      </c>
      <c r="L816" s="24">
        <v>756</v>
      </c>
      <c r="M816" s="23">
        <v>40</v>
      </c>
      <c r="N816" s="23"/>
      <c r="O816" s="23"/>
      <c r="P816" s="23"/>
      <c r="Q816" s="23"/>
      <c r="R816" s="23">
        <v>3</v>
      </c>
      <c r="S816" s="23"/>
      <c r="T816" s="23"/>
      <c r="U816" s="23"/>
      <c r="V816" s="23"/>
      <c r="W816" s="23"/>
      <c r="X816" s="23"/>
      <c r="Y816" s="23">
        <v>50</v>
      </c>
      <c r="Z816" s="23"/>
      <c r="AA816" s="23">
        <v>33</v>
      </c>
      <c r="AB816" s="23"/>
      <c r="AC816" s="23"/>
      <c r="AD816" s="23"/>
      <c r="AE816" s="23"/>
      <c r="AF816" s="23">
        <v>43</v>
      </c>
      <c r="AG816" s="23"/>
      <c r="AH816" s="23"/>
      <c r="AI816" s="23"/>
      <c r="AJ816" s="23"/>
      <c r="AK816" s="23">
        <v>83</v>
      </c>
      <c r="AL816" s="23"/>
      <c r="AM816" s="23"/>
      <c r="AN816" s="23"/>
      <c r="AO816" s="23">
        <v>5</v>
      </c>
      <c r="AP816" s="23">
        <v>12</v>
      </c>
      <c r="AQ816" s="23">
        <v>55</v>
      </c>
      <c r="AR816" s="23">
        <v>36</v>
      </c>
      <c r="AS816" s="23">
        <v>18</v>
      </c>
      <c r="AT816" s="23"/>
      <c r="AU816" s="14" t="str">
        <f>HYPERLINK("http://www.openstreetmap.org/?mlat=33.3297&amp;mlon=44.5008&amp;zoom=12#map=12/33.3297/44.5008","Maplink1")</f>
        <v>Maplink1</v>
      </c>
      <c r="AV816" s="14" t="str">
        <f>HYPERLINK("https://www.google.iq/maps/search/+33.3297,44.5008/@33.3297,44.5008,14z?hl=en","Maplink2")</f>
        <v>Maplink2</v>
      </c>
      <c r="AW816" s="14" t="str">
        <f>HYPERLINK("http://www.bing.com/maps/?lvl=14&amp;sty=h&amp;cp=33.3297~44.5008&amp;sp=point.33.3297_44.5008_Al Mashtal-731","Maplink3")</f>
        <v>Maplink3</v>
      </c>
    </row>
    <row r="817" spans="1:49" ht="15" customHeight="1" x14ac:dyDescent="0.25">
      <c r="A817" s="21">
        <v>24023</v>
      </c>
      <c r="B817" s="22" t="s">
        <v>11</v>
      </c>
      <c r="C817" s="22" t="s">
        <v>1719</v>
      </c>
      <c r="D817" s="22" t="s">
        <v>1762</v>
      </c>
      <c r="E817" s="22" t="s">
        <v>7718</v>
      </c>
      <c r="F817" s="22">
        <v>33.3156461994</v>
      </c>
      <c r="G817" s="22">
        <v>44.497073417099998</v>
      </c>
      <c r="H817" s="21" t="s">
        <v>1449</v>
      </c>
      <c r="I817" s="21" t="s">
        <v>1720</v>
      </c>
      <c r="J817" s="21" t="s">
        <v>1763</v>
      </c>
      <c r="K817" s="24">
        <v>186</v>
      </c>
      <c r="L817" s="24">
        <v>1116</v>
      </c>
      <c r="M817" s="23">
        <v>50</v>
      </c>
      <c r="N817" s="23"/>
      <c r="O817" s="23"/>
      <c r="P817" s="23"/>
      <c r="Q817" s="23"/>
      <c r="R817" s="23">
        <v>8</v>
      </c>
      <c r="S817" s="23"/>
      <c r="T817" s="23"/>
      <c r="U817" s="23"/>
      <c r="V817" s="23"/>
      <c r="W817" s="23"/>
      <c r="X817" s="23"/>
      <c r="Y817" s="23">
        <v>65</v>
      </c>
      <c r="Z817" s="23"/>
      <c r="AA817" s="23">
        <v>63</v>
      </c>
      <c r="AB817" s="23"/>
      <c r="AC817" s="23"/>
      <c r="AD817" s="23"/>
      <c r="AE817" s="23"/>
      <c r="AF817" s="23">
        <v>83</v>
      </c>
      <c r="AG817" s="23"/>
      <c r="AH817" s="23"/>
      <c r="AI817" s="23"/>
      <c r="AJ817" s="23"/>
      <c r="AK817" s="23">
        <v>103</v>
      </c>
      <c r="AL817" s="23"/>
      <c r="AM817" s="23"/>
      <c r="AN817" s="23"/>
      <c r="AO817" s="23">
        <v>7</v>
      </c>
      <c r="AP817" s="23"/>
      <c r="AQ817" s="23">
        <v>58</v>
      </c>
      <c r="AR817" s="23">
        <v>81</v>
      </c>
      <c r="AS817" s="23">
        <v>40</v>
      </c>
      <c r="AT817" s="23"/>
      <c r="AU817" s="14" t="str">
        <f>HYPERLINK("http://www.openstreetmap.org/?mlat=33.3297&amp;mlon=44.5008&amp;zoom=12#map=12/33.3297/44.5008","Maplink1")</f>
        <v>Maplink1</v>
      </c>
      <c r="AV817" s="14" t="str">
        <f>HYPERLINK("https://www.google.iq/maps/search/+33.3297,44.5008/@33.3297,44.5008,14z?hl=en","Maplink2")</f>
        <v>Maplink2</v>
      </c>
      <c r="AW817" s="14" t="str">
        <f>HYPERLINK("http://www.bing.com/maps/?lvl=14&amp;sty=h&amp;cp=33.3297~44.5008&amp;sp=point.33.3297_44.5008_Al Mashtal-733","Maplink3")</f>
        <v>Maplink3</v>
      </c>
    </row>
    <row r="818" spans="1:49" ht="15" customHeight="1" x14ac:dyDescent="0.25">
      <c r="A818" s="21">
        <v>23210</v>
      </c>
      <c r="B818" s="22" t="s">
        <v>11</v>
      </c>
      <c r="C818" s="22" t="s">
        <v>1719</v>
      </c>
      <c r="D818" s="22" t="s">
        <v>1764</v>
      </c>
      <c r="E818" s="22" t="s">
        <v>7719</v>
      </c>
      <c r="F818" s="22">
        <v>33.314136069900002</v>
      </c>
      <c r="G818" s="22">
        <v>44.5051098717</v>
      </c>
      <c r="H818" s="21" t="s">
        <v>1449</v>
      </c>
      <c r="I818" s="21" t="s">
        <v>1720</v>
      </c>
      <c r="J818" s="21" t="s">
        <v>1765</v>
      </c>
      <c r="K818" s="24">
        <v>168</v>
      </c>
      <c r="L818" s="24">
        <v>1008</v>
      </c>
      <c r="M818" s="23">
        <v>67</v>
      </c>
      <c r="N818" s="23"/>
      <c r="O818" s="23"/>
      <c r="P818" s="23"/>
      <c r="Q818" s="23"/>
      <c r="R818" s="23">
        <v>10</v>
      </c>
      <c r="S818" s="23"/>
      <c r="T818" s="23"/>
      <c r="U818" s="23"/>
      <c r="V818" s="23"/>
      <c r="W818" s="23"/>
      <c r="X818" s="23"/>
      <c r="Y818" s="23">
        <v>55</v>
      </c>
      <c r="Z818" s="23"/>
      <c r="AA818" s="23">
        <v>36</v>
      </c>
      <c r="AB818" s="23"/>
      <c r="AC818" s="23"/>
      <c r="AD818" s="23"/>
      <c r="AE818" s="23"/>
      <c r="AF818" s="23">
        <v>43</v>
      </c>
      <c r="AG818" s="23"/>
      <c r="AH818" s="23"/>
      <c r="AI818" s="23"/>
      <c r="AJ818" s="23"/>
      <c r="AK818" s="23">
        <v>125</v>
      </c>
      <c r="AL818" s="23"/>
      <c r="AM818" s="23"/>
      <c r="AN818" s="23"/>
      <c r="AO818" s="23">
        <v>6</v>
      </c>
      <c r="AP818" s="23">
        <v>46</v>
      </c>
      <c r="AQ818" s="23">
        <v>62</v>
      </c>
      <c r="AR818" s="23">
        <v>19</v>
      </c>
      <c r="AS818" s="23">
        <v>35</v>
      </c>
      <c r="AT818" s="23"/>
      <c r="AU818" s="14" t="str">
        <f>HYPERLINK("http://www.openstreetmap.org/?mlat=33.3137&amp;mlon=44.5168&amp;zoom=12#map=12/33.3137/44.5168","Maplink1")</f>
        <v>Maplink1</v>
      </c>
      <c r="AV818" s="14" t="str">
        <f>HYPERLINK("https://www.google.iq/maps/search/+33.3137,44.5168/@33.3137,44.5168,14z?hl=en","Maplink2")</f>
        <v>Maplink2</v>
      </c>
      <c r="AW818" s="14" t="str">
        <f>HYPERLINK("http://www.bing.com/maps/?lvl=14&amp;sty=h&amp;cp=33.3137~44.5168&amp;sp=point.33.3137_44.5168_Al Mashtal-735","Maplink3")</f>
        <v>Maplink3</v>
      </c>
    </row>
    <row r="819" spans="1:49" ht="15" customHeight="1" x14ac:dyDescent="0.25">
      <c r="A819" s="21">
        <v>23323</v>
      </c>
      <c r="B819" s="22" t="s">
        <v>11</v>
      </c>
      <c r="C819" s="22" t="s">
        <v>1719</v>
      </c>
      <c r="D819" s="22" t="s">
        <v>1766</v>
      </c>
      <c r="E819" s="22" t="s">
        <v>1767</v>
      </c>
      <c r="F819" s="22">
        <v>33.3241958236</v>
      </c>
      <c r="G819" s="22">
        <v>44.496610795899997</v>
      </c>
      <c r="H819" s="21" t="s">
        <v>1449</v>
      </c>
      <c r="I819" s="21" t="s">
        <v>1720</v>
      </c>
      <c r="J819" s="21" t="s">
        <v>1768</v>
      </c>
      <c r="K819" s="24">
        <v>188</v>
      </c>
      <c r="L819" s="24">
        <v>1128</v>
      </c>
      <c r="M819" s="23">
        <v>84</v>
      </c>
      <c r="N819" s="23"/>
      <c r="O819" s="23"/>
      <c r="P819" s="23"/>
      <c r="Q819" s="23"/>
      <c r="R819" s="23">
        <v>20</v>
      </c>
      <c r="S819" s="23"/>
      <c r="T819" s="23"/>
      <c r="U819" s="23">
        <v>4</v>
      </c>
      <c r="V819" s="23"/>
      <c r="W819" s="23"/>
      <c r="X819" s="23"/>
      <c r="Y819" s="23">
        <v>69</v>
      </c>
      <c r="Z819" s="23"/>
      <c r="AA819" s="23">
        <v>11</v>
      </c>
      <c r="AB819" s="23"/>
      <c r="AC819" s="23"/>
      <c r="AD819" s="23"/>
      <c r="AE819" s="23"/>
      <c r="AF819" s="23">
        <v>53</v>
      </c>
      <c r="AG819" s="23"/>
      <c r="AH819" s="23"/>
      <c r="AI819" s="23"/>
      <c r="AJ819" s="23"/>
      <c r="AK819" s="23">
        <v>135</v>
      </c>
      <c r="AL819" s="23"/>
      <c r="AM819" s="23"/>
      <c r="AN819" s="23"/>
      <c r="AO819" s="23">
        <v>4</v>
      </c>
      <c r="AP819" s="23">
        <v>67</v>
      </c>
      <c r="AQ819" s="23">
        <v>33</v>
      </c>
      <c r="AR819" s="23">
        <v>34</v>
      </c>
      <c r="AS819" s="23">
        <v>50</v>
      </c>
      <c r="AT819" s="23"/>
      <c r="AU819" s="14" t="str">
        <f>HYPERLINK("http://www.openstreetmap.org/?mlat=33.3307&amp;mlon=44.4945&amp;zoom=12#map=12/33.3307/44.4945","Maplink1")</f>
        <v>Maplink1</v>
      </c>
      <c r="AV819" s="14" t="str">
        <f>HYPERLINK("https://www.google.iq/maps/search/+33.3307,44.4945/@33.3307,44.4945,14z?hl=en","Maplink2")</f>
        <v>Maplink2</v>
      </c>
      <c r="AW819" s="14" t="str">
        <f>HYPERLINK("http://www.bing.com/maps/?lvl=14&amp;sty=h&amp;cp=33.3307~44.4945&amp;sp=point.33.3307_44.4945_Al Mashtal-751","Maplink3")</f>
        <v>Maplink3</v>
      </c>
    </row>
    <row r="820" spans="1:49" ht="15" customHeight="1" x14ac:dyDescent="0.25">
      <c r="A820" s="21">
        <v>23752</v>
      </c>
      <c r="B820" s="22" t="s">
        <v>11</v>
      </c>
      <c r="C820" s="22" t="s">
        <v>1719</v>
      </c>
      <c r="D820" s="22" t="s">
        <v>1769</v>
      </c>
      <c r="E820" s="22" t="s">
        <v>8429</v>
      </c>
      <c r="F820" s="22">
        <v>33.319241011400003</v>
      </c>
      <c r="G820" s="22">
        <v>44.457423914400003</v>
      </c>
      <c r="H820" s="21" t="s">
        <v>1449</v>
      </c>
      <c r="I820" s="21" t="s">
        <v>1720</v>
      </c>
      <c r="J820" s="21" t="s">
        <v>1770</v>
      </c>
      <c r="K820" s="24">
        <v>73</v>
      </c>
      <c r="L820" s="24">
        <v>438</v>
      </c>
      <c r="M820" s="23">
        <v>30</v>
      </c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>
        <v>38</v>
      </c>
      <c r="Z820" s="23"/>
      <c r="AA820" s="23">
        <v>5</v>
      </c>
      <c r="AB820" s="23"/>
      <c r="AC820" s="23"/>
      <c r="AD820" s="23"/>
      <c r="AE820" s="23"/>
      <c r="AF820" s="23">
        <v>32</v>
      </c>
      <c r="AG820" s="23"/>
      <c r="AH820" s="23"/>
      <c r="AI820" s="23"/>
      <c r="AJ820" s="23"/>
      <c r="AK820" s="23">
        <v>41</v>
      </c>
      <c r="AL820" s="23"/>
      <c r="AM820" s="23"/>
      <c r="AN820" s="23"/>
      <c r="AO820" s="23">
        <v>16</v>
      </c>
      <c r="AP820" s="23"/>
      <c r="AQ820" s="23">
        <v>27</v>
      </c>
      <c r="AR820" s="23">
        <v>17</v>
      </c>
      <c r="AS820" s="23">
        <v>13</v>
      </c>
      <c r="AT820" s="23"/>
      <c r="AU820" s="14" t="str">
        <f>HYPERLINK("http://www.openstreetmap.org/?mlat=33.3203&amp;mlon=44.463&amp;zoom=12#map=12/33.3203/44.463","Maplink1")</f>
        <v>Maplink1</v>
      </c>
      <c r="AV820" s="14" t="str">
        <f>HYPERLINK("https://www.google.iq/maps/search/+33.3203,44.463/@33.3203,44.463,14z?hl=en","Maplink2")</f>
        <v>Maplink2</v>
      </c>
      <c r="AW820" s="14" t="str">
        <f>HYPERLINK("http://www.bing.com/maps/?lvl=14&amp;sty=h&amp;cp=33.3203~44.463&amp;sp=point.33.3203_44.463_Al muthana-710","Maplink3")</f>
        <v>Maplink3</v>
      </c>
    </row>
    <row r="821" spans="1:49" ht="15" customHeight="1" x14ac:dyDescent="0.25">
      <c r="A821" s="21">
        <v>24471</v>
      </c>
      <c r="B821" s="22" t="s">
        <v>11</v>
      </c>
      <c r="C821" s="22" t="s">
        <v>1719</v>
      </c>
      <c r="D821" s="22" t="s">
        <v>1771</v>
      </c>
      <c r="E821" s="22" t="s">
        <v>7720</v>
      </c>
      <c r="F821" s="22">
        <v>33.323175704900002</v>
      </c>
      <c r="G821" s="22">
        <v>44.459446930699997</v>
      </c>
      <c r="H821" s="21" t="s">
        <v>1449</v>
      </c>
      <c r="I821" s="21" t="s">
        <v>1720</v>
      </c>
      <c r="J821" s="21"/>
      <c r="K821" s="24">
        <v>48</v>
      </c>
      <c r="L821" s="24">
        <v>288</v>
      </c>
      <c r="M821" s="23">
        <v>6</v>
      </c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>
        <v>42</v>
      </c>
      <c r="Z821" s="23"/>
      <c r="AA821" s="23"/>
      <c r="AB821" s="23"/>
      <c r="AC821" s="23"/>
      <c r="AD821" s="23"/>
      <c r="AE821" s="23"/>
      <c r="AF821" s="23">
        <v>23</v>
      </c>
      <c r="AG821" s="23"/>
      <c r="AH821" s="23"/>
      <c r="AI821" s="23"/>
      <c r="AJ821" s="23"/>
      <c r="AK821" s="23">
        <v>25</v>
      </c>
      <c r="AL821" s="23"/>
      <c r="AM821" s="23"/>
      <c r="AN821" s="23"/>
      <c r="AO821" s="23"/>
      <c r="AP821" s="23"/>
      <c r="AQ821" s="23">
        <v>23</v>
      </c>
      <c r="AR821" s="23">
        <v>19</v>
      </c>
      <c r="AS821" s="23">
        <v>6</v>
      </c>
      <c r="AT821" s="23"/>
      <c r="AU821" s="14" t="str">
        <f>HYPERLINK("http://www.openstreetmap.org/?mlat=33.3483&amp;mlon=44.4679&amp;zoom=12#map=12/33.3483/44.4679","Maplink1")</f>
        <v>Maplink1</v>
      </c>
      <c r="AV821" s="14" t="str">
        <f>HYPERLINK("https://www.google.iq/maps/search/+33.3483,44.4679/@33.3483,44.4679,14z?hl=en","Maplink2")</f>
        <v>Maplink2</v>
      </c>
      <c r="AW821" s="14" t="str">
        <f>HYPERLINK("http://www.bing.com/maps/?lvl=14&amp;sty=h&amp;cp=33.3483~44.4679&amp;sp=point.33.3483_44.4679_Al Muthana-712","Maplink3")</f>
        <v>Maplink3</v>
      </c>
    </row>
    <row r="822" spans="1:49" ht="15" customHeight="1" x14ac:dyDescent="0.25">
      <c r="A822" s="21">
        <v>24129</v>
      </c>
      <c r="B822" s="22" t="s">
        <v>11</v>
      </c>
      <c r="C822" s="22" t="s">
        <v>1719</v>
      </c>
      <c r="D822" s="22" t="s">
        <v>1772</v>
      </c>
      <c r="E822" s="22" t="s">
        <v>7721</v>
      </c>
      <c r="F822" s="22">
        <v>33.327369536799999</v>
      </c>
      <c r="G822" s="22">
        <v>44.447775913599997</v>
      </c>
      <c r="H822" s="21" t="s">
        <v>1449</v>
      </c>
      <c r="I822" s="21" t="s">
        <v>1720</v>
      </c>
      <c r="J822" s="21" t="s">
        <v>1773</v>
      </c>
      <c r="K822" s="24">
        <v>93</v>
      </c>
      <c r="L822" s="24">
        <v>558</v>
      </c>
      <c r="M822" s="23">
        <v>37</v>
      </c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>
        <v>56</v>
      </c>
      <c r="Z822" s="23"/>
      <c r="AA822" s="23"/>
      <c r="AB822" s="23"/>
      <c r="AC822" s="23"/>
      <c r="AD822" s="23"/>
      <c r="AE822" s="23"/>
      <c r="AF822" s="23">
        <v>30</v>
      </c>
      <c r="AG822" s="23"/>
      <c r="AH822" s="23"/>
      <c r="AI822" s="23"/>
      <c r="AJ822" s="23"/>
      <c r="AK822" s="23">
        <v>63</v>
      </c>
      <c r="AL822" s="23"/>
      <c r="AM822" s="23"/>
      <c r="AN822" s="23"/>
      <c r="AO822" s="23">
        <v>20</v>
      </c>
      <c r="AP822" s="23"/>
      <c r="AQ822" s="23">
        <v>37</v>
      </c>
      <c r="AR822" s="23">
        <v>23</v>
      </c>
      <c r="AS822" s="23">
        <v>13</v>
      </c>
      <c r="AT822" s="23"/>
      <c r="AU822" s="14" t="str">
        <f>HYPERLINK("http://www.openstreetmap.org/?mlat=33.3261&amp;mlon=44.4504&amp;zoom=12#map=12/33.3261/44.4504","Maplink1")</f>
        <v>Maplink1</v>
      </c>
      <c r="AV822" s="14" t="str">
        <f>HYPERLINK("https://www.google.iq/maps/search/+33.3261,44.4504/@33.3261,44.4504,14z?hl=en","Maplink2")</f>
        <v>Maplink2</v>
      </c>
      <c r="AW822" s="14" t="str">
        <f>HYPERLINK("http://www.bing.com/maps/?lvl=14&amp;sty=h&amp;cp=33.3261~44.4504&amp;sp=point.33.3261_44.4504_Al Muthana-714","Maplink3")</f>
        <v>Maplink3</v>
      </c>
    </row>
    <row r="823" spans="1:49" ht="15" customHeight="1" x14ac:dyDescent="0.25">
      <c r="A823" s="21">
        <v>23980</v>
      </c>
      <c r="B823" s="22" t="s">
        <v>11</v>
      </c>
      <c r="C823" s="22" t="s">
        <v>1719</v>
      </c>
      <c r="D823" s="22" t="s">
        <v>1774</v>
      </c>
      <c r="E823" s="22" t="s">
        <v>7722</v>
      </c>
      <c r="F823" s="22">
        <v>33.321753274700001</v>
      </c>
      <c r="G823" s="22">
        <v>44.467010441600003</v>
      </c>
      <c r="H823" s="21" t="s">
        <v>1449</v>
      </c>
      <c r="I823" s="21" t="s">
        <v>1720</v>
      </c>
      <c r="J823" s="21" t="s">
        <v>1775</v>
      </c>
      <c r="K823" s="24">
        <v>47</v>
      </c>
      <c r="L823" s="24">
        <v>282</v>
      </c>
      <c r="M823" s="23">
        <v>17</v>
      </c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>
        <v>25</v>
      </c>
      <c r="Z823" s="23"/>
      <c r="AA823" s="23">
        <v>5</v>
      </c>
      <c r="AB823" s="23"/>
      <c r="AC823" s="23"/>
      <c r="AD823" s="23"/>
      <c r="AE823" s="23"/>
      <c r="AF823" s="23">
        <v>12</v>
      </c>
      <c r="AG823" s="23"/>
      <c r="AH823" s="23"/>
      <c r="AI823" s="23"/>
      <c r="AJ823" s="23"/>
      <c r="AK823" s="23">
        <v>35</v>
      </c>
      <c r="AL823" s="23"/>
      <c r="AM823" s="23"/>
      <c r="AN823" s="23"/>
      <c r="AO823" s="23">
        <v>7</v>
      </c>
      <c r="AP823" s="23"/>
      <c r="AQ823" s="23">
        <v>7</v>
      </c>
      <c r="AR823" s="23">
        <v>16</v>
      </c>
      <c r="AS823" s="23">
        <v>17</v>
      </c>
      <c r="AT823" s="23"/>
      <c r="AU823" s="14" t="str">
        <f>HYPERLINK("http://www.openstreetmap.org/?mlat=33.3203&amp;mlon=44.463&amp;zoom=12#map=12/33.3203/44.463","Maplink1")</f>
        <v>Maplink1</v>
      </c>
      <c r="AV823" s="14" t="str">
        <f>HYPERLINK("https://www.google.iq/maps/search/+33.3203,44.463/@33.3203,44.463,14z?hl=en","Maplink2")</f>
        <v>Maplink2</v>
      </c>
      <c r="AW823" s="14" t="str">
        <f>HYPERLINK("http://www.bing.com/maps/?lvl=14&amp;sty=h&amp;cp=33.3203~44.463&amp;sp=point.33.3203_44.463_Al Muthana-716","Maplink3")</f>
        <v>Maplink3</v>
      </c>
    </row>
    <row r="824" spans="1:49" ht="15" customHeight="1" x14ac:dyDescent="0.25">
      <c r="A824" s="21">
        <v>24470</v>
      </c>
      <c r="B824" s="22" t="s">
        <v>11</v>
      </c>
      <c r="C824" s="22" t="s">
        <v>1719</v>
      </c>
      <c r="D824" s="22" t="s">
        <v>1776</v>
      </c>
      <c r="E824" s="22" t="s">
        <v>7723</v>
      </c>
      <c r="F824" s="22">
        <v>33.332520743800004</v>
      </c>
      <c r="G824" s="22">
        <v>44.460618476400001</v>
      </c>
      <c r="H824" s="21" t="s">
        <v>1449</v>
      </c>
      <c r="I824" s="21" t="s">
        <v>1720</v>
      </c>
      <c r="J824" s="21"/>
      <c r="K824" s="24">
        <v>50</v>
      </c>
      <c r="L824" s="24">
        <v>300</v>
      </c>
      <c r="M824" s="23">
        <v>21</v>
      </c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>
        <v>29</v>
      </c>
      <c r="Z824" s="23"/>
      <c r="AA824" s="23"/>
      <c r="AB824" s="23"/>
      <c r="AC824" s="23"/>
      <c r="AD824" s="23"/>
      <c r="AE824" s="23"/>
      <c r="AF824" s="23">
        <v>26</v>
      </c>
      <c r="AG824" s="23"/>
      <c r="AH824" s="23"/>
      <c r="AI824" s="23"/>
      <c r="AJ824" s="23"/>
      <c r="AK824" s="23">
        <v>24</v>
      </c>
      <c r="AL824" s="23"/>
      <c r="AM824" s="23"/>
      <c r="AN824" s="23"/>
      <c r="AO824" s="23"/>
      <c r="AP824" s="23"/>
      <c r="AQ824" s="23">
        <v>24</v>
      </c>
      <c r="AR824" s="23">
        <v>16</v>
      </c>
      <c r="AS824" s="23">
        <v>10</v>
      </c>
      <c r="AT824" s="23"/>
      <c r="AU824" s="14" t="str">
        <f>HYPERLINK("http://www.openstreetmap.org/?mlat=33.3325&amp;mlon=44.474&amp;zoom=12#map=12/33.3325/44.474","Maplink1")</f>
        <v>Maplink1</v>
      </c>
      <c r="AV824" s="14" t="str">
        <f>HYPERLINK("https://www.google.iq/maps/search/+33.3325,44.474/@33.3325,44.474,14z?hl=en","Maplink2")</f>
        <v>Maplink2</v>
      </c>
      <c r="AW824" s="14" t="str">
        <f>HYPERLINK("http://www.bing.com/maps/?lvl=14&amp;sty=h&amp;cp=33.3325~44.474&amp;sp=point.33.3325_44.474_Al Muthana-718","Maplink3")</f>
        <v>Maplink3</v>
      </c>
    </row>
    <row r="825" spans="1:49" ht="15" customHeight="1" x14ac:dyDescent="0.25">
      <c r="A825" s="21">
        <v>23330</v>
      </c>
      <c r="B825" s="22" t="s">
        <v>11</v>
      </c>
      <c r="C825" s="22" t="s">
        <v>1719</v>
      </c>
      <c r="D825" s="22" t="s">
        <v>1777</v>
      </c>
      <c r="E825" s="22" t="s">
        <v>8430</v>
      </c>
      <c r="F825" s="22">
        <v>33.318762159800002</v>
      </c>
      <c r="G825" s="22">
        <v>44.423853438999998</v>
      </c>
      <c r="H825" s="21" t="s">
        <v>1449</v>
      </c>
      <c r="I825" s="21" t="s">
        <v>1720</v>
      </c>
      <c r="J825" s="21" t="s">
        <v>1778</v>
      </c>
      <c r="K825" s="24">
        <v>25</v>
      </c>
      <c r="L825" s="24">
        <v>150</v>
      </c>
      <c r="M825" s="23">
        <v>6</v>
      </c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>
        <v>19</v>
      </c>
      <c r="Z825" s="23"/>
      <c r="AA825" s="23"/>
      <c r="AB825" s="23"/>
      <c r="AC825" s="23"/>
      <c r="AD825" s="23"/>
      <c r="AE825" s="23"/>
      <c r="AF825" s="23">
        <v>10</v>
      </c>
      <c r="AG825" s="23"/>
      <c r="AH825" s="23"/>
      <c r="AI825" s="23"/>
      <c r="AJ825" s="23"/>
      <c r="AK825" s="23">
        <v>15</v>
      </c>
      <c r="AL825" s="23"/>
      <c r="AM825" s="23"/>
      <c r="AN825" s="23"/>
      <c r="AO825" s="23"/>
      <c r="AP825" s="23"/>
      <c r="AQ825" s="23"/>
      <c r="AR825" s="23">
        <v>19</v>
      </c>
      <c r="AS825" s="23">
        <v>6</v>
      </c>
      <c r="AT825" s="23"/>
      <c r="AU825" s="14" t="str">
        <f>HYPERLINK("http://www.openstreetmap.org/?mlat=33.34&amp;mlon=44.4369&amp;zoom=12#map=12/33.34/44.4369","Maplink1")</f>
        <v>Maplink1</v>
      </c>
      <c r="AV825" s="14" t="str">
        <f>HYPERLINK("https://www.google.iq/maps/search/+33.34,44.4369/@33.34,44.4369,14z?hl=en","Maplink2")</f>
        <v>Maplink2</v>
      </c>
      <c r="AW825" s="14" t="str">
        <f>HYPERLINK("http://www.bing.com/maps/?lvl=14&amp;sty=h&amp;cp=33.34~44.4369&amp;sp=point.33.34_44.4369_Al Nidhal-103","Maplink3")</f>
        <v>Maplink3</v>
      </c>
    </row>
    <row r="826" spans="1:49" ht="15" customHeight="1" x14ac:dyDescent="0.25">
      <c r="A826" s="21">
        <v>24749</v>
      </c>
      <c r="B826" s="22" t="s">
        <v>11</v>
      </c>
      <c r="C826" s="22" t="s">
        <v>1719</v>
      </c>
      <c r="D826" s="22" t="s">
        <v>1779</v>
      </c>
      <c r="E826" s="22" t="s">
        <v>1780</v>
      </c>
      <c r="F826" s="22">
        <v>33.346256829399998</v>
      </c>
      <c r="G826" s="22">
        <v>44.430515677000002</v>
      </c>
      <c r="H826" s="21" t="s">
        <v>1449</v>
      </c>
      <c r="I826" s="21" t="s">
        <v>1720</v>
      </c>
      <c r="J826" s="21"/>
      <c r="K826" s="24">
        <v>28</v>
      </c>
      <c r="L826" s="24">
        <v>168</v>
      </c>
      <c r="M826" s="23">
        <v>4</v>
      </c>
      <c r="N826" s="23"/>
      <c r="O826" s="23"/>
      <c r="P826" s="23"/>
      <c r="Q826" s="23"/>
      <c r="R826" s="23">
        <v>4</v>
      </c>
      <c r="S826" s="23"/>
      <c r="T826" s="23"/>
      <c r="U826" s="23"/>
      <c r="V826" s="23"/>
      <c r="W826" s="23"/>
      <c r="X826" s="23"/>
      <c r="Y826" s="23">
        <v>20</v>
      </c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>
        <v>28</v>
      </c>
      <c r="AL826" s="23"/>
      <c r="AM826" s="23"/>
      <c r="AN826" s="23"/>
      <c r="AO826" s="23"/>
      <c r="AP826" s="23"/>
      <c r="AQ826" s="23"/>
      <c r="AR826" s="23">
        <v>26</v>
      </c>
      <c r="AS826" s="23">
        <v>2</v>
      </c>
      <c r="AT826" s="23"/>
      <c r="AU826" s="14" t="str">
        <f>HYPERLINK("http://www.openstreetmap.org/?mlat=33.359&amp;mlon=44.427&amp;zoom=12#map=12/33.359/44.427","Maplink1")</f>
        <v>Maplink1</v>
      </c>
      <c r="AV826" s="14" t="str">
        <f>HYPERLINK("https://www.google.iq/maps/search/+33.359,44.427/@33.359,44.427,14z?hl=en","Maplink2")</f>
        <v>Maplink2</v>
      </c>
      <c r="AW826" s="14" t="str">
        <f>HYPERLINK("http://www.bing.com/maps/?lvl=14&amp;sty=h&amp;cp=33.359~44.427&amp;sp=point.33.359_44.427_Al Nile-503","Maplink3")</f>
        <v>Maplink3</v>
      </c>
    </row>
    <row r="827" spans="1:49" ht="15" customHeight="1" x14ac:dyDescent="0.25">
      <c r="A827" s="21">
        <v>24945</v>
      </c>
      <c r="B827" s="22" t="s">
        <v>11</v>
      </c>
      <c r="C827" s="22" t="s">
        <v>1719</v>
      </c>
      <c r="D827" s="22" t="s">
        <v>1781</v>
      </c>
      <c r="E827" s="22" t="s">
        <v>8431</v>
      </c>
      <c r="F827" s="22">
        <v>33.328379572899998</v>
      </c>
      <c r="G827" s="22">
        <v>44.404683609599999</v>
      </c>
      <c r="H827" s="21" t="s">
        <v>1449</v>
      </c>
      <c r="I827" s="21" t="s">
        <v>1720</v>
      </c>
      <c r="J827" s="21"/>
      <c r="K827" s="24">
        <v>16</v>
      </c>
      <c r="L827" s="24">
        <v>96</v>
      </c>
      <c r="M827" s="23"/>
      <c r="N827" s="23"/>
      <c r="O827" s="23"/>
      <c r="P827" s="23"/>
      <c r="Q827" s="23"/>
      <c r="R827" s="23">
        <v>5</v>
      </c>
      <c r="S827" s="23"/>
      <c r="T827" s="23"/>
      <c r="U827" s="23"/>
      <c r="V827" s="23"/>
      <c r="W827" s="23"/>
      <c r="X827" s="23"/>
      <c r="Y827" s="23">
        <v>9</v>
      </c>
      <c r="Z827" s="23"/>
      <c r="AA827" s="23">
        <v>2</v>
      </c>
      <c r="AB827" s="23"/>
      <c r="AC827" s="23"/>
      <c r="AD827" s="23"/>
      <c r="AE827" s="23"/>
      <c r="AF827" s="23">
        <v>6</v>
      </c>
      <c r="AG827" s="23"/>
      <c r="AH827" s="23"/>
      <c r="AI827" s="23"/>
      <c r="AJ827" s="23"/>
      <c r="AK827" s="23">
        <v>10</v>
      </c>
      <c r="AL827" s="23"/>
      <c r="AM827" s="23"/>
      <c r="AN827" s="23"/>
      <c r="AO827" s="23"/>
      <c r="AP827" s="23">
        <v>8</v>
      </c>
      <c r="AQ827" s="23">
        <v>5</v>
      </c>
      <c r="AR827" s="23"/>
      <c r="AS827" s="23"/>
      <c r="AT827" s="23">
        <v>3</v>
      </c>
      <c r="AU827" s="14" t="str">
        <f>HYPERLINK("http://www.openstreetmap.org/?mlat=33.3361&amp;mlon=44.3958&amp;zoom=12#map=12/33.3361/44.3958","Maplink1")</f>
        <v>Maplink1</v>
      </c>
      <c r="AV827" s="14" t="str">
        <f>HYPERLINK("https://www.google.iq/maps/search/+33.3361,44.3958/@33.3361,44.3958,14z?hl=en","Maplink2")</f>
        <v>Maplink2</v>
      </c>
      <c r="AW827" s="14" t="str">
        <f>HYPERLINK("http://www.bing.com/maps/?lvl=14&amp;sty=h&amp;cp=33.3361~44.3958&amp;sp=point.33.3361_44.3958_Al Rasheed-104","Maplink3")</f>
        <v>Maplink3</v>
      </c>
    </row>
    <row r="828" spans="1:49" ht="15" customHeight="1" x14ac:dyDescent="0.25">
      <c r="A828" s="21">
        <v>24946</v>
      </c>
      <c r="B828" s="22" t="s">
        <v>11</v>
      </c>
      <c r="C828" s="22" t="s">
        <v>1719</v>
      </c>
      <c r="D828" s="22" t="s">
        <v>1782</v>
      </c>
      <c r="E828" s="22" t="s">
        <v>8432</v>
      </c>
      <c r="F828" s="22">
        <v>33.329549999999998</v>
      </c>
      <c r="G828" s="22">
        <v>44.405859999999997</v>
      </c>
      <c r="H828" s="21" t="s">
        <v>1449</v>
      </c>
      <c r="I828" s="21" t="s">
        <v>1720</v>
      </c>
      <c r="J828" s="21"/>
      <c r="K828" s="24">
        <v>8</v>
      </c>
      <c r="L828" s="24">
        <v>48</v>
      </c>
      <c r="M828" s="23"/>
      <c r="N828" s="23"/>
      <c r="O828" s="23"/>
      <c r="P828" s="23"/>
      <c r="Q828" s="23"/>
      <c r="R828" s="23">
        <v>3</v>
      </c>
      <c r="S828" s="23"/>
      <c r="T828" s="23"/>
      <c r="U828" s="23"/>
      <c r="V828" s="23"/>
      <c r="W828" s="23"/>
      <c r="X828" s="23"/>
      <c r="Y828" s="23">
        <v>5</v>
      </c>
      <c r="Z828" s="23"/>
      <c r="AA828" s="23"/>
      <c r="AB828" s="23"/>
      <c r="AC828" s="23"/>
      <c r="AD828" s="23"/>
      <c r="AE828" s="23"/>
      <c r="AF828" s="23">
        <v>3</v>
      </c>
      <c r="AG828" s="23"/>
      <c r="AH828" s="23"/>
      <c r="AI828" s="23"/>
      <c r="AJ828" s="23"/>
      <c r="AK828" s="23">
        <v>5</v>
      </c>
      <c r="AL828" s="23"/>
      <c r="AM828" s="23"/>
      <c r="AN828" s="23"/>
      <c r="AO828" s="23"/>
      <c r="AP828" s="23">
        <v>5</v>
      </c>
      <c r="AQ828" s="23">
        <v>3</v>
      </c>
      <c r="AR828" s="23"/>
      <c r="AS828" s="23"/>
      <c r="AT828" s="23"/>
      <c r="AU828" s="14" t="str">
        <f>HYPERLINK("http://www.openstreetmap.org/?mlat=33.3362&amp;mlon=44.3961&amp;zoom=12#map=12/33.3362/44.3961","Maplink1")</f>
        <v>Maplink1</v>
      </c>
      <c r="AV828" s="14" t="str">
        <f>HYPERLINK("https://www.google.iq/maps/search/+33.3362,44.3961/@33.3362,44.3961,14z?hl=en","Maplink2")</f>
        <v>Maplink2</v>
      </c>
      <c r="AW828" s="14" t="str">
        <f>HYPERLINK("http://www.bing.com/maps/?lvl=14&amp;sty=h&amp;cp=33.3362~44.3961&amp;sp=point.33.3362_44.3961_Al Rasheed-108","Maplink3")</f>
        <v>Maplink3</v>
      </c>
    </row>
    <row r="829" spans="1:49" ht="15" customHeight="1" x14ac:dyDescent="0.25">
      <c r="A829" s="21">
        <v>24947</v>
      </c>
      <c r="B829" s="22" t="s">
        <v>11</v>
      </c>
      <c r="C829" s="22" t="s">
        <v>1719</v>
      </c>
      <c r="D829" s="22" t="s">
        <v>1783</v>
      </c>
      <c r="E829" s="22" t="s">
        <v>8433</v>
      </c>
      <c r="F829" s="22">
        <v>33.347576627199999</v>
      </c>
      <c r="G829" s="22">
        <v>44.385650885799997</v>
      </c>
      <c r="H829" s="21" t="s">
        <v>1449</v>
      </c>
      <c r="I829" s="21" t="s">
        <v>1720</v>
      </c>
      <c r="J829" s="21"/>
      <c r="K829" s="24">
        <v>22</v>
      </c>
      <c r="L829" s="24">
        <v>132</v>
      </c>
      <c r="M829" s="23">
        <v>5</v>
      </c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14</v>
      </c>
      <c r="Z829" s="23"/>
      <c r="AA829" s="23">
        <v>3</v>
      </c>
      <c r="AB829" s="23"/>
      <c r="AC829" s="23"/>
      <c r="AD829" s="23"/>
      <c r="AE829" s="23"/>
      <c r="AF829" s="23">
        <v>10</v>
      </c>
      <c r="AG829" s="23"/>
      <c r="AH829" s="23"/>
      <c r="AI829" s="23"/>
      <c r="AJ829" s="23"/>
      <c r="AK829" s="23">
        <v>12</v>
      </c>
      <c r="AL829" s="23"/>
      <c r="AM829" s="23"/>
      <c r="AN829" s="23"/>
      <c r="AO829" s="23">
        <v>5</v>
      </c>
      <c r="AP829" s="23">
        <v>13</v>
      </c>
      <c r="AQ829" s="23"/>
      <c r="AR829" s="23">
        <v>4</v>
      </c>
      <c r="AS829" s="23"/>
      <c r="AT829" s="23"/>
      <c r="AU829" s="14" t="str">
        <f>HYPERLINK("http://www.openstreetmap.org/?mlat=33.3361&amp;mlon=44.3963&amp;zoom=12#map=12/33.3361/44.3963","Maplink1")</f>
        <v>Maplink1</v>
      </c>
      <c r="AV829" s="14" t="str">
        <f>HYPERLINK("https://www.google.iq/maps/search/+33.3361,44.3963/@33.3361,44.3963,14z?hl=en","Maplink2")</f>
        <v>Maplink2</v>
      </c>
      <c r="AW829" s="14" t="str">
        <f>HYPERLINK("http://www.bing.com/maps/?lvl=14&amp;sty=h&amp;cp=33.3361~44.3963&amp;sp=point.33.3361_44.3963_Al Rasheed-112","Maplink3")</f>
        <v>Maplink3</v>
      </c>
    </row>
    <row r="830" spans="1:49" ht="15" customHeight="1" x14ac:dyDescent="0.25">
      <c r="A830" s="21">
        <v>24948</v>
      </c>
      <c r="B830" s="22" t="s">
        <v>11</v>
      </c>
      <c r="C830" s="22" t="s">
        <v>1719</v>
      </c>
      <c r="D830" s="22" t="s">
        <v>1784</v>
      </c>
      <c r="E830" s="22" t="s">
        <v>8434</v>
      </c>
      <c r="F830" s="22">
        <v>33.343892374299998</v>
      </c>
      <c r="G830" s="22">
        <v>44.386997004800001</v>
      </c>
      <c r="H830" s="21" t="s">
        <v>1449</v>
      </c>
      <c r="I830" s="21" t="s">
        <v>1720</v>
      </c>
      <c r="J830" s="21"/>
      <c r="K830" s="24">
        <v>27</v>
      </c>
      <c r="L830" s="24">
        <v>162</v>
      </c>
      <c r="M830" s="23">
        <v>8</v>
      </c>
      <c r="N830" s="23"/>
      <c r="O830" s="23"/>
      <c r="P830" s="23"/>
      <c r="Q830" s="23"/>
      <c r="R830" s="23">
        <v>3</v>
      </c>
      <c r="S830" s="23"/>
      <c r="T830" s="23"/>
      <c r="U830" s="23"/>
      <c r="V830" s="23"/>
      <c r="W830" s="23"/>
      <c r="X830" s="23"/>
      <c r="Y830" s="23">
        <v>14</v>
      </c>
      <c r="Z830" s="23"/>
      <c r="AA830" s="23">
        <v>2</v>
      </c>
      <c r="AB830" s="23"/>
      <c r="AC830" s="23"/>
      <c r="AD830" s="23"/>
      <c r="AE830" s="23"/>
      <c r="AF830" s="23">
        <v>7</v>
      </c>
      <c r="AG830" s="23"/>
      <c r="AH830" s="23"/>
      <c r="AI830" s="23"/>
      <c r="AJ830" s="23"/>
      <c r="AK830" s="23">
        <v>20</v>
      </c>
      <c r="AL830" s="23"/>
      <c r="AM830" s="23"/>
      <c r="AN830" s="23"/>
      <c r="AO830" s="23"/>
      <c r="AP830" s="23">
        <v>14</v>
      </c>
      <c r="AQ830" s="23"/>
      <c r="AR830" s="23">
        <v>10</v>
      </c>
      <c r="AS830" s="23">
        <v>3</v>
      </c>
      <c r="AT830" s="23"/>
      <c r="AU830" s="14" t="str">
        <f>HYPERLINK("http://www.openstreetmap.org/?mlat=33.3361&amp;mlon=44.3958&amp;zoom=12#map=12/33.3361/44.3958","Maplink1")</f>
        <v>Maplink1</v>
      </c>
      <c r="AV830" s="14" t="str">
        <f>HYPERLINK("https://www.google.iq/maps/search/+33.3361,44.3958/@33.3361,44.3958,14z?hl=en","Maplink2")</f>
        <v>Maplink2</v>
      </c>
      <c r="AW830" s="14" t="str">
        <f>HYPERLINK("http://www.bing.com/maps/?lvl=14&amp;sty=h&amp;cp=33.3361~44.3958&amp;sp=point.33.3361_44.3958_Al Rasheed-114","Maplink3")</f>
        <v>Maplink3</v>
      </c>
    </row>
    <row r="831" spans="1:49" ht="15" customHeight="1" x14ac:dyDescent="0.25">
      <c r="A831" s="21">
        <v>23988</v>
      </c>
      <c r="B831" s="22" t="s">
        <v>11</v>
      </c>
      <c r="C831" s="22" t="s">
        <v>1719</v>
      </c>
      <c r="D831" s="22" t="s">
        <v>1785</v>
      </c>
      <c r="E831" s="22" t="s">
        <v>7724</v>
      </c>
      <c r="F831" s="22">
        <v>33.302821763799997</v>
      </c>
      <c r="G831" s="22">
        <v>44.448061951600003</v>
      </c>
      <c r="H831" s="21" t="s">
        <v>1449</v>
      </c>
      <c r="I831" s="21" t="s">
        <v>1720</v>
      </c>
      <c r="J831" s="21" t="s">
        <v>1786</v>
      </c>
      <c r="K831" s="24">
        <v>88</v>
      </c>
      <c r="L831" s="24">
        <v>528</v>
      </c>
      <c r="M831" s="23">
        <v>49</v>
      </c>
      <c r="N831" s="23"/>
      <c r="O831" s="23"/>
      <c r="P831" s="23"/>
      <c r="Q831" s="23"/>
      <c r="R831" s="23">
        <v>3</v>
      </c>
      <c r="S831" s="23"/>
      <c r="T831" s="23"/>
      <c r="U831" s="23"/>
      <c r="V831" s="23"/>
      <c r="W831" s="23"/>
      <c r="X831" s="23"/>
      <c r="Y831" s="23">
        <v>24</v>
      </c>
      <c r="Z831" s="23"/>
      <c r="AA831" s="23">
        <v>12</v>
      </c>
      <c r="AB831" s="23"/>
      <c r="AC831" s="23"/>
      <c r="AD831" s="23"/>
      <c r="AE831" s="23"/>
      <c r="AF831" s="23">
        <v>28</v>
      </c>
      <c r="AG831" s="23"/>
      <c r="AH831" s="23"/>
      <c r="AI831" s="23"/>
      <c r="AJ831" s="23"/>
      <c r="AK831" s="23">
        <v>60</v>
      </c>
      <c r="AL831" s="23"/>
      <c r="AM831" s="23"/>
      <c r="AN831" s="23"/>
      <c r="AO831" s="23">
        <v>7</v>
      </c>
      <c r="AP831" s="23">
        <v>9</v>
      </c>
      <c r="AQ831" s="23">
        <v>15</v>
      </c>
      <c r="AR831" s="23">
        <v>25</v>
      </c>
      <c r="AS831" s="23">
        <v>32</v>
      </c>
      <c r="AT831" s="23"/>
      <c r="AU831" s="14" t="str">
        <f>HYPERLINK("http://www.openstreetmap.org/?mlat=33.3037&amp;mlon=44.4296&amp;zoom=12#map=12/33.3037/44.4296","Maplink1")</f>
        <v>Maplink1</v>
      </c>
      <c r="AV831" s="14" t="str">
        <f>HYPERLINK("https://www.google.iq/maps/search/+33.3037,44.4296/@33.3037,44.4296,14z?hl=en","Maplink2")</f>
        <v>Maplink2</v>
      </c>
      <c r="AW831" s="14" t="str">
        <f>HYPERLINK("http://www.bing.com/maps/?lvl=14&amp;sty=h&amp;cp=33.3037~44.4296&amp;sp=point.33.3037_44.4296_Al Riyadh-910","Maplink3")</f>
        <v>Maplink3</v>
      </c>
    </row>
    <row r="832" spans="1:49" ht="15" customHeight="1" x14ac:dyDescent="0.25">
      <c r="A832" s="21">
        <v>24713</v>
      </c>
      <c r="B832" s="22" t="s">
        <v>11</v>
      </c>
      <c r="C832" s="22" t="s">
        <v>1719</v>
      </c>
      <c r="D832" s="22" t="s">
        <v>1787</v>
      </c>
      <c r="E832" s="22" t="s">
        <v>8435</v>
      </c>
      <c r="F832" s="22">
        <v>33.317351894200002</v>
      </c>
      <c r="G832" s="22">
        <v>44.424758009900003</v>
      </c>
      <c r="H832" s="21" t="s">
        <v>1449</v>
      </c>
      <c r="I832" s="21" t="s">
        <v>1720</v>
      </c>
      <c r="J832" s="21"/>
      <c r="K832" s="24">
        <v>441</v>
      </c>
      <c r="L832" s="24">
        <v>2646</v>
      </c>
      <c r="M832" s="23">
        <v>67</v>
      </c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>
        <v>354</v>
      </c>
      <c r="Z832" s="23"/>
      <c r="AA832" s="23">
        <v>20</v>
      </c>
      <c r="AB832" s="23"/>
      <c r="AC832" s="23"/>
      <c r="AD832" s="23"/>
      <c r="AE832" s="23"/>
      <c r="AF832" s="23">
        <v>60</v>
      </c>
      <c r="AG832" s="23">
        <v>100</v>
      </c>
      <c r="AH832" s="23"/>
      <c r="AI832" s="23"/>
      <c r="AJ832" s="23"/>
      <c r="AK832" s="23">
        <v>281</v>
      </c>
      <c r="AL832" s="23"/>
      <c r="AM832" s="23"/>
      <c r="AN832" s="23"/>
      <c r="AO832" s="23"/>
      <c r="AP832" s="23"/>
      <c r="AQ832" s="23"/>
      <c r="AR832" s="23">
        <v>364</v>
      </c>
      <c r="AS832" s="23">
        <v>77</v>
      </c>
      <c r="AT832" s="23"/>
      <c r="AU832" s="14" t="str">
        <f>HYPERLINK("http://www.openstreetmap.org/?mlat=33.3201&amp;mlon=44.4208&amp;zoom=12#map=12/33.3201/44.4208","Maplink1")</f>
        <v>Maplink1</v>
      </c>
      <c r="AV832" s="14" t="str">
        <f>HYPERLINK("https://www.google.iq/maps/search/+33.3201,44.4208/@33.3201,44.4208,14z?hl=en","Maplink2")</f>
        <v>Maplink2</v>
      </c>
      <c r="AW832" s="14" t="str">
        <f>HYPERLINK("http://www.bing.com/maps/?lvl=14&amp;sty=h&amp;cp=33.3201~44.4208&amp;sp=point.33.3201_44.4208_Al Saadon-101","Maplink3")</f>
        <v>Maplink3</v>
      </c>
    </row>
    <row r="833" spans="1:49" ht="15" customHeight="1" x14ac:dyDescent="0.25">
      <c r="A833" s="21">
        <v>21631</v>
      </c>
      <c r="B833" s="22" t="s">
        <v>11</v>
      </c>
      <c r="C833" s="22" t="s">
        <v>1719</v>
      </c>
      <c r="D833" s="22" t="s">
        <v>8436</v>
      </c>
      <c r="E833" s="22" t="s">
        <v>8437</v>
      </c>
      <c r="F833" s="22">
        <v>33.333820000000003</v>
      </c>
      <c r="G833" s="22">
        <v>44.410769999999999</v>
      </c>
      <c r="H833" s="21" t="s">
        <v>1449</v>
      </c>
      <c r="I833" s="21" t="s">
        <v>1720</v>
      </c>
      <c r="J833" s="21" t="s">
        <v>1860</v>
      </c>
      <c r="K833" s="24">
        <v>10</v>
      </c>
      <c r="L833" s="24">
        <v>60</v>
      </c>
      <c r="M833" s="23">
        <v>4</v>
      </c>
      <c r="N833" s="23"/>
      <c r="O833" s="23"/>
      <c r="P833" s="23"/>
      <c r="Q833" s="23"/>
      <c r="R833" s="23">
        <v>3</v>
      </c>
      <c r="S833" s="23"/>
      <c r="T833" s="23"/>
      <c r="U833" s="23"/>
      <c r="V833" s="23"/>
      <c r="W833" s="23"/>
      <c r="X833" s="23"/>
      <c r="Y833" s="23">
        <v>3</v>
      </c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>
        <v>10</v>
      </c>
      <c r="AL833" s="23"/>
      <c r="AM833" s="23"/>
      <c r="AN833" s="23"/>
      <c r="AO833" s="23"/>
      <c r="AP833" s="23">
        <v>6</v>
      </c>
      <c r="AQ833" s="23"/>
      <c r="AR833" s="23"/>
      <c r="AS833" s="23">
        <v>4</v>
      </c>
      <c r="AT833" s="23"/>
      <c r="AU833" s="14" t="str">
        <f>HYPERLINK("http://www.openstreetmap.org/?mlat=33.3456&amp;mlon=44.4015&amp;zoom=12#map=12/33.3456/44.4015","Maplink1")</f>
        <v>Maplink1</v>
      </c>
      <c r="AV833" s="14" t="str">
        <f>HYPERLINK("https://www.google.iq/maps/search/+33.3456,44.4015/@33.3456,44.4015,14z?hl=en","Maplink2")</f>
        <v>Maplink2</v>
      </c>
      <c r="AW833" s="14" t="str">
        <f>HYPERLINK("http://www.bing.com/maps/?lvl=14&amp;sty=h&amp;cp=33.3456~44.4015&amp;sp=point.33.3456_44.4015_Shikh Umar (Mahala-127)","Maplink3")</f>
        <v>Maplink3</v>
      </c>
    </row>
    <row r="834" spans="1:49" ht="15" customHeight="1" x14ac:dyDescent="0.25">
      <c r="A834" s="21">
        <v>21633</v>
      </c>
      <c r="B834" s="22" t="s">
        <v>11</v>
      </c>
      <c r="C834" s="22" t="s">
        <v>1719</v>
      </c>
      <c r="D834" s="22" t="s">
        <v>8438</v>
      </c>
      <c r="E834" s="22" t="s">
        <v>8439</v>
      </c>
      <c r="F834" s="22">
        <v>33.347999083200001</v>
      </c>
      <c r="G834" s="22">
        <v>44.3930149499</v>
      </c>
      <c r="H834" s="21" t="s">
        <v>1449</v>
      </c>
      <c r="I834" s="21" t="s">
        <v>1720</v>
      </c>
      <c r="J834" s="21" t="s">
        <v>1861</v>
      </c>
      <c r="K834" s="24">
        <v>53</v>
      </c>
      <c r="L834" s="24">
        <v>318</v>
      </c>
      <c r="M834" s="23">
        <v>45</v>
      </c>
      <c r="N834" s="23"/>
      <c r="O834" s="23"/>
      <c r="P834" s="23"/>
      <c r="Q834" s="23"/>
      <c r="R834" s="23">
        <v>2</v>
      </c>
      <c r="S834" s="23"/>
      <c r="T834" s="23"/>
      <c r="U834" s="23"/>
      <c r="V834" s="23"/>
      <c r="W834" s="23"/>
      <c r="X834" s="23"/>
      <c r="Y834" s="23">
        <v>3</v>
      </c>
      <c r="Z834" s="23"/>
      <c r="AA834" s="23">
        <v>3</v>
      </c>
      <c r="AB834" s="23"/>
      <c r="AC834" s="23"/>
      <c r="AD834" s="23"/>
      <c r="AE834" s="23"/>
      <c r="AF834" s="23">
        <v>15</v>
      </c>
      <c r="AG834" s="23"/>
      <c r="AH834" s="23"/>
      <c r="AI834" s="23"/>
      <c r="AJ834" s="23"/>
      <c r="AK834" s="23">
        <v>38</v>
      </c>
      <c r="AL834" s="23"/>
      <c r="AM834" s="23"/>
      <c r="AN834" s="23"/>
      <c r="AO834" s="23"/>
      <c r="AP834" s="23">
        <v>3</v>
      </c>
      <c r="AQ834" s="23">
        <v>3</v>
      </c>
      <c r="AR834" s="23"/>
      <c r="AS834" s="23">
        <v>47</v>
      </c>
      <c r="AT834" s="23"/>
      <c r="AU834" s="14" t="str">
        <f>HYPERLINK("http://www.openstreetmap.org/?mlat=33.3465&amp;mlon=44.4025&amp;zoom=12#map=12/33.3465/44.4025","Maplink1")</f>
        <v>Maplink1</v>
      </c>
      <c r="AV834" s="14" t="str">
        <f>HYPERLINK("https://www.google.iq/maps/search/+33.3465,44.4025/@33.3465,44.4025,14z?hl=en","Maplink2")</f>
        <v>Maplink2</v>
      </c>
      <c r="AW834" s="14" t="str">
        <f>HYPERLINK("http://www.bing.com/maps/?lvl=14&amp;sty=h&amp;cp=33.3465~44.4025&amp;sp=point.33.3465_44.4025_Shikh Umar (Mahala-129)","Maplink3")</f>
        <v>Maplink3</v>
      </c>
    </row>
    <row r="835" spans="1:49" ht="15" customHeight="1" x14ac:dyDescent="0.25">
      <c r="A835" s="21">
        <v>24949</v>
      </c>
      <c r="B835" s="22" t="s">
        <v>11</v>
      </c>
      <c r="C835" s="22" t="s">
        <v>1719</v>
      </c>
      <c r="D835" s="22" t="s">
        <v>1788</v>
      </c>
      <c r="E835" s="22" t="s">
        <v>8440</v>
      </c>
      <c r="F835" s="22">
        <v>33.346711523300002</v>
      </c>
      <c r="G835" s="22">
        <v>44.391764838100002</v>
      </c>
      <c r="H835" s="21" t="s">
        <v>1449</v>
      </c>
      <c r="I835" s="21" t="s">
        <v>1720</v>
      </c>
      <c r="J835" s="21"/>
      <c r="K835" s="24">
        <v>21</v>
      </c>
      <c r="L835" s="24">
        <v>126</v>
      </c>
      <c r="M835" s="23">
        <v>7</v>
      </c>
      <c r="N835" s="23"/>
      <c r="O835" s="23"/>
      <c r="P835" s="23"/>
      <c r="Q835" s="23"/>
      <c r="R835" s="23">
        <v>5</v>
      </c>
      <c r="S835" s="23"/>
      <c r="T835" s="23"/>
      <c r="U835" s="23"/>
      <c r="V835" s="23"/>
      <c r="W835" s="23"/>
      <c r="X835" s="23"/>
      <c r="Y835" s="23"/>
      <c r="Z835" s="23"/>
      <c r="AA835" s="23">
        <v>9</v>
      </c>
      <c r="AB835" s="23"/>
      <c r="AC835" s="23"/>
      <c r="AD835" s="23"/>
      <c r="AE835" s="23"/>
      <c r="AF835" s="23">
        <v>8</v>
      </c>
      <c r="AG835" s="23"/>
      <c r="AH835" s="23"/>
      <c r="AI835" s="23"/>
      <c r="AJ835" s="23"/>
      <c r="AK835" s="23">
        <v>13</v>
      </c>
      <c r="AL835" s="23"/>
      <c r="AM835" s="23"/>
      <c r="AN835" s="23"/>
      <c r="AO835" s="23">
        <v>4</v>
      </c>
      <c r="AP835" s="23"/>
      <c r="AQ835" s="23">
        <v>5</v>
      </c>
      <c r="AR835" s="23">
        <v>9</v>
      </c>
      <c r="AS835" s="23">
        <v>3</v>
      </c>
      <c r="AT835" s="23"/>
      <c r="AU835" s="14" t="str">
        <f>HYPERLINK("http://www.openstreetmap.org/?mlat=33.3466&amp;mlon=44.4017&amp;zoom=12#map=12/33.3466/44.4017","Maplink1")</f>
        <v>Maplink1</v>
      </c>
      <c r="AV835" s="14" t="str">
        <f>HYPERLINK("https://www.google.iq/maps/search/+33.3466,44.4017/@33.3466,44.4017,14z?hl=en","Maplink2")</f>
        <v>Maplink2</v>
      </c>
      <c r="AW835" s="14" t="str">
        <f>HYPERLINK("http://www.bing.com/maps/?lvl=14&amp;sty=h&amp;cp=33.3466~44.4017&amp;sp=point.33.3466_44.4017_Al Shaikh Omer-125","Maplink3")</f>
        <v>Maplink3</v>
      </c>
    </row>
    <row r="836" spans="1:49" ht="15" customHeight="1" x14ac:dyDescent="0.25">
      <c r="A836" s="21">
        <v>24950</v>
      </c>
      <c r="B836" s="22" t="s">
        <v>11</v>
      </c>
      <c r="C836" s="22" t="s">
        <v>1719</v>
      </c>
      <c r="D836" s="22" t="s">
        <v>1789</v>
      </c>
      <c r="E836" s="22" t="s">
        <v>8441</v>
      </c>
      <c r="F836" s="22">
        <v>33.348195987799997</v>
      </c>
      <c r="G836" s="22">
        <v>44.3945899028</v>
      </c>
      <c r="H836" s="21" t="s">
        <v>1449</v>
      </c>
      <c r="I836" s="21" t="s">
        <v>1720</v>
      </c>
      <c r="J836" s="21"/>
      <c r="K836" s="24">
        <v>40</v>
      </c>
      <c r="L836" s="24">
        <v>240</v>
      </c>
      <c r="M836" s="23">
        <v>26</v>
      </c>
      <c r="N836" s="23"/>
      <c r="O836" s="23"/>
      <c r="P836" s="23"/>
      <c r="Q836" s="23"/>
      <c r="R836" s="23">
        <v>2</v>
      </c>
      <c r="S836" s="23"/>
      <c r="T836" s="23"/>
      <c r="U836" s="23"/>
      <c r="V836" s="23"/>
      <c r="W836" s="23"/>
      <c r="X836" s="23"/>
      <c r="Y836" s="23">
        <v>3</v>
      </c>
      <c r="Z836" s="23"/>
      <c r="AA836" s="23">
        <v>9</v>
      </c>
      <c r="AB836" s="23"/>
      <c r="AC836" s="23"/>
      <c r="AD836" s="23"/>
      <c r="AE836" s="23"/>
      <c r="AF836" s="23">
        <v>14</v>
      </c>
      <c r="AG836" s="23"/>
      <c r="AH836" s="23"/>
      <c r="AI836" s="23"/>
      <c r="AJ836" s="23"/>
      <c r="AK836" s="23">
        <v>26</v>
      </c>
      <c r="AL836" s="23"/>
      <c r="AM836" s="23"/>
      <c r="AN836" s="23"/>
      <c r="AO836" s="23">
        <v>10</v>
      </c>
      <c r="AP836" s="23">
        <v>3</v>
      </c>
      <c r="AQ836" s="23">
        <v>12</v>
      </c>
      <c r="AR836" s="23">
        <v>9</v>
      </c>
      <c r="AS836" s="23">
        <v>6</v>
      </c>
      <c r="AT836" s="23"/>
      <c r="AU836" s="14" t="str">
        <f>HYPERLINK("http://www.openstreetmap.org/?mlat=33.3466&amp;mlon=44.4017&amp;zoom=12#map=12/33.3466/44.4017","Maplink1")</f>
        <v>Maplink1</v>
      </c>
      <c r="AV836" s="14" t="str">
        <f>HYPERLINK("https://www.google.iq/maps/search/+33.3466,44.4017/@33.3466,44.4017,14z?hl=en","Maplink2")</f>
        <v>Maplink2</v>
      </c>
      <c r="AW836" s="14" t="str">
        <f>HYPERLINK("http://www.bing.com/maps/?lvl=14&amp;sty=h&amp;cp=33.3466~44.4017&amp;sp=point.33.3466_44.4017_Al Shaikh Omer-131","Maplink3")</f>
        <v>Maplink3</v>
      </c>
    </row>
    <row r="837" spans="1:49" ht="15" customHeight="1" x14ac:dyDescent="0.25">
      <c r="A837" s="21">
        <v>24951</v>
      </c>
      <c r="B837" s="22" t="s">
        <v>11</v>
      </c>
      <c r="C837" s="22" t="s">
        <v>1719</v>
      </c>
      <c r="D837" s="22" t="s">
        <v>1790</v>
      </c>
      <c r="E837" s="22" t="s">
        <v>8442</v>
      </c>
      <c r="F837" s="22">
        <v>33.332749999999997</v>
      </c>
      <c r="G837" s="22">
        <v>44.411720000000003</v>
      </c>
      <c r="H837" s="21" t="s">
        <v>1449</v>
      </c>
      <c r="I837" s="21" t="s">
        <v>1720</v>
      </c>
      <c r="J837" s="21"/>
      <c r="K837" s="24">
        <v>12</v>
      </c>
      <c r="L837" s="24">
        <v>72</v>
      </c>
      <c r="M837" s="23">
        <v>8</v>
      </c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>
        <v>4</v>
      </c>
      <c r="AB837" s="23"/>
      <c r="AC837" s="23"/>
      <c r="AD837" s="23"/>
      <c r="AE837" s="23"/>
      <c r="AF837" s="23"/>
      <c r="AG837" s="23"/>
      <c r="AH837" s="23"/>
      <c r="AI837" s="23"/>
      <c r="AJ837" s="23"/>
      <c r="AK837" s="23">
        <v>12</v>
      </c>
      <c r="AL837" s="23"/>
      <c r="AM837" s="23"/>
      <c r="AN837" s="23"/>
      <c r="AO837" s="23">
        <v>4</v>
      </c>
      <c r="AP837" s="23"/>
      <c r="AQ837" s="23">
        <v>2</v>
      </c>
      <c r="AR837" s="23">
        <v>6</v>
      </c>
      <c r="AS837" s="23"/>
      <c r="AT837" s="23"/>
      <c r="AU837" s="14" t="str">
        <f>HYPERLINK("http://www.openstreetmap.org/?mlat=33.3466&amp;mlon=44.4017&amp;zoom=12#map=12/33.3466/44.4017","Maplink1")</f>
        <v>Maplink1</v>
      </c>
      <c r="AV837" s="14" t="str">
        <f>HYPERLINK("https://www.google.iq/maps/search/+33.3466,44.4017/@33.3466,44.4017,14z?hl=en","Maplink2")</f>
        <v>Maplink2</v>
      </c>
      <c r="AW837" s="14" t="str">
        <f>HYPERLINK("http://www.bing.com/maps/?lvl=14&amp;sty=h&amp;cp=33.3466~44.4017&amp;sp=point.33.3466_44.4017_Al Shaikh Omer-137","Maplink3")</f>
        <v>Maplink3</v>
      </c>
    </row>
    <row r="838" spans="1:49" ht="15" customHeight="1" x14ac:dyDescent="0.25">
      <c r="A838" s="21">
        <v>24952</v>
      </c>
      <c r="B838" s="22" t="s">
        <v>11</v>
      </c>
      <c r="C838" s="22" t="s">
        <v>1719</v>
      </c>
      <c r="D838" s="22" t="s">
        <v>1791</v>
      </c>
      <c r="E838" s="22" t="s">
        <v>8443</v>
      </c>
      <c r="F838" s="22">
        <v>33.350340217599999</v>
      </c>
      <c r="G838" s="22">
        <v>44.4013060033</v>
      </c>
      <c r="H838" s="21" t="s">
        <v>1449</v>
      </c>
      <c r="I838" s="21" t="s">
        <v>1720</v>
      </c>
      <c r="J838" s="21"/>
      <c r="K838" s="24">
        <v>9</v>
      </c>
      <c r="L838" s="24">
        <v>54</v>
      </c>
      <c r="M838" s="23">
        <v>9</v>
      </c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>
        <v>9</v>
      </c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>
        <v>9</v>
      </c>
      <c r="AT838" s="23"/>
      <c r="AU838" s="14" t="str">
        <f>HYPERLINK("http://www.openstreetmap.org/?mlat=33.3466&amp;mlon=44.4017&amp;zoom=12#map=12/33.3466/44.4017","Maplink1")</f>
        <v>Maplink1</v>
      </c>
      <c r="AV838" s="14" t="str">
        <f>HYPERLINK("https://www.google.iq/maps/search/+33.3466,44.4017/@33.3466,44.4017,14z?hl=en","Maplink2")</f>
        <v>Maplink2</v>
      </c>
      <c r="AW838" s="14" t="str">
        <f>HYPERLINK("http://www.bing.com/maps/?lvl=14&amp;sty=h&amp;cp=33.3466~44.4017&amp;sp=point.33.3466_44.4017_Al Shaikh Omer-145","Maplink3")</f>
        <v>Maplink3</v>
      </c>
    </row>
    <row r="839" spans="1:49" ht="15" customHeight="1" x14ac:dyDescent="0.25">
      <c r="A839" s="21">
        <v>23995</v>
      </c>
      <c r="B839" s="22" t="s">
        <v>11</v>
      </c>
      <c r="C839" s="22" t="s">
        <v>1719</v>
      </c>
      <c r="D839" s="22" t="s">
        <v>1792</v>
      </c>
      <c r="E839" s="22" t="s">
        <v>7725</v>
      </c>
      <c r="F839" s="22">
        <v>33.248808136100003</v>
      </c>
      <c r="G839" s="22">
        <v>44.462229896700002</v>
      </c>
      <c r="H839" s="21" t="s">
        <v>1449</v>
      </c>
      <c r="I839" s="21" t="s">
        <v>1720</v>
      </c>
      <c r="J839" s="21" t="s">
        <v>1793</v>
      </c>
      <c r="K839" s="24">
        <v>14</v>
      </c>
      <c r="L839" s="24">
        <v>84</v>
      </c>
      <c r="M839" s="23">
        <v>1</v>
      </c>
      <c r="N839" s="23"/>
      <c r="O839" s="23"/>
      <c r="P839" s="23"/>
      <c r="Q839" s="23"/>
      <c r="R839" s="23"/>
      <c r="S839" s="23"/>
      <c r="T839" s="23"/>
      <c r="U839" s="23">
        <v>1</v>
      </c>
      <c r="V839" s="23"/>
      <c r="W839" s="23"/>
      <c r="X839" s="23"/>
      <c r="Y839" s="23">
        <v>11</v>
      </c>
      <c r="Z839" s="23"/>
      <c r="AA839" s="23">
        <v>1</v>
      </c>
      <c r="AB839" s="23"/>
      <c r="AC839" s="23"/>
      <c r="AD839" s="23"/>
      <c r="AE839" s="23"/>
      <c r="AF839" s="23">
        <v>3</v>
      </c>
      <c r="AG839" s="23"/>
      <c r="AH839" s="23"/>
      <c r="AI839" s="23"/>
      <c r="AJ839" s="23"/>
      <c r="AK839" s="23"/>
      <c r="AL839" s="23">
        <v>11</v>
      </c>
      <c r="AM839" s="23"/>
      <c r="AN839" s="23"/>
      <c r="AO839" s="23"/>
      <c r="AP839" s="23">
        <v>11</v>
      </c>
      <c r="AQ839" s="23"/>
      <c r="AR839" s="23">
        <v>3</v>
      </c>
      <c r="AS839" s="23"/>
      <c r="AT839" s="23"/>
      <c r="AU839" s="14" t="str">
        <f>HYPERLINK("http://www.openstreetmap.org/?mlat=33.2697&amp;mlon=44.4681&amp;zoom=12#map=12/33.2697/44.4681","Maplink1")</f>
        <v>Maplink1</v>
      </c>
      <c r="AV839" s="14" t="str">
        <f>HYPERLINK("https://www.google.iq/maps/search/+33.2697,44.4681/@33.2697,44.4681,14z?hl=en","Maplink2")</f>
        <v>Maplink2</v>
      </c>
      <c r="AW839" s="14" t="str">
        <f>HYPERLINK("http://www.bing.com/maps/?lvl=14&amp;sty=h&amp;cp=33.2697~44.4681&amp;sp=point.33.2697_44.4681_Al Sindabad-979","Maplink3")</f>
        <v>Maplink3</v>
      </c>
    </row>
    <row r="840" spans="1:49" ht="15" customHeight="1" x14ac:dyDescent="0.25">
      <c r="A840" s="21">
        <v>23989</v>
      </c>
      <c r="B840" s="22" t="s">
        <v>11</v>
      </c>
      <c r="C840" s="22" t="s">
        <v>1719</v>
      </c>
      <c r="D840" s="22" t="s">
        <v>1794</v>
      </c>
      <c r="E840" s="22" t="s">
        <v>7726</v>
      </c>
      <c r="F840" s="22">
        <v>33.251320125399999</v>
      </c>
      <c r="G840" s="22">
        <v>44.472949588200002</v>
      </c>
      <c r="H840" s="21" t="s">
        <v>1449</v>
      </c>
      <c r="I840" s="21" t="s">
        <v>1720</v>
      </c>
      <c r="J840" s="21" t="s">
        <v>1795</v>
      </c>
      <c r="K840" s="24">
        <v>24</v>
      </c>
      <c r="L840" s="24">
        <v>144</v>
      </c>
      <c r="M840" s="23">
        <v>4</v>
      </c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>
        <v>20</v>
      </c>
      <c r="Z840" s="23"/>
      <c r="AA840" s="23"/>
      <c r="AB840" s="23"/>
      <c r="AC840" s="23"/>
      <c r="AD840" s="23"/>
      <c r="AE840" s="23"/>
      <c r="AF840" s="23">
        <v>10</v>
      </c>
      <c r="AG840" s="23"/>
      <c r="AH840" s="23"/>
      <c r="AI840" s="23"/>
      <c r="AJ840" s="23"/>
      <c r="AK840" s="23">
        <v>14</v>
      </c>
      <c r="AL840" s="23"/>
      <c r="AM840" s="23"/>
      <c r="AN840" s="23"/>
      <c r="AO840" s="23"/>
      <c r="AP840" s="23"/>
      <c r="AQ840" s="23">
        <v>20</v>
      </c>
      <c r="AR840" s="23"/>
      <c r="AS840" s="23">
        <v>4</v>
      </c>
      <c r="AT840" s="23"/>
      <c r="AU840" s="14" t="str">
        <f>HYPERLINK("http://www.openstreetmap.org/?mlat=33.2697&amp;mlon=44.4681&amp;zoom=12#map=12/33.2697/44.4681","Maplink1")</f>
        <v>Maplink1</v>
      </c>
      <c r="AV840" s="14" t="str">
        <f>HYPERLINK("https://www.google.iq/maps/search/+33.2697,44.4681/@33.2697,44.4681,14z?hl=en","Maplink2")</f>
        <v>Maplink2</v>
      </c>
      <c r="AW840" s="14" t="str">
        <f>HYPERLINK("http://www.bing.com/maps/?lvl=14&amp;sty=h&amp;cp=33.2697~44.4681&amp;sp=point.33.2697_44.4681_Al Sindebad-977","Maplink3")</f>
        <v>Maplink3</v>
      </c>
    </row>
    <row r="841" spans="1:49" ht="15" customHeight="1" x14ac:dyDescent="0.25">
      <c r="A841" s="21">
        <v>22880</v>
      </c>
      <c r="B841" s="22" t="s">
        <v>11</v>
      </c>
      <c r="C841" s="22" t="s">
        <v>1719</v>
      </c>
      <c r="D841" s="22" t="s">
        <v>1796</v>
      </c>
      <c r="E841" s="22" t="s">
        <v>7727</v>
      </c>
      <c r="F841" s="22">
        <v>33.2665740562</v>
      </c>
      <c r="G841" s="22">
        <v>44.463298431399998</v>
      </c>
      <c r="H841" s="21" t="s">
        <v>1449</v>
      </c>
      <c r="I841" s="21" t="s">
        <v>1720</v>
      </c>
      <c r="J841" s="21" t="s">
        <v>1797</v>
      </c>
      <c r="K841" s="24">
        <v>9</v>
      </c>
      <c r="L841" s="24">
        <v>54</v>
      </c>
      <c r="M841" s="23">
        <v>9</v>
      </c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>
        <v>9</v>
      </c>
      <c r="AL841" s="23"/>
      <c r="AM841" s="23"/>
      <c r="AN841" s="23"/>
      <c r="AO841" s="23"/>
      <c r="AP841" s="23"/>
      <c r="AQ841" s="23"/>
      <c r="AR841" s="23"/>
      <c r="AS841" s="23">
        <v>9</v>
      </c>
      <c r="AT841" s="23"/>
      <c r="AU841" s="14" t="str">
        <f>HYPERLINK("http://www.openstreetmap.org/?mlat=33.248&amp;mlon=44.4718&amp;zoom=12#map=12/33.248/44.4718","Maplink1")</f>
        <v>Maplink1</v>
      </c>
      <c r="AV841" s="14" t="str">
        <f>HYPERLINK("https://www.google.iq/maps/search/+33.248,44.4718/@33.248,44.4718,14z?hl=en","Maplink2")</f>
        <v>Maplink2</v>
      </c>
      <c r="AW841" s="14" t="str">
        <f>HYPERLINK("http://www.bing.com/maps/?lvl=14&amp;sty=h&amp;cp=33.248~44.4718&amp;sp=point.33.248_44.4718_Al Sindibad-949","Maplink3")</f>
        <v>Maplink3</v>
      </c>
    </row>
    <row r="842" spans="1:49" ht="15" customHeight="1" x14ac:dyDescent="0.25">
      <c r="A842" s="21">
        <v>24174</v>
      </c>
      <c r="B842" s="22" t="s">
        <v>11</v>
      </c>
      <c r="C842" s="22" t="s">
        <v>1719</v>
      </c>
      <c r="D842" s="22" t="s">
        <v>1800</v>
      </c>
      <c r="E842" s="22" t="s">
        <v>7730</v>
      </c>
      <c r="F842" s="22">
        <v>33.373575218500001</v>
      </c>
      <c r="G842" s="22">
        <v>44.491877644900001</v>
      </c>
      <c r="H842" s="21" t="s">
        <v>1449</v>
      </c>
      <c r="I842" s="21" t="s">
        <v>1720</v>
      </c>
      <c r="J842" s="21" t="s">
        <v>1801</v>
      </c>
      <c r="K842" s="24">
        <v>13</v>
      </c>
      <c r="L842" s="24">
        <v>78</v>
      </c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>
        <v>13</v>
      </c>
      <c r="Z842" s="23"/>
      <c r="AA842" s="23"/>
      <c r="AB842" s="23"/>
      <c r="AC842" s="23"/>
      <c r="AD842" s="23"/>
      <c r="AE842" s="23"/>
      <c r="AF842" s="23">
        <v>13</v>
      </c>
      <c r="AG842" s="23"/>
      <c r="AH842" s="23"/>
      <c r="AI842" s="23"/>
      <c r="AJ842" s="23"/>
      <c r="AK842" s="23"/>
      <c r="AL842" s="23"/>
      <c r="AM842" s="23"/>
      <c r="AN842" s="23"/>
      <c r="AO842" s="23"/>
      <c r="AP842" s="23">
        <v>13</v>
      </c>
      <c r="AQ842" s="23"/>
      <c r="AR842" s="23"/>
      <c r="AS842" s="23"/>
      <c r="AT842" s="23"/>
      <c r="AU842" s="14" t="str">
        <f>HYPERLINK("http://www.openstreetmap.org/?mlat=33.373&amp;mlon=44.5116&amp;zoom=12#map=12/33.373/44.5116","Maplink1")</f>
        <v>Maplink1</v>
      </c>
      <c r="AV842" s="14" t="str">
        <f>HYPERLINK("https://www.google.iq/maps/search/+33.373,44.5116/@33.373,44.5116,14z?hl=en","Maplink2")</f>
        <v>Maplink2</v>
      </c>
      <c r="AW842" s="14" t="str">
        <f>HYPERLINK("http://www.bing.com/maps/?lvl=14&amp;sty=h&amp;cp=33.373~44.5116&amp;sp=point.33.373_44.5116_Al Ubaidy 760","Maplink3")</f>
        <v>Maplink3</v>
      </c>
    </row>
    <row r="843" spans="1:49" ht="15" customHeight="1" x14ac:dyDescent="0.25">
      <c r="A843" s="21">
        <v>24472</v>
      </c>
      <c r="B843" s="22" t="s">
        <v>11</v>
      </c>
      <c r="C843" s="22" t="s">
        <v>1719</v>
      </c>
      <c r="D843" s="22" t="s">
        <v>1802</v>
      </c>
      <c r="E843" s="22" t="s">
        <v>7731</v>
      </c>
      <c r="F843" s="22">
        <v>33.381024802200002</v>
      </c>
      <c r="G843" s="22">
        <v>44.504486558399996</v>
      </c>
      <c r="H843" s="21" t="s">
        <v>1449</v>
      </c>
      <c r="I843" s="21" t="s">
        <v>1720</v>
      </c>
      <c r="J843" s="21"/>
      <c r="K843" s="24">
        <v>14</v>
      </c>
      <c r="L843" s="24">
        <v>84</v>
      </c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>
        <v>7</v>
      </c>
      <c r="Z843" s="23"/>
      <c r="AA843" s="23">
        <v>7</v>
      </c>
      <c r="AB843" s="23"/>
      <c r="AC843" s="23"/>
      <c r="AD843" s="23"/>
      <c r="AE843" s="23"/>
      <c r="AF843" s="23">
        <v>5</v>
      </c>
      <c r="AG843" s="23"/>
      <c r="AH843" s="23"/>
      <c r="AI843" s="23"/>
      <c r="AJ843" s="23"/>
      <c r="AK843" s="23">
        <v>9</v>
      </c>
      <c r="AL843" s="23"/>
      <c r="AM843" s="23"/>
      <c r="AN843" s="23"/>
      <c r="AO843" s="23"/>
      <c r="AP843" s="23"/>
      <c r="AQ843" s="23">
        <v>14</v>
      </c>
      <c r="AR843" s="23"/>
      <c r="AS843" s="23"/>
      <c r="AT843" s="23"/>
      <c r="AU843" s="14" t="str">
        <f>HYPERLINK("http://www.openstreetmap.org/?mlat=33.38&amp;mlon=44.52&amp;zoom=12#map=12/33.38/44.52","Maplink1")</f>
        <v>Maplink1</v>
      </c>
      <c r="AV843" s="14" t="str">
        <f>HYPERLINK("https://www.google.iq/maps/search/+33.38,44.52/@33.38,44.52,14z?hl=en","Maplink2")</f>
        <v>Maplink2</v>
      </c>
      <c r="AW843" s="14" t="str">
        <f>HYPERLINK("http://www.bing.com/maps/?lvl=14&amp;sty=h&amp;cp=33.38~44.52&amp;sp=point.33.38_44.52_Al Ubaidy 766","Maplink3")</f>
        <v>Maplink3</v>
      </c>
    </row>
    <row r="844" spans="1:49" ht="15" customHeight="1" x14ac:dyDescent="0.25">
      <c r="A844" s="21">
        <v>24342</v>
      </c>
      <c r="B844" s="22" t="s">
        <v>11</v>
      </c>
      <c r="C844" s="22" t="s">
        <v>1719</v>
      </c>
      <c r="D844" s="22" t="s">
        <v>1803</v>
      </c>
      <c r="E844" s="22" t="s">
        <v>1804</v>
      </c>
      <c r="F844" s="22">
        <v>33.379134819900003</v>
      </c>
      <c r="G844" s="22">
        <v>44.507817930500003</v>
      </c>
      <c r="H844" s="21" t="s">
        <v>1449</v>
      </c>
      <c r="I844" s="21" t="s">
        <v>1720</v>
      </c>
      <c r="J844" s="21"/>
      <c r="K844" s="24">
        <v>16</v>
      </c>
      <c r="L844" s="24">
        <v>96</v>
      </c>
      <c r="M844" s="23"/>
      <c r="N844" s="23"/>
      <c r="O844" s="23"/>
      <c r="P844" s="23"/>
      <c r="Q844" s="23"/>
      <c r="R844" s="23">
        <v>4</v>
      </c>
      <c r="S844" s="23"/>
      <c r="T844" s="23"/>
      <c r="U844" s="23"/>
      <c r="V844" s="23"/>
      <c r="W844" s="23"/>
      <c r="X844" s="23"/>
      <c r="Y844" s="23">
        <v>6</v>
      </c>
      <c r="Z844" s="23"/>
      <c r="AA844" s="23">
        <v>6</v>
      </c>
      <c r="AB844" s="23"/>
      <c r="AC844" s="23"/>
      <c r="AD844" s="23"/>
      <c r="AE844" s="23"/>
      <c r="AF844" s="23">
        <v>4</v>
      </c>
      <c r="AG844" s="23"/>
      <c r="AH844" s="23"/>
      <c r="AI844" s="23"/>
      <c r="AJ844" s="23">
        <v>12</v>
      </c>
      <c r="AK844" s="23"/>
      <c r="AL844" s="23"/>
      <c r="AM844" s="23"/>
      <c r="AN844" s="23"/>
      <c r="AO844" s="23"/>
      <c r="AP844" s="23"/>
      <c r="AQ844" s="23">
        <v>16</v>
      </c>
      <c r="AR844" s="23"/>
      <c r="AS844" s="23"/>
      <c r="AT844" s="23"/>
      <c r="AU844" s="14" t="str">
        <f>HYPERLINK("http://www.openstreetmap.org/?mlat=33.3844&amp;mlon=44.51&amp;zoom=12#map=12/33.3844/44.51","Maplink1")</f>
        <v>Maplink1</v>
      </c>
      <c r="AV844" s="14" t="str">
        <f>HYPERLINK("https://www.google.iq/maps/search/+33.3844,44.51/@33.3844,44.51,14z?hl=en","Maplink2")</f>
        <v>Maplink2</v>
      </c>
      <c r="AW844" s="14" t="str">
        <f>HYPERLINK("http://www.bing.com/maps/?lvl=14&amp;sty=h&amp;cp=33.3844~44.51&amp;sp=point.33.3844_44.51_Al Ubaidy 768","Maplink3")</f>
        <v>Maplink3</v>
      </c>
    </row>
    <row r="845" spans="1:49" ht="15" customHeight="1" x14ac:dyDescent="0.25">
      <c r="A845" s="21">
        <v>24020</v>
      </c>
      <c r="B845" s="22" t="s">
        <v>11</v>
      </c>
      <c r="C845" s="22" t="s">
        <v>1719</v>
      </c>
      <c r="D845" s="22" t="s">
        <v>8444</v>
      </c>
      <c r="E845" s="22" t="s">
        <v>7728</v>
      </c>
      <c r="F845" s="22">
        <v>33.359789364100003</v>
      </c>
      <c r="G845" s="22">
        <v>44.497294688399997</v>
      </c>
      <c r="H845" s="21" t="s">
        <v>1449</v>
      </c>
      <c r="I845" s="21" t="s">
        <v>1720</v>
      </c>
      <c r="J845" s="21" t="s">
        <v>1798</v>
      </c>
      <c r="K845" s="24">
        <v>12</v>
      </c>
      <c r="L845" s="24">
        <v>72</v>
      </c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>
        <v>9</v>
      </c>
      <c r="Z845" s="23"/>
      <c r="AA845" s="23">
        <v>3</v>
      </c>
      <c r="AB845" s="23"/>
      <c r="AC845" s="23"/>
      <c r="AD845" s="23"/>
      <c r="AE845" s="23"/>
      <c r="AF845" s="23">
        <v>8</v>
      </c>
      <c r="AG845" s="23"/>
      <c r="AH845" s="23"/>
      <c r="AI845" s="23"/>
      <c r="AJ845" s="23"/>
      <c r="AK845" s="23">
        <v>4</v>
      </c>
      <c r="AL845" s="23"/>
      <c r="AM845" s="23"/>
      <c r="AN845" s="23"/>
      <c r="AO845" s="23">
        <v>7</v>
      </c>
      <c r="AP845" s="23"/>
      <c r="AQ845" s="23">
        <v>5</v>
      </c>
      <c r="AR845" s="23"/>
      <c r="AS845" s="23"/>
      <c r="AT845" s="23"/>
      <c r="AU845" s="14" t="str">
        <f>HYPERLINK("http://www.openstreetmap.org/?mlat=33.3699&amp;mlon=44.514&amp;zoom=12#map=12/33.3699/44.514","Maplink1")</f>
        <v>Maplink1</v>
      </c>
      <c r="AV845" s="14" t="str">
        <f>HYPERLINK("https://www.google.iq/maps/search/+33.3699,44.514/@33.3699,44.514,14z?hl=en","Maplink2")</f>
        <v>Maplink2</v>
      </c>
      <c r="AW845" s="14" t="str">
        <f>HYPERLINK("http://www.bing.com/maps/?lvl=14&amp;sty=h&amp;cp=33.3699~44.514&amp;sp=point.33.3699_44.514_Al Ubaide-752","Maplink3")</f>
        <v>Maplink3</v>
      </c>
    </row>
    <row r="846" spans="1:49" ht="15" customHeight="1" x14ac:dyDescent="0.25">
      <c r="A846" s="21">
        <v>23601</v>
      </c>
      <c r="B846" s="22" t="s">
        <v>11</v>
      </c>
      <c r="C846" s="22" t="s">
        <v>1719</v>
      </c>
      <c r="D846" s="22" t="s">
        <v>8445</v>
      </c>
      <c r="E846" s="22" t="s">
        <v>1805</v>
      </c>
      <c r="F846" s="22">
        <v>33.365949329000003</v>
      </c>
      <c r="G846" s="22">
        <v>44.512347423999998</v>
      </c>
      <c r="H846" s="21" t="s">
        <v>1449</v>
      </c>
      <c r="I846" s="21" t="s">
        <v>1720</v>
      </c>
      <c r="J846" s="21" t="s">
        <v>1806</v>
      </c>
      <c r="K846" s="24">
        <v>18</v>
      </c>
      <c r="L846" s="24">
        <v>108</v>
      </c>
      <c r="M846" s="23"/>
      <c r="N846" s="23"/>
      <c r="O846" s="23"/>
      <c r="P846" s="23"/>
      <c r="Q846" s="23"/>
      <c r="R846" s="23">
        <v>9</v>
      </c>
      <c r="S846" s="23"/>
      <c r="T846" s="23"/>
      <c r="U846" s="23"/>
      <c r="V846" s="23"/>
      <c r="W846" s="23"/>
      <c r="X846" s="23"/>
      <c r="Y846" s="23">
        <v>6</v>
      </c>
      <c r="Z846" s="23"/>
      <c r="AA846" s="23">
        <v>3</v>
      </c>
      <c r="AB846" s="23"/>
      <c r="AC846" s="23"/>
      <c r="AD846" s="23"/>
      <c r="AE846" s="23"/>
      <c r="AF846" s="23">
        <v>7</v>
      </c>
      <c r="AG846" s="23"/>
      <c r="AH846" s="23"/>
      <c r="AI846" s="23"/>
      <c r="AJ846" s="23"/>
      <c r="AK846" s="23">
        <v>11</v>
      </c>
      <c r="AL846" s="23"/>
      <c r="AM846" s="23"/>
      <c r="AN846" s="23"/>
      <c r="AO846" s="23"/>
      <c r="AP846" s="23"/>
      <c r="AQ846" s="23">
        <v>18</v>
      </c>
      <c r="AR846" s="23"/>
      <c r="AS846" s="23"/>
      <c r="AT846" s="23"/>
      <c r="AU846" s="14" t="str">
        <f>HYPERLINK("http://www.openstreetmap.org/?mlat=33.3709&amp;mlon=44.5114&amp;zoom=12#map=12/33.3709/44.5114","Maplink1")</f>
        <v>Maplink1</v>
      </c>
      <c r="AV846" s="14" t="str">
        <f>HYPERLINK("https://www.google.iq/maps/search/+33.3709,44.5114/@33.3709,44.5114,14z?hl=en","Maplink2")</f>
        <v>Maplink2</v>
      </c>
      <c r="AW846" s="14" t="str">
        <f>HYPERLINK("http://www.bing.com/maps/?lvl=14&amp;sty=h&amp;cp=33.3709~44.5114&amp;sp=point.33.3709_44.5114_Al Ubaydi-756","Maplink3")</f>
        <v>Maplink3</v>
      </c>
    </row>
    <row r="847" spans="1:49" ht="15" customHeight="1" x14ac:dyDescent="0.25">
      <c r="A847" s="21">
        <v>24021</v>
      </c>
      <c r="B847" s="22" t="s">
        <v>11</v>
      </c>
      <c r="C847" s="22" t="s">
        <v>1719</v>
      </c>
      <c r="D847" s="22" t="s">
        <v>8446</v>
      </c>
      <c r="E847" s="22" t="s">
        <v>7729</v>
      </c>
      <c r="F847" s="22">
        <v>33.379143488899999</v>
      </c>
      <c r="G847" s="22">
        <v>44.492703279300002</v>
      </c>
      <c r="H847" s="21" t="s">
        <v>1449</v>
      </c>
      <c r="I847" s="21" t="s">
        <v>1720</v>
      </c>
      <c r="J847" s="21" t="s">
        <v>1799</v>
      </c>
      <c r="K847" s="24">
        <v>17</v>
      </c>
      <c r="L847" s="24">
        <v>102</v>
      </c>
      <c r="M847" s="23">
        <v>2</v>
      </c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>
        <v>10</v>
      </c>
      <c r="Z847" s="23"/>
      <c r="AA847" s="23">
        <v>5</v>
      </c>
      <c r="AB847" s="23"/>
      <c r="AC847" s="23"/>
      <c r="AD847" s="23"/>
      <c r="AE847" s="23"/>
      <c r="AF847" s="23">
        <v>5</v>
      </c>
      <c r="AG847" s="23"/>
      <c r="AH847" s="23"/>
      <c r="AI847" s="23"/>
      <c r="AJ847" s="23"/>
      <c r="AK847" s="23">
        <v>12</v>
      </c>
      <c r="AL847" s="23"/>
      <c r="AM847" s="23"/>
      <c r="AN847" s="23"/>
      <c r="AO847" s="23">
        <v>4</v>
      </c>
      <c r="AP847" s="23"/>
      <c r="AQ847" s="23">
        <v>13</v>
      </c>
      <c r="AR847" s="23"/>
      <c r="AS847" s="23"/>
      <c r="AT847" s="23"/>
      <c r="AU847" s="14" t="str">
        <f>HYPERLINK("http://www.openstreetmap.org/?mlat=33.3699&amp;mlon=44.5139&amp;zoom=12#map=12/33.3699/44.5139","Maplink1")</f>
        <v>Maplink1</v>
      </c>
      <c r="AV847" s="14" t="str">
        <f>HYPERLINK("https://www.google.iq/maps/search/+33.3699,44.5139/@33.3699,44.5139,14z?hl=en","Maplink2")</f>
        <v>Maplink2</v>
      </c>
      <c r="AW847" s="14" t="str">
        <f>HYPERLINK("http://www.bing.com/maps/?lvl=14&amp;sty=h&amp;cp=33.3699~44.5139&amp;sp=point.33.3699_44.5139_Al Ubaide-758","Maplink3")</f>
        <v>Maplink3</v>
      </c>
    </row>
    <row r="848" spans="1:49" ht="15" customHeight="1" x14ac:dyDescent="0.25">
      <c r="A848" s="21">
        <v>23036</v>
      </c>
      <c r="B848" s="22" t="s">
        <v>11</v>
      </c>
      <c r="C848" s="22" t="s">
        <v>1719</v>
      </c>
      <c r="D848" s="22" t="s">
        <v>8447</v>
      </c>
      <c r="E848" s="22" t="s">
        <v>7732</v>
      </c>
      <c r="F848" s="22">
        <v>33.371227404800003</v>
      </c>
      <c r="G848" s="22">
        <v>44.516582368599998</v>
      </c>
      <c r="H848" s="21" t="s">
        <v>1449</v>
      </c>
      <c r="I848" s="21" t="s">
        <v>1720</v>
      </c>
      <c r="J848" s="21" t="s">
        <v>1807</v>
      </c>
      <c r="K848" s="24">
        <v>32</v>
      </c>
      <c r="L848" s="24">
        <v>192</v>
      </c>
      <c r="M848" s="23">
        <v>8</v>
      </c>
      <c r="N848" s="23"/>
      <c r="O848" s="23"/>
      <c r="P848" s="23"/>
      <c r="Q848" s="23"/>
      <c r="R848" s="23">
        <v>10</v>
      </c>
      <c r="S848" s="23"/>
      <c r="T848" s="23"/>
      <c r="U848" s="23"/>
      <c r="V848" s="23"/>
      <c r="W848" s="23"/>
      <c r="X848" s="23"/>
      <c r="Y848" s="23">
        <v>14</v>
      </c>
      <c r="Z848" s="23"/>
      <c r="AA848" s="23"/>
      <c r="AB848" s="23"/>
      <c r="AC848" s="23"/>
      <c r="AD848" s="23"/>
      <c r="AE848" s="23"/>
      <c r="AF848" s="23">
        <v>10</v>
      </c>
      <c r="AG848" s="23"/>
      <c r="AH848" s="23"/>
      <c r="AI848" s="23"/>
      <c r="AJ848" s="23"/>
      <c r="AK848" s="23">
        <v>22</v>
      </c>
      <c r="AL848" s="23"/>
      <c r="AM848" s="23"/>
      <c r="AN848" s="23"/>
      <c r="AO848" s="23">
        <v>10</v>
      </c>
      <c r="AP848" s="23"/>
      <c r="AQ848" s="23">
        <v>20</v>
      </c>
      <c r="AR848" s="23"/>
      <c r="AS848" s="23">
        <v>2</v>
      </c>
      <c r="AT848" s="23"/>
      <c r="AU848" s="14" t="str">
        <f>HYPERLINK("http://www.openstreetmap.org/?mlat=33.3708&amp;mlon=44.5114&amp;zoom=12#map=12/33.3708/44.5114","Maplink1")</f>
        <v>Maplink1</v>
      </c>
      <c r="AV848" s="14" t="str">
        <f>HYPERLINK("https://www.google.iq/maps/search/+33.3708,44.5114/@33.3708,44.5114,14z?hl=en","Maplink2")</f>
        <v>Maplink2</v>
      </c>
      <c r="AW848" s="14" t="str">
        <f>HYPERLINK("http://www.bing.com/maps/?lvl=14&amp;sty=h&amp;cp=33.3708~44.5114&amp;sp=point.33.3708_44.5114_Al Ubaydi-762","Maplink3")</f>
        <v>Maplink3</v>
      </c>
    </row>
    <row r="849" spans="1:49" ht="15" customHeight="1" x14ac:dyDescent="0.25">
      <c r="A849" s="21">
        <v>23996</v>
      </c>
      <c r="B849" s="22" t="s">
        <v>11</v>
      </c>
      <c r="C849" s="22" t="s">
        <v>1719</v>
      </c>
      <c r="D849" s="22" t="s">
        <v>1808</v>
      </c>
      <c r="E849" s="22" t="s">
        <v>7733</v>
      </c>
      <c r="F849" s="22">
        <v>33.310004948699998</v>
      </c>
      <c r="G849" s="22">
        <v>44.4260028586</v>
      </c>
      <c r="H849" s="21" t="s">
        <v>1449</v>
      </c>
      <c r="I849" s="21" t="s">
        <v>1720</v>
      </c>
      <c r="J849" s="21" t="s">
        <v>1809</v>
      </c>
      <c r="K849" s="24">
        <v>27</v>
      </c>
      <c r="L849" s="24">
        <v>162</v>
      </c>
      <c r="M849" s="23">
        <v>13</v>
      </c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>
        <v>14</v>
      </c>
      <c r="Z849" s="23"/>
      <c r="AA849" s="23"/>
      <c r="AB849" s="23"/>
      <c r="AC849" s="23"/>
      <c r="AD849" s="23"/>
      <c r="AE849" s="23"/>
      <c r="AF849" s="23">
        <v>12</v>
      </c>
      <c r="AG849" s="23"/>
      <c r="AH849" s="23"/>
      <c r="AI849" s="23"/>
      <c r="AJ849" s="23"/>
      <c r="AK849" s="23">
        <v>15</v>
      </c>
      <c r="AL849" s="23"/>
      <c r="AM849" s="23"/>
      <c r="AN849" s="23"/>
      <c r="AO849" s="23">
        <v>3</v>
      </c>
      <c r="AP849" s="23">
        <v>12</v>
      </c>
      <c r="AQ849" s="23">
        <v>7</v>
      </c>
      <c r="AR849" s="23">
        <v>5</v>
      </c>
      <c r="AS849" s="23"/>
      <c r="AT849" s="23"/>
      <c r="AU849" s="14" t="str">
        <f>HYPERLINK("http://www.openstreetmap.org/?mlat=33.3109&amp;mlon=44.4404&amp;zoom=12#map=12/33.3109/44.4404","Maplink1")</f>
        <v>Maplink1</v>
      </c>
      <c r="AV849" s="14" t="str">
        <f>HYPERLINK("https://www.google.iq/maps/search/+33.3109,44.4404/@33.3109,44.4404,14z?hl=en","Maplink2")</f>
        <v>Maplink2</v>
      </c>
      <c r="AW849" s="14" t="str">
        <f>HYPERLINK("http://www.bing.com/maps/?lvl=14&amp;sty=h&amp;cp=33.3109~44.4404&amp;sp=point.33.3109_44.4404_Al Wehda-902","Maplink3")</f>
        <v>Maplink3</v>
      </c>
    </row>
    <row r="850" spans="1:49" ht="15" customHeight="1" x14ac:dyDescent="0.25">
      <c r="A850" s="21">
        <v>23997</v>
      </c>
      <c r="B850" s="22" t="s">
        <v>11</v>
      </c>
      <c r="C850" s="22" t="s">
        <v>1719</v>
      </c>
      <c r="D850" s="22" t="s">
        <v>1810</v>
      </c>
      <c r="E850" s="22" t="s">
        <v>7734</v>
      </c>
      <c r="F850" s="22">
        <v>33.3054834064</v>
      </c>
      <c r="G850" s="22">
        <v>44.4469519373</v>
      </c>
      <c r="H850" s="21" t="s">
        <v>1449</v>
      </c>
      <c r="I850" s="21" t="s">
        <v>1720</v>
      </c>
      <c r="J850" s="21" t="s">
        <v>1811</v>
      </c>
      <c r="K850" s="24">
        <v>50</v>
      </c>
      <c r="L850" s="24">
        <v>300</v>
      </c>
      <c r="M850" s="23">
        <v>10</v>
      </c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>
        <v>32</v>
      </c>
      <c r="Z850" s="23"/>
      <c r="AA850" s="23">
        <v>8</v>
      </c>
      <c r="AB850" s="23"/>
      <c r="AC850" s="23"/>
      <c r="AD850" s="23"/>
      <c r="AE850" s="23"/>
      <c r="AF850" s="23">
        <v>17</v>
      </c>
      <c r="AG850" s="23"/>
      <c r="AH850" s="23"/>
      <c r="AI850" s="23"/>
      <c r="AJ850" s="23"/>
      <c r="AK850" s="23">
        <v>33</v>
      </c>
      <c r="AL850" s="23"/>
      <c r="AM850" s="23"/>
      <c r="AN850" s="23"/>
      <c r="AO850" s="23">
        <v>4</v>
      </c>
      <c r="AP850" s="23">
        <v>7</v>
      </c>
      <c r="AQ850" s="23">
        <v>19</v>
      </c>
      <c r="AR850" s="23">
        <v>17</v>
      </c>
      <c r="AS850" s="23">
        <v>3</v>
      </c>
      <c r="AT850" s="23"/>
      <c r="AU850" s="14" t="str">
        <f>HYPERLINK("http://www.openstreetmap.org/?mlat=33.3109&amp;mlon=44.4404&amp;zoom=12#map=12/33.3109/44.4404","Maplink1")</f>
        <v>Maplink1</v>
      </c>
      <c r="AV850" s="14" t="str">
        <f>HYPERLINK("https://www.google.iq/maps/search/+33.3109,44.4404/@33.3109,44.4404,14z?hl=en","Maplink2")</f>
        <v>Maplink2</v>
      </c>
      <c r="AW850" s="14" t="str">
        <f>HYPERLINK("http://www.bing.com/maps/?lvl=14&amp;sty=h&amp;cp=33.3109~44.4404&amp;sp=point.33.3109_44.4404_Al Wehda-904","Maplink3")</f>
        <v>Maplink3</v>
      </c>
    </row>
    <row r="851" spans="1:49" ht="15" customHeight="1" x14ac:dyDescent="0.25">
      <c r="A851" s="21">
        <v>23998</v>
      </c>
      <c r="B851" s="22" t="s">
        <v>11</v>
      </c>
      <c r="C851" s="22" t="s">
        <v>1719</v>
      </c>
      <c r="D851" s="22" t="s">
        <v>1812</v>
      </c>
      <c r="E851" s="22" t="s">
        <v>1813</v>
      </c>
      <c r="F851" s="22">
        <v>33.314974967600001</v>
      </c>
      <c r="G851" s="22">
        <v>44.439402241400003</v>
      </c>
      <c r="H851" s="21" t="s">
        <v>1449</v>
      </c>
      <c r="I851" s="21" t="s">
        <v>1720</v>
      </c>
      <c r="J851" s="21" t="s">
        <v>1814</v>
      </c>
      <c r="K851" s="24">
        <v>50</v>
      </c>
      <c r="L851" s="24">
        <v>300</v>
      </c>
      <c r="M851" s="23">
        <v>12</v>
      </c>
      <c r="N851" s="23"/>
      <c r="O851" s="23"/>
      <c r="P851" s="23"/>
      <c r="Q851" s="23"/>
      <c r="R851" s="23">
        <v>5</v>
      </c>
      <c r="S851" s="23"/>
      <c r="T851" s="23"/>
      <c r="U851" s="23"/>
      <c r="V851" s="23"/>
      <c r="W851" s="23"/>
      <c r="X851" s="23"/>
      <c r="Y851" s="23">
        <v>21</v>
      </c>
      <c r="Z851" s="23"/>
      <c r="AA851" s="23">
        <v>12</v>
      </c>
      <c r="AB851" s="23"/>
      <c r="AC851" s="23"/>
      <c r="AD851" s="23"/>
      <c r="AE851" s="23"/>
      <c r="AF851" s="23">
        <v>32</v>
      </c>
      <c r="AG851" s="23"/>
      <c r="AH851" s="23"/>
      <c r="AI851" s="23"/>
      <c r="AJ851" s="23"/>
      <c r="AK851" s="23">
        <v>18</v>
      </c>
      <c r="AL851" s="23"/>
      <c r="AM851" s="23"/>
      <c r="AN851" s="23"/>
      <c r="AO851" s="23">
        <v>10</v>
      </c>
      <c r="AP851" s="23"/>
      <c r="AQ851" s="23">
        <v>7</v>
      </c>
      <c r="AR851" s="23">
        <v>29</v>
      </c>
      <c r="AS851" s="23">
        <v>4</v>
      </c>
      <c r="AT851" s="23"/>
      <c r="AU851" s="14" t="str">
        <f>HYPERLINK("http://www.openstreetmap.org/?mlat=33.3109&amp;mlon=44.4404&amp;zoom=12#map=12/33.3109/44.4404","Maplink1")</f>
        <v>Maplink1</v>
      </c>
      <c r="AV851" s="14" t="str">
        <f>HYPERLINK("https://www.google.iq/maps/search/+33.3109,44.4404/@33.3109,44.4404,14z?hl=en","Maplink2")</f>
        <v>Maplink2</v>
      </c>
      <c r="AW851" s="14" t="str">
        <f>HYPERLINK("http://www.bing.com/maps/?lvl=14&amp;sty=h&amp;cp=33.3109~44.4404&amp;sp=point.33.3109_44.4404_Al Wehda-906","Maplink3")</f>
        <v>Maplink3</v>
      </c>
    </row>
    <row r="852" spans="1:49" ht="15" customHeight="1" x14ac:dyDescent="0.25">
      <c r="A852" s="21">
        <v>24473</v>
      </c>
      <c r="B852" s="22" t="s">
        <v>11</v>
      </c>
      <c r="C852" s="22" t="s">
        <v>1719</v>
      </c>
      <c r="D852" s="22" t="s">
        <v>1815</v>
      </c>
      <c r="E852" s="22" t="s">
        <v>8448</v>
      </c>
      <c r="F852" s="22">
        <v>33.268487542499997</v>
      </c>
      <c r="G852" s="22">
        <v>44.479053282899997</v>
      </c>
      <c r="H852" s="21" t="s">
        <v>1449</v>
      </c>
      <c r="I852" s="21" t="s">
        <v>1720</v>
      </c>
      <c r="J852" s="21"/>
      <c r="K852" s="24">
        <v>100</v>
      </c>
      <c r="L852" s="24">
        <v>600</v>
      </c>
      <c r="M852" s="23">
        <v>26</v>
      </c>
      <c r="N852" s="23"/>
      <c r="O852" s="23"/>
      <c r="P852" s="23"/>
      <c r="Q852" s="23"/>
      <c r="R852" s="23">
        <v>4</v>
      </c>
      <c r="S852" s="23"/>
      <c r="T852" s="23"/>
      <c r="U852" s="23"/>
      <c r="V852" s="23"/>
      <c r="W852" s="23"/>
      <c r="X852" s="23"/>
      <c r="Y852" s="23">
        <v>61</v>
      </c>
      <c r="Z852" s="23"/>
      <c r="AA852" s="23">
        <v>9</v>
      </c>
      <c r="AB852" s="23"/>
      <c r="AC852" s="23"/>
      <c r="AD852" s="23"/>
      <c r="AE852" s="23"/>
      <c r="AF852" s="23">
        <v>15</v>
      </c>
      <c r="AG852" s="23"/>
      <c r="AH852" s="23"/>
      <c r="AI852" s="23"/>
      <c r="AJ852" s="23">
        <v>6</v>
      </c>
      <c r="AK852" s="23">
        <v>42</v>
      </c>
      <c r="AL852" s="23">
        <v>37</v>
      </c>
      <c r="AM852" s="23"/>
      <c r="AN852" s="23"/>
      <c r="AO852" s="23"/>
      <c r="AP852" s="23"/>
      <c r="AQ852" s="23">
        <v>42</v>
      </c>
      <c r="AR852" s="23">
        <v>32</v>
      </c>
      <c r="AS852" s="23">
        <v>26</v>
      </c>
      <c r="AT852" s="23"/>
      <c r="AU852" s="14" t="str">
        <f>HYPERLINK("http://www.openstreetmap.org/?mlat=33.26&amp;mlon=44.49&amp;zoom=12#map=12/33.26/44.49","Maplink1")</f>
        <v>Maplink1</v>
      </c>
      <c r="AV852" s="14" t="str">
        <f>HYPERLINK("https://www.google.iq/maps/search/+33.26,44.49/@33.26,44.49,14z?hl=en","Maplink2")</f>
        <v>Maplink2</v>
      </c>
      <c r="AW852" s="14" t="str">
        <f>HYPERLINK("http://www.bing.com/maps/?lvl=14&amp;sty=h&amp;cp=33.26~44.49&amp;sp=point.33.26_44.49_Al Zaafaranyah-951","Maplink3")</f>
        <v>Maplink3</v>
      </c>
    </row>
    <row r="853" spans="1:49" ht="15" customHeight="1" x14ac:dyDescent="0.25">
      <c r="A853" s="21">
        <v>24008</v>
      </c>
      <c r="B853" s="22" t="s">
        <v>11</v>
      </c>
      <c r="C853" s="22" t="s">
        <v>1719</v>
      </c>
      <c r="D853" s="22" t="s">
        <v>1816</v>
      </c>
      <c r="E853" s="22" t="s">
        <v>8449</v>
      </c>
      <c r="F853" s="22">
        <v>33.264136652099999</v>
      </c>
      <c r="G853" s="22">
        <v>44.4781494076</v>
      </c>
      <c r="H853" s="21" t="s">
        <v>1449</v>
      </c>
      <c r="I853" s="21" t="s">
        <v>1720</v>
      </c>
      <c r="J853" s="21" t="s">
        <v>1817</v>
      </c>
      <c r="K853" s="24">
        <v>56</v>
      </c>
      <c r="L853" s="24">
        <v>336</v>
      </c>
      <c r="M853" s="23">
        <v>18</v>
      </c>
      <c r="N853" s="23"/>
      <c r="O853" s="23"/>
      <c r="P853" s="23"/>
      <c r="Q853" s="23"/>
      <c r="R853" s="23">
        <v>10</v>
      </c>
      <c r="S853" s="23"/>
      <c r="T853" s="23"/>
      <c r="U853" s="23"/>
      <c r="V853" s="23"/>
      <c r="W853" s="23"/>
      <c r="X853" s="23"/>
      <c r="Y853" s="23">
        <v>19</v>
      </c>
      <c r="Z853" s="23"/>
      <c r="AA853" s="23">
        <v>9</v>
      </c>
      <c r="AB853" s="23"/>
      <c r="AC853" s="23"/>
      <c r="AD853" s="23"/>
      <c r="AE853" s="23"/>
      <c r="AF853" s="23">
        <v>18</v>
      </c>
      <c r="AG853" s="23"/>
      <c r="AH853" s="23"/>
      <c r="AI853" s="23"/>
      <c r="AJ853" s="23"/>
      <c r="AK853" s="23">
        <v>38</v>
      </c>
      <c r="AL853" s="23"/>
      <c r="AM853" s="23"/>
      <c r="AN853" s="23"/>
      <c r="AO853" s="23">
        <v>3</v>
      </c>
      <c r="AP853" s="23">
        <v>6</v>
      </c>
      <c r="AQ853" s="23">
        <v>7</v>
      </c>
      <c r="AR853" s="23">
        <v>19</v>
      </c>
      <c r="AS853" s="23">
        <v>21</v>
      </c>
      <c r="AT853" s="23"/>
      <c r="AU853" s="14" t="str">
        <f t="shared" ref="AU853:AU859" si="0">HYPERLINK("http://www.openstreetmap.org/?mlat=33.2554&amp;mlon=44.4855&amp;zoom=12#map=12/33.2554/44.4855","Maplink1")</f>
        <v>Maplink1</v>
      </c>
      <c r="AV853" s="14" t="str">
        <f t="shared" ref="AV853:AV859" si="1">HYPERLINK("https://www.google.iq/maps/search/+33.2554,44.4855/@33.2554,44.4855,14z?hl=en","Maplink2")</f>
        <v>Maplink2</v>
      </c>
      <c r="AW853" s="14" t="str">
        <f>HYPERLINK("http://www.bing.com/maps/?lvl=14&amp;sty=h&amp;cp=33.2554~44.4855&amp;sp=point.33.2554_44.4855_Al Zaafaranyah-953","Maplink3")</f>
        <v>Maplink3</v>
      </c>
    </row>
    <row r="854" spans="1:49" ht="15" customHeight="1" x14ac:dyDescent="0.25">
      <c r="A854" s="21">
        <v>24009</v>
      </c>
      <c r="B854" s="22" t="s">
        <v>11</v>
      </c>
      <c r="C854" s="22" t="s">
        <v>1719</v>
      </c>
      <c r="D854" s="22" t="s">
        <v>1818</v>
      </c>
      <c r="E854" s="22" t="s">
        <v>7735</v>
      </c>
      <c r="F854" s="22">
        <v>33.262244329200001</v>
      </c>
      <c r="G854" s="22">
        <v>44.474775757899998</v>
      </c>
      <c r="H854" s="21" t="s">
        <v>1449</v>
      </c>
      <c r="I854" s="21" t="s">
        <v>1720</v>
      </c>
      <c r="J854" s="21" t="s">
        <v>1819</v>
      </c>
      <c r="K854" s="24">
        <v>42</v>
      </c>
      <c r="L854" s="24">
        <v>252</v>
      </c>
      <c r="M854" s="23">
        <v>26</v>
      </c>
      <c r="N854" s="23"/>
      <c r="O854" s="23"/>
      <c r="P854" s="23"/>
      <c r="Q854" s="23"/>
      <c r="R854" s="23">
        <v>4</v>
      </c>
      <c r="S854" s="23"/>
      <c r="T854" s="23"/>
      <c r="U854" s="23"/>
      <c r="V854" s="23"/>
      <c r="W854" s="23"/>
      <c r="X854" s="23"/>
      <c r="Y854" s="23">
        <v>8</v>
      </c>
      <c r="Z854" s="23"/>
      <c r="AA854" s="23">
        <v>4</v>
      </c>
      <c r="AB854" s="23"/>
      <c r="AC854" s="23"/>
      <c r="AD854" s="23"/>
      <c r="AE854" s="23"/>
      <c r="AF854" s="23">
        <v>20</v>
      </c>
      <c r="AG854" s="23"/>
      <c r="AH854" s="23"/>
      <c r="AI854" s="23"/>
      <c r="AJ854" s="23"/>
      <c r="AK854" s="23">
        <v>22</v>
      </c>
      <c r="AL854" s="23"/>
      <c r="AM854" s="23"/>
      <c r="AN854" s="23"/>
      <c r="AO854" s="23">
        <v>5</v>
      </c>
      <c r="AP854" s="23">
        <v>6</v>
      </c>
      <c r="AQ854" s="23"/>
      <c r="AR854" s="23">
        <v>15</v>
      </c>
      <c r="AS854" s="23">
        <v>16</v>
      </c>
      <c r="AT854" s="23"/>
      <c r="AU854" s="14" t="str">
        <f t="shared" si="0"/>
        <v>Maplink1</v>
      </c>
      <c r="AV854" s="14" t="str">
        <f t="shared" si="1"/>
        <v>Maplink2</v>
      </c>
      <c r="AW854" s="14" t="str">
        <f>HYPERLINK("http://www.bing.com/maps/?lvl=14&amp;sty=h&amp;cp=33.2554~44.4855&amp;sp=point.33.2554_44.4855_Al Zaafaranyah-955","Maplink3")</f>
        <v>Maplink3</v>
      </c>
    </row>
    <row r="855" spans="1:49" ht="15" customHeight="1" x14ac:dyDescent="0.25">
      <c r="A855" s="21">
        <v>24007</v>
      </c>
      <c r="B855" s="22" t="s">
        <v>11</v>
      </c>
      <c r="C855" s="22" t="s">
        <v>1719</v>
      </c>
      <c r="D855" s="22" t="s">
        <v>1820</v>
      </c>
      <c r="E855" s="22" t="s">
        <v>7736</v>
      </c>
      <c r="F855" s="22">
        <v>33.251974362399999</v>
      </c>
      <c r="G855" s="22">
        <v>44.479010404199997</v>
      </c>
      <c r="H855" s="21" t="s">
        <v>1449</v>
      </c>
      <c r="I855" s="21" t="s">
        <v>1720</v>
      </c>
      <c r="J855" s="21" t="s">
        <v>1821</v>
      </c>
      <c r="K855" s="24">
        <v>40</v>
      </c>
      <c r="L855" s="24">
        <v>240</v>
      </c>
      <c r="M855" s="23">
        <v>8</v>
      </c>
      <c r="N855" s="23"/>
      <c r="O855" s="23"/>
      <c r="P855" s="23"/>
      <c r="Q855" s="23"/>
      <c r="R855" s="23">
        <v>2</v>
      </c>
      <c r="S855" s="23"/>
      <c r="T855" s="23"/>
      <c r="U855" s="23"/>
      <c r="V855" s="23"/>
      <c r="W855" s="23"/>
      <c r="X855" s="23"/>
      <c r="Y855" s="23">
        <v>24</v>
      </c>
      <c r="Z855" s="23"/>
      <c r="AA855" s="23">
        <v>6</v>
      </c>
      <c r="AB855" s="23"/>
      <c r="AC855" s="23"/>
      <c r="AD855" s="23"/>
      <c r="AE855" s="23"/>
      <c r="AF855" s="23">
        <v>10</v>
      </c>
      <c r="AG855" s="23"/>
      <c r="AH855" s="23"/>
      <c r="AI855" s="23"/>
      <c r="AJ855" s="23"/>
      <c r="AK855" s="23">
        <v>30</v>
      </c>
      <c r="AL855" s="23"/>
      <c r="AM855" s="23"/>
      <c r="AN855" s="23"/>
      <c r="AO855" s="23"/>
      <c r="AP855" s="23">
        <v>7</v>
      </c>
      <c r="AQ855" s="23">
        <v>13</v>
      </c>
      <c r="AR855" s="23">
        <v>11</v>
      </c>
      <c r="AS855" s="23">
        <v>9</v>
      </c>
      <c r="AT855" s="23"/>
      <c r="AU855" s="14" t="str">
        <f t="shared" si="0"/>
        <v>Maplink1</v>
      </c>
      <c r="AV855" s="14" t="str">
        <f t="shared" si="1"/>
        <v>Maplink2</v>
      </c>
      <c r="AW855" s="14" t="str">
        <f>HYPERLINK("http://www.bing.com/maps/?lvl=14&amp;sty=h&amp;cp=33.2554~44.4855&amp;sp=point.33.2554_44.4855_Al Zaafaranyah-959","Maplink3")</f>
        <v>Maplink3</v>
      </c>
    </row>
    <row r="856" spans="1:49" ht="15" customHeight="1" x14ac:dyDescent="0.25">
      <c r="A856" s="21">
        <v>24011</v>
      </c>
      <c r="B856" s="22" t="s">
        <v>11</v>
      </c>
      <c r="C856" s="22" t="s">
        <v>1719</v>
      </c>
      <c r="D856" s="22" t="s">
        <v>1822</v>
      </c>
      <c r="E856" s="22" t="s">
        <v>7737</v>
      </c>
      <c r="F856" s="22">
        <v>33.248314784500003</v>
      </c>
      <c r="G856" s="22">
        <v>44.490303644999997</v>
      </c>
      <c r="H856" s="21" t="s">
        <v>1449</v>
      </c>
      <c r="I856" s="21" t="s">
        <v>1720</v>
      </c>
      <c r="J856" s="21" t="s">
        <v>1823</v>
      </c>
      <c r="K856" s="24">
        <v>85</v>
      </c>
      <c r="L856" s="24">
        <v>510</v>
      </c>
      <c r="M856" s="23">
        <v>33</v>
      </c>
      <c r="N856" s="23"/>
      <c r="O856" s="23"/>
      <c r="P856" s="23"/>
      <c r="Q856" s="23"/>
      <c r="R856" s="23">
        <v>2</v>
      </c>
      <c r="S856" s="23"/>
      <c r="T856" s="23"/>
      <c r="U856" s="23">
        <v>4</v>
      </c>
      <c r="V856" s="23"/>
      <c r="W856" s="23"/>
      <c r="X856" s="23"/>
      <c r="Y856" s="23">
        <v>44</v>
      </c>
      <c r="Z856" s="23"/>
      <c r="AA856" s="23">
        <v>2</v>
      </c>
      <c r="AB856" s="23"/>
      <c r="AC856" s="23"/>
      <c r="AD856" s="23"/>
      <c r="AE856" s="23"/>
      <c r="AF856" s="23">
        <v>19</v>
      </c>
      <c r="AG856" s="23"/>
      <c r="AH856" s="23"/>
      <c r="AI856" s="23"/>
      <c r="AJ856" s="23"/>
      <c r="AK856" s="23">
        <v>66</v>
      </c>
      <c r="AL856" s="23"/>
      <c r="AM856" s="23"/>
      <c r="AN856" s="23"/>
      <c r="AO856" s="23"/>
      <c r="AP856" s="23">
        <v>4</v>
      </c>
      <c r="AQ856" s="23">
        <v>20</v>
      </c>
      <c r="AR856" s="23">
        <v>21</v>
      </c>
      <c r="AS856" s="23">
        <v>40</v>
      </c>
      <c r="AT856" s="23"/>
      <c r="AU856" s="14" t="str">
        <f t="shared" si="0"/>
        <v>Maplink1</v>
      </c>
      <c r="AV856" s="14" t="str">
        <f t="shared" si="1"/>
        <v>Maplink2</v>
      </c>
      <c r="AW856" s="14" t="str">
        <f>HYPERLINK("http://www.bing.com/maps/?lvl=14&amp;sty=h&amp;cp=33.2554~44.4855&amp;sp=point.33.2554_44.4855_Al Zaafaranyah-961","Maplink3")</f>
        <v>Maplink3</v>
      </c>
    </row>
    <row r="857" spans="1:49" ht="15" customHeight="1" x14ac:dyDescent="0.25">
      <c r="A857" s="21">
        <v>24010</v>
      </c>
      <c r="B857" s="22" t="s">
        <v>11</v>
      </c>
      <c r="C857" s="22" t="s">
        <v>1719</v>
      </c>
      <c r="D857" s="22" t="s">
        <v>1824</v>
      </c>
      <c r="E857" s="22" t="s">
        <v>7738</v>
      </c>
      <c r="F857" s="22">
        <v>33.247747189099996</v>
      </c>
      <c r="G857" s="22">
        <v>44.495652941000003</v>
      </c>
      <c r="H857" s="21" t="s">
        <v>1449</v>
      </c>
      <c r="I857" s="21" t="s">
        <v>1720</v>
      </c>
      <c r="J857" s="21" t="s">
        <v>1825</v>
      </c>
      <c r="K857" s="24">
        <v>18</v>
      </c>
      <c r="L857" s="24">
        <v>108</v>
      </c>
      <c r="M857" s="23">
        <v>5</v>
      </c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>
        <v>13</v>
      </c>
      <c r="Z857" s="23"/>
      <c r="AA857" s="23"/>
      <c r="AB857" s="23"/>
      <c r="AC857" s="23"/>
      <c r="AD857" s="23"/>
      <c r="AE857" s="23"/>
      <c r="AF857" s="23">
        <v>3</v>
      </c>
      <c r="AG857" s="23"/>
      <c r="AH857" s="23"/>
      <c r="AI857" s="23"/>
      <c r="AJ857" s="23"/>
      <c r="AK857" s="23">
        <v>15</v>
      </c>
      <c r="AL857" s="23"/>
      <c r="AM857" s="23"/>
      <c r="AN857" s="23"/>
      <c r="AO857" s="23">
        <v>3</v>
      </c>
      <c r="AP857" s="23"/>
      <c r="AQ857" s="23">
        <v>2</v>
      </c>
      <c r="AR857" s="23">
        <v>11</v>
      </c>
      <c r="AS857" s="23">
        <v>2</v>
      </c>
      <c r="AT857" s="23"/>
      <c r="AU857" s="14" t="str">
        <f t="shared" si="0"/>
        <v>Maplink1</v>
      </c>
      <c r="AV857" s="14" t="str">
        <f t="shared" si="1"/>
        <v>Maplink2</v>
      </c>
      <c r="AW857" s="14" t="str">
        <f>HYPERLINK("http://www.bing.com/maps/?lvl=14&amp;sty=h&amp;cp=33.2554~44.4855&amp;sp=point.33.2554_44.4855_Al Zaafaranyah-965","Maplink3")</f>
        <v>Maplink3</v>
      </c>
    </row>
    <row r="858" spans="1:49" ht="15" customHeight="1" x14ac:dyDescent="0.25">
      <c r="A858" s="21">
        <v>25457</v>
      </c>
      <c r="B858" s="22" t="s">
        <v>11</v>
      </c>
      <c r="C858" s="22" t="s">
        <v>1719</v>
      </c>
      <c r="D858" s="22" t="s">
        <v>1826</v>
      </c>
      <c r="E858" s="22" t="s">
        <v>7739</v>
      </c>
      <c r="F858" s="22">
        <v>33.234659105399999</v>
      </c>
      <c r="G858" s="22">
        <v>44.514881351699998</v>
      </c>
      <c r="H858" s="21" t="s">
        <v>1449</v>
      </c>
      <c r="I858" s="21" t="s">
        <v>1720</v>
      </c>
      <c r="J858" s="21"/>
      <c r="K858" s="24">
        <v>36</v>
      </c>
      <c r="L858" s="24">
        <v>216</v>
      </c>
      <c r="M858" s="23">
        <v>11</v>
      </c>
      <c r="N858" s="23"/>
      <c r="O858" s="23"/>
      <c r="P858" s="23"/>
      <c r="Q858" s="23"/>
      <c r="R858" s="23">
        <v>3</v>
      </c>
      <c r="S858" s="23"/>
      <c r="T858" s="23"/>
      <c r="U858" s="23"/>
      <c r="V858" s="23"/>
      <c r="W858" s="23"/>
      <c r="X858" s="23"/>
      <c r="Y858" s="23">
        <v>17</v>
      </c>
      <c r="Z858" s="23"/>
      <c r="AA858" s="23">
        <v>5</v>
      </c>
      <c r="AB858" s="23"/>
      <c r="AC858" s="23"/>
      <c r="AD858" s="23"/>
      <c r="AE858" s="23"/>
      <c r="AF858" s="23">
        <v>6</v>
      </c>
      <c r="AG858" s="23"/>
      <c r="AH858" s="23"/>
      <c r="AI858" s="23"/>
      <c r="AJ858" s="23"/>
      <c r="AK858" s="23">
        <v>30</v>
      </c>
      <c r="AL858" s="23"/>
      <c r="AM858" s="23"/>
      <c r="AN858" s="23"/>
      <c r="AO858" s="23"/>
      <c r="AP858" s="23">
        <v>3</v>
      </c>
      <c r="AQ858" s="23">
        <v>22</v>
      </c>
      <c r="AR858" s="23"/>
      <c r="AS858" s="23">
        <v>11</v>
      </c>
      <c r="AT858" s="23"/>
      <c r="AU858" s="14" t="str">
        <f t="shared" si="0"/>
        <v>Maplink1</v>
      </c>
      <c r="AV858" s="14" t="str">
        <f t="shared" si="1"/>
        <v>Maplink2</v>
      </c>
      <c r="AW858" s="14" t="str">
        <f>HYPERLINK("http://www.bing.com/maps/?lvl=14&amp;sty=h&amp;cp=33.2554~44.4855&amp;sp=point.33.2554_44.4855_Al Zaafaranyah-969","Maplink3")</f>
        <v>Maplink3</v>
      </c>
    </row>
    <row r="859" spans="1:49" ht="15" customHeight="1" x14ac:dyDescent="0.25">
      <c r="A859" s="21">
        <v>23977</v>
      </c>
      <c r="B859" s="22" t="s">
        <v>11</v>
      </c>
      <c r="C859" s="22" t="s">
        <v>1719</v>
      </c>
      <c r="D859" s="22" t="s">
        <v>1827</v>
      </c>
      <c r="E859" s="22" t="s">
        <v>7740</v>
      </c>
      <c r="F859" s="22">
        <v>33.255111704100003</v>
      </c>
      <c r="G859" s="22">
        <v>44.490078263800001</v>
      </c>
      <c r="H859" s="21" t="s">
        <v>1449</v>
      </c>
      <c r="I859" s="21" t="s">
        <v>1720</v>
      </c>
      <c r="J859" s="21" t="s">
        <v>1828</v>
      </c>
      <c r="K859" s="24">
        <v>67</v>
      </c>
      <c r="L859" s="24">
        <v>402</v>
      </c>
      <c r="M859" s="23">
        <v>26</v>
      </c>
      <c r="N859" s="23"/>
      <c r="O859" s="23"/>
      <c r="P859" s="23"/>
      <c r="Q859" s="23"/>
      <c r="R859" s="23">
        <v>3</v>
      </c>
      <c r="S859" s="23"/>
      <c r="T859" s="23"/>
      <c r="U859" s="23"/>
      <c r="V859" s="23"/>
      <c r="W859" s="23"/>
      <c r="X859" s="23"/>
      <c r="Y859" s="23">
        <v>31</v>
      </c>
      <c r="Z859" s="23"/>
      <c r="AA859" s="23">
        <v>7</v>
      </c>
      <c r="AB859" s="23"/>
      <c r="AC859" s="23"/>
      <c r="AD859" s="23"/>
      <c r="AE859" s="23"/>
      <c r="AF859" s="23">
        <v>18</v>
      </c>
      <c r="AG859" s="23"/>
      <c r="AH859" s="23"/>
      <c r="AI859" s="23"/>
      <c r="AJ859" s="23"/>
      <c r="AK859" s="23">
        <v>49</v>
      </c>
      <c r="AL859" s="23"/>
      <c r="AM859" s="23"/>
      <c r="AN859" s="23"/>
      <c r="AO859" s="23"/>
      <c r="AP859" s="23">
        <v>22</v>
      </c>
      <c r="AQ859" s="23">
        <v>9</v>
      </c>
      <c r="AR859" s="23">
        <v>10</v>
      </c>
      <c r="AS859" s="23">
        <v>26</v>
      </c>
      <c r="AT859" s="23"/>
      <c r="AU859" s="14" t="str">
        <f t="shared" si="0"/>
        <v>Maplink1</v>
      </c>
      <c r="AV859" s="14" t="str">
        <f t="shared" si="1"/>
        <v>Maplink2</v>
      </c>
      <c r="AW859" s="14" t="str">
        <f>HYPERLINK("http://www.bing.com/maps/?lvl=14&amp;sty=h&amp;cp=33.2554~44.4855&amp;sp=point.33.2554_44.4855_Al Zafaraniyah-957","Maplink3")</f>
        <v>Maplink3</v>
      </c>
    </row>
    <row r="860" spans="1:49" ht="15" customHeight="1" x14ac:dyDescent="0.25">
      <c r="A860" s="21">
        <v>23003</v>
      </c>
      <c r="B860" s="22" t="s">
        <v>11</v>
      </c>
      <c r="C860" s="22" t="s">
        <v>1719</v>
      </c>
      <c r="D860" s="22" t="s">
        <v>1831</v>
      </c>
      <c r="E860" s="22" t="s">
        <v>7743</v>
      </c>
      <c r="F860" s="22">
        <v>33.302004588000003</v>
      </c>
      <c r="G860" s="22">
        <v>44.470497077600001</v>
      </c>
      <c r="H860" s="21" t="s">
        <v>1449</v>
      </c>
      <c r="I860" s="21" t="s">
        <v>1720</v>
      </c>
      <c r="J860" s="21" t="s">
        <v>1832</v>
      </c>
      <c r="K860" s="24">
        <v>60</v>
      </c>
      <c r="L860" s="24">
        <v>360</v>
      </c>
      <c r="M860" s="23">
        <v>20</v>
      </c>
      <c r="N860" s="23"/>
      <c r="O860" s="23"/>
      <c r="P860" s="23"/>
      <c r="Q860" s="23"/>
      <c r="R860" s="23"/>
      <c r="S860" s="23"/>
      <c r="T860" s="23"/>
      <c r="U860" s="23">
        <v>11</v>
      </c>
      <c r="V860" s="23"/>
      <c r="W860" s="23"/>
      <c r="X860" s="23"/>
      <c r="Y860" s="23">
        <v>15</v>
      </c>
      <c r="Z860" s="23"/>
      <c r="AA860" s="23">
        <v>14</v>
      </c>
      <c r="AB860" s="23"/>
      <c r="AC860" s="23"/>
      <c r="AD860" s="23"/>
      <c r="AE860" s="23"/>
      <c r="AF860" s="23">
        <v>20</v>
      </c>
      <c r="AG860" s="23"/>
      <c r="AH860" s="23"/>
      <c r="AI860" s="23"/>
      <c r="AJ860" s="23"/>
      <c r="AK860" s="23">
        <v>40</v>
      </c>
      <c r="AL860" s="23"/>
      <c r="AM860" s="23"/>
      <c r="AN860" s="23"/>
      <c r="AO860" s="23">
        <v>2</v>
      </c>
      <c r="AP860" s="23"/>
      <c r="AQ860" s="23">
        <v>51</v>
      </c>
      <c r="AR860" s="23">
        <v>7</v>
      </c>
      <c r="AS860" s="23"/>
      <c r="AT860" s="23"/>
      <c r="AU860" s="14" t="str">
        <f>HYPERLINK("http://www.openstreetmap.org/?mlat=33.3018&amp;mlon=44.4726&amp;zoom=12#map=12/33.3018/44.4726","Maplink1")</f>
        <v>Maplink1</v>
      </c>
      <c r="AV860" s="14" t="str">
        <f>HYPERLINK("https://www.google.iq/maps/search/+33.3018,44.4726/@33.3018,44.4726,14z?hl=en","Maplink2")</f>
        <v>Maplink2</v>
      </c>
      <c r="AW860" s="14" t="str">
        <f>HYPERLINK("http://www.bing.com/maps/?lvl=14&amp;sty=h&amp;cp=33.3018~44.4726&amp;sp=point.33.3018_44.4726_Baghdad Al Jadidah-701","Maplink3")</f>
        <v>Maplink3</v>
      </c>
    </row>
    <row r="861" spans="1:49" ht="15" customHeight="1" x14ac:dyDescent="0.25">
      <c r="A861" s="21">
        <v>23004</v>
      </c>
      <c r="B861" s="22" t="s">
        <v>11</v>
      </c>
      <c r="C861" s="22" t="s">
        <v>1719</v>
      </c>
      <c r="D861" s="22" t="s">
        <v>1833</v>
      </c>
      <c r="E861" s="22" t="s">
        <v>1834</v>
      </c>
      <c r="F861" s="22">
        <v>33.297455695300002</v>
      </c>
      <c r="G861" s="22">
        <v>44.488245192000001</v>
      </c>
      <c r="H861" s="21" t="s">
        <v>1449</v>
      </c>
      <c r="I861" s="21" t="s">
        <v>1720</v>
      </c>
      <c r="J861" s="21" t="s">
        <v>1835</v>
      </c>
      <c r="K861" s="24">
        <v>61</v>
      </c>
      <c r="L861" s="24">
        <v>366</v>
      </c>
      <c r="M861" s="23">
        <v>12</v>
      </c>
      <c r="N861" s="23"/>
      <c r="O861" s="23"/>
      <c r="P861" s="23"/>
      <c r="Q861" s="23"/>
      <c r="R861" s="23">
        <v>7</v>
      </c>
      <c r="S861" s="23"/>
      <c r="T861" s="23"/>
      <c r="U861" s="23"/>
      <c r="V861" s="23"/>
      <c r="W861" s="23"/>
      <c r="X861" s="23"/>
      <c r="Y861" s="23">
        <v>38</v>
      </c>
      <c r="Z861" s="23"/>
      <c r="AA861" s="23">
        <v>4</v>
      </c>
      <c r="AB861" s="23"/>
      <c r="AC861" s="23"/>
      <c r="AD861" s="23"/>
      <c r="AE861" s="23"/>
      <c r="AF861" s="23">
        <v>12</v>
      </c>
      <c r="AG861" s="23"/>
      <c r="AH861" s="23"/>
      <c r="AI861" s="23"/>
      <c r="AJ861" s="23"/>
      <c r="AK861" s="23">
        <v>34</v>
      </c>
      <c r="AL861" s="23">
        <v>15</v>
      </c>
      <c r="AM861" s="23"/>
      <c r="AN861" s="23"/>
      <c r="AO861" s="23">
        <v>2</v>
      </c>
      <c r="AP861" s="23">
        <v>13</v>
      </c>
      <c r="AQ861" s="23">
        <v>42</v>
      </c>
      <c r="AR861" s="23">
        <v>4</v>
      </c>
      <c r="AS861" s="23"/>
      <c r="AT861" s="23"/>
      <c r="AU861" s="14" t="str">
        <f>HYPERLINK("http://www.openstreetmap.org/?mlat=33.302&amp;mlon=44.4915&amp;zoom=12#map=12/33.302/44.4915","Maplink1")</f>
        <v>Maplink1</v>
      </c>
      <c r="AV861" s="14" t="str">
        <f>HYPERLINK("https://www.google.iq/maps/search/+33.302,44.4915/@33.302,44.4915,14z?hl=en","Maplink2")</f>
        <v>Maplink2</v>
      </c>
      <c r="AW861" s="14" t="str">
        <f>HYPERLINK("http://www.bing.com/maps/?lvl=14&amp;sty=h&amp;cp=33.302~44.4915&amp;sp=point.33.302_44.4915_Baghdad Al Jadidah-709","Maplink3")</f>
        <v>Maplink3</v>
      </c>
    </row>
    <row r="862" spans="1:49" ht="15" customHeight="1" x14ac:dyDescent="0.25">
      <c r="A862" s="21">
        <v>24672</v>
      </c>
      <c r="B862" s="22" t="s">
        <v>11</v>
      </c>
      <c r="C862" s="22" t="s">
        <v>1719</v>
      </c>
      <c r="D862" s="22" t="s">
        <v>8450</v>
      </c>
      <c r="E862" s="22" t="s">
        <v>7699</v>
      </c>
      <c r="F862" s="22">
        <v>33.298106395700003</v>
      </c>
      <c r="G862" s="22">
        <v>44.499202349000001</v>
      </c>
      <c r="H862" s="21" t="s">
        <v>1449</v>
      </c>
      <c r="I862" s="21" t="s">
        <v>1720</v>
      </c>
      <c r="J862" s="21"/>
      <c r="K862" s="24">
        <v>20</v>
      </c>
      <c r="L862" s="24">
        <v>120</v>
      </c>
      <c r="M862" s="23">
        <v>3</v>
      </c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>
        <v>17</v>
      </c>
      <c r="Z862" s="23"/>
      <c r="AA862" s="23"/>
      <c r="AB862" s="23"/>
      <c r="AC862" s="23"/>
      <c r="AD862" s="23"/>
      <c r="AE862" s="23"/>
      <c r="AF862" s="23">
        <v>12</v>
      </c>
      <c r="AG862" s="23"/>
      <c r="AH862" s="23"/>
      <c r="AI862" s="23"/>
      <c r="AJ862" s="23"/>
      <c r="AK862" s="23">
        <v>8</v>
      </c>
      <c r="AL862" s="23"/>
      <c r="AM862" s="23"/>
      <c r="AN862" s="23"/>
      <c r="AO862" s="23"/>
      <c r="AP862" s="23"/>
      <c r="AQ862" s="23">
        <v>11</v>
      </c>
      <c r="AR862" s="23">
        <v>9</v>
      </c>
      <c r="AS862" s="23"/>
      <c r="AT862" s="23"/>
      <c r="AU862" s="14" t="str">
        <f>HYPERLINK("http://www.openstreetmap.org/?mlat=33.302&amp;mlon=44.4915&amp;zoom=12#map=12/33.302/44.4915","Maplink1")</f>
        <v>Maplink1</v>
      </c>
      <c r="AV862" s="14" t="str">
        <f>HYPERLINK("https://www.google.iq/maps/search/+33.302,44.4915/@33.302,44.4915,14z?hl=en","Maplink2")</f>
        <v>Maplink2</v>
      </c>
      <c r="AW862" s="14" t="str">
        <f>HYPERLINK("http://www.bing.com/maps/?lvl=14&amp;sty=h&amp;cp=33.302~44.4915&amp;sp=point.33.302_44.4915_Al Jadidah-711","Maplink3")</f>
        <v>Maplink3</v>
      </c>
    </row>
    <row r="863" spans="1:49" ht="15" customHeight="1" x14ac:dyDescent="0.25">
      <c r="A863" s="21">
        <v>24025</v>
      </c>
      <c r="B863" s="22" t="s">
        <v>11</v>
      </c>
      <c r="C863" s="22" t="s">
        <v>1719</v>
      </c>
      <c r="D863" s="22" t="s">
        <v>8451</v>
      </c>
      <c r="E863" s="22" t="s">
        <v>7700</v>
      </c>
      <c r="F863" s="22">
        <v>33.305642616900002</v>
      </c>
      <c r="G863" s="22">
        <v>44.475404828999999</v>
      </c>
      <c r="H863" s="21" t="s">
        <v>1449</v>
      </c>
      <c r="I863" s="21" t="s">
        <v>1720</v>
      </c>
      <c r="J863" s="21" t="s">
        <v>1741</v>
      </c>
      <c r="K863" s="24">
        <v>39</v>
      </c>
      <c r="L863" s="24">
        <v>234</v>
      </c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>
        <v>39</v>
      </c>
      <c r="Z863" s="23"/>
      <c r="AA863" s="23"/>
      <c r="AB863" s="23"/>
      <c r="AC863" s="23"/>
      <c r="AD863" s="23"/>
      <c r="AE863" s="23"/>
      <c r="AF863" s="23">
        <v>19</v>
      </c>
      <c r="AG863" s="23"/>
      <c r="AH863" s="23"/>
      <c r="AI863" s="23"/>
      <c r="AJ863" s="23"/>
      <c r="AK863" s="23">
        <v>20</v>
      </c>
      <c r="AL863" s="23"/>
      <c r="AM863" s="23"/>
      <c r="AN863" s="23"/>
      <c r="AO863" s="23"/>
      <c r="AP863" s="23">
        <v>2</v>
      </c>
      <c r="AQ863" s="23">
        <v>19</v>
      </c>
      <c r="AR863" s="23">
        <v>18</v>
      </c>
      <c r="AS863" s="23"/>
      <c r="AT863" s="23"/>
      <c r="AU863" s="14" t="str">
        <f>HYPERLINK("http://www.openstreetmap.org/?mlat=33.2997&amp;mlon=44.4914&amp;zoom=12#map=12/33.2997/44.4914","Maplink1")</f>
        <v>Maplink1</v>
      </c>
      <c r="AV863" s="14" t="str">
        <f>HYPERLINK("https://www.google.iq/maps/search/+33.2997,44.4914/@33.2997,44.4914,14z?hl=en","Maplink2")</f>
        <v>Maplink2</v>
      </c>
      <c r="AW863" s="14" t="str">
        <f>HYPERLINK("http://www.bing.com/maps/?lvl=14&amp;sty=h&amp;cp=33.2997~44.4914&amp;sp=point.33.2997_44.4914_Al Jadidah-713","Maplink3")</f>
        <v>Maplink3</v>
      </c>
    </row>
    <row r="864" spans="1:49" ht="15" customHeight="1" x14ac:dyDescent="0.25">
      <c r="A864" s="21">
        <v>24026</v>
      </c>
      <c r="B864" s="22" t="s">
        <v>11</v>
      </c>
      <c r="C864" s="22" t="s">
        <v>1719</v>
      </c>
      <c r="D864" s="22" t="s">
        <v>8452</v>
      </c>
      <c r="E864" s="22" t="s">
        <v>7701</v>
      </c>
      <c r="F864" s="22">
        <v>33.305273269700002</v>
      </c>
      <c r="G864" s="22">
        <v>44.4856450634</v>
      </c>
      <c r="H864" s="21" t="s">
        <v>1449</v>
      </c>
      <c r="I864" s="21" t="s">
        <v>1720</v>
      </c>
      <c r="J864" s="21" t="s">
        <v>1742</v>
      </c>
      <c r="K864" s="24">
        <v>30</v>
      </c>
      <c r="L864" s="24">
        <v>180</v>
      </c>
      <c r="M864" s="23">
        <v>6</v>
      </c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>
        <v>24</v>
      </c>
      <c r="Z864" s="23"/>
      <c r="AA864" s="23"/>
      <c r="AB864" s="23"/>
      <c r="AC864" s="23"/>
      <c r="AD864" s="23"/>
      <c r="AE864" s="23"/>
      <c r="AF864" s="23">
        <v>18</v>
      </c>
      <c r="AG864" s="23"/>
      <c r="AH864" s="23"/>
      <c r="AI864" s="23"/>
      <c r="AJ864" s="23"/>
      <c r="AK864" s="23">
        <v>12</v>
      </c>
      <c r="AL864" s="23"/>
      <c r="AM864" s="23"/>
      <c r="AN864" s="23"/>
      <c r="AO864" s="23">
        <v>2</v>
      </c>
      <c r="AP864" s="23">
        <v>12</v>
      </c>
      <c r="AQ864" s="23">
        <v>6</v>
      </c>
      <c r="AR864" s="23">
        <v>4</v>
      </c>
      <c r="AS864" s="23">
        <v>6</v>
      </c>
      <c r="AT864" s="23"/>
      <c r="AU864" s="14" t="str">
        <f>HYPERLINK("http://www.openstreetmap.org/?mlat=33.2997&amp;mlon=44.4914&amp;zoom=12#map=12/33.2997/44.4914","Maplink1")</f>
        <v>Maplink1</v>
      </c>
      <c r="AV864" s="14" t="str">
        <f>HYPERLINK("https://www.google.iq/maps/search/+33.2997,44.4914/@33.2997,44.4914,14z?hl=en","Maplink2")</f>
        <v>Maplink2</v>
      </c>
      <c r="AW864" s="14" t="str">
        <f>HYPERLINK("http://www.bing.com/maps/?lvl=14&amp;sty=h&amp;cp=33.2997~44.4914&amp;sp=point.33.2997_44.4914_Al Jadidah-717","Maplink3")</f>
        <v>Maplink3</v>
      </c>
    </row>
    <row r="865" spans="1:49" ht="15" customHeight="1" x14ac:dyDescent="0.25">
      <c r="A865" s="21">
        <v>24697</v>
      </c>
      <c r="B865" s="22" t="s">
        <v>11</v>
      </c>
      <c r="C865" s="22" t="s">
        <v>1719</v>
      </c>
      <c r="D865" s="22" t="s">
        <v>8453</v>
      </c>
      <c r="E865" s="22" t="s">
        <v>7702</v>
      </c>
      <c r="F865" s="22">
        <v>33.302629494100003</v>
      </c>
      <c r="G865" s="22">
        <v>44.477274290300002</v>
      </c>
      <c r="H865" s="21" t="s">
        <v>1449</v>
      </c>
      <c r="I865" s="21" t="s">
        <v>1720</v>
      </c>
      <c r="J865" s="21"/>
      <c r="K865" s="24">
        <v>30</v>
      </c>
      <c r="L865" s="24">
        <v>180</v>
      </c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>
        <v>30</v>
      </c>
      <c r="Z865" s="23"/>
      <c r="AA865" s="23"/>
      <c r="AB865" s="23"/>
      <c r="AC865" s="23"/>
      <c r="AD865" s="23"/>
      <c r="AE865" s="23"/>
      <c r="AF865" s="23">
        <v>4</v>
      </c>
      <c r="AG865" s="23"/>
      <c r="AH865" s="23"/>
      <c r="AI865" s="23"/>
      <c r="AJ865" s="23"/>
      <c r="AK865" s="23">
        <v>7</v>
      </c>
      <c r="AL865" s="23">
        <v>19</v>
      </c>
      <c r="AM865" s="23"/>
      <c r="AN865" s="23"/>
      <c r="AO865" s="23"/>
      <c r="AP865" s="23"/>
      <c r="AQ865" s="23">
        <v>19</v>
      </c>
      <c r="AR865" s="23">
        <v>11</v>
      </c>
      <c r="AS865" s="23"/>
      <c r="AT865" s="23"/>
      <c r="AU865" s="14" t="str">
        <f>HYPERLINK("http://www.openstreetmap.org/?mlat=33.3036&amp;mlon=44.4851&amp;zoom=12#map=12/33.3036/44.4851","Maplink1")</f>
        <v>Maplink1</v>
      </c>
      <c r="AV865" s="14" t="str">
        <f>HYPERLINK("https://www.google.iq/maps/search/+33.3036,44.4851/@33.3036,44.4851,14z?hl=en","Maplink2")</f>
        <v>Maplink2</v>
      </c>
      <c r="AW865" s="14" t="str">
        <f>HYPERLINK("http://www.bing.com/maps/?lvl=14&amp;sty=h&amp;cp=33.3036~44.4851&amp;sp=point.33.3036_44.4851_Al Jadidah-719","Maplink3")</f>
        <v>Maplink3</v>
      </c>
    </row>
    <row r="866" spans="1:49" ht="15" customHeight="1" x14ac:dyDescent="0.25">
      <c r="A866" s="21">
        <v>23504</v>
      </c>
      <c r="B866" s="22" t="s">
        <v>11</v>
      </c>
      <c r="C866" s="22" t="s">
        <v>1719</v>
      </c>
      <c r="D866" s="22" t="s">
        <v>1836</v>
      </c>
      <c r="E866" s="22" t="s">
        <v>7744</v>
      </c>
      <c r="F866" s="22">
        <v>33.304212662499999</v>
      </c>
      <c r="G866" s="22">
        <v>44.4916829728</v>
      </c>
      <c r="H866" s="21" t="s">
        <v>1449</v>
      </c>
      <c r="I866" s="21" t="s">
        <v>1720</v>
      </c>
      <c r="J866" s="21" t="s">
        <v>1837</v>
      </c>
      <c r="K866" s="24">
        <v>35</v>
      </c>
      <c r="L866" s="24">
        <v>210</v>
      </c>
      <c r="M866" s="23">
        <v>4</v>
      </c>
      <c r="N866" s="23"/>
      <c r="O866" s="23"/>
      <c r="P866" s="23"/>
      <c r="Q866" s="23"/>
      <c r="R866" s="23">
        <v>5</v>
      </c>
      <c r="S866" s="23"/>
      <c r="T866" s="23"/>
      <c r="U866" s="23">
        <v>2</v>
      </c>
      <c r="V866" s="23"/>
      <c r="W866" s="23"/>
      <c r="X866" s="23"/>
      <c r="Y866" s="23">
        <v>17</v>
      </c>
      <c r="Z866" s="23"/>
      <c r="AA866" s="23">
        <v>7</v>
      </c>
      <c r="AB866" s="23"/>
      <c r="AC866" s="23"/>
      <c r="AD866" s="23"/>
      <c r="AE866" s="23"/>
      <c r="AF866" s="23">
        <v>22</v>
      </c>
      <c r="AG866" s="23"/>
      <c r="AH866" s="23"/>
      <c r="AI866" s="23"/>
      <c r="AJ866" s="23"/>
      <c r="AK866" s="23"/>
      <c r="AL866" s="23">
        <v>13</v>
      </c>
      <c r="AM866" s="23"/>
      <c r="AN866" s="23"/>
      <c r="AO866" s="23"/>
      <c r="AP866" s="23"/>
      <c r="AQ866" s="23">
        <v>3</v>
      </c>
      <c r="AR866" s="23">
        <v>25</v>
      </c>
      <c r="AS866" s="23">
        <v>7</v>
      </c>
      <c r="AT866" s="23"/>
      <c r="AU866" s="14" t="str">
        <f>HYPERLINK("http://www.openstreetmap.org/?mlat=33.3036&amp;mlon=44.49&amp;zoom=12#map=12/33.3036/44.49","Maplink1")</f>
        <v>Maplink1</v>
      </c>
      <c r="AV866" s="14" t="str">
        <f>HYPERLINK("https://www.google.iq/maps/search/+33.3036,44.49/@33.3036,44.49,14z?hl=en","Maplink2")</f>
        <v>Maplink2</v>
      </c>
      <c r="AW866" s="14" t="str">
        <f>HYPERLINK("http://www.bing.com/maps/?lvl=14&amp;sty=h&amp;cp=33.3036~44.49&amp;sp=point.33.3036_44.49_Baghdad Al Jadidia-721","Maplink3")</f>
        <v>Maplink3</v>
      </c>
    </row>
    <row r="867" spans="1:49" ht="15" customHeight="1" x14ac:dyDescent="0.25">
      <c r="A867" s="21">
        <v>24698</v>
      </c>
      <c r="B867" s="22" t="s">
        <v>11</v>
      </c>
      <c r="C867" s="22" t="s">
        <v>1719</v>
      </c>
      <c r="D867" s="22" t="s">
        <v>8454</v>
      </c>
      <c r="E867" s="22" t="s">
        <v>7703</v>
      </c>
      <c r="F867" s="22">
        <v>33.307318231700002</v>
      </c>
      <c r="G867" s="22">
        <v>44.4958035577</v>
      </c>
      <c r="H867" s="21" t="s">
        <v>1449</v>
      </c>
      <c r="I867" s="21" t="s">
        <v>1720</v>
      </c>
      <c r="J867" s="21"/>
      <c r="K867" s="24">
        <v>40</v>
      </c>
      <c r="L867" s="24">
        <v>240</v>
      </c>
      <c r="M867" s="23">
        <v>8</v>
      </c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>
        <v>29</v>
      </c>
      <c r="Z867" s="23"/>
      <c r="AA867" s="23">
        <v>3</v>
      </c>
      <c r="AB867" s="23"/>
      <c r="AC867" s="23"/>
      <c r="AD867" s="23"/>
      <c r="AE867" s="23"/>
      <c r="AF867" s="23">
        <v>22</v>
      </c>
      <c r="AG867" s="23"/>
      <c r="AH867" s="23"/>
      <c r="AI867" s="23"/>
      <c r="AJ867" s="23"/>
      <c r="AK867" s="23">
        <v>18</v>
      </c>
      <c r="AL867" s="23"/>
      <c r="AM867" s="23"/>
      <c r="AN867" s="23"/>
      <c r="AO867" s="23"/>
      <c r="AP867" s="23">
        <v>17</v>
      </c>
      <c r="AQ867" s="23"/>
      <c r="AR867" s="23">
        <v>23</v>
      </c>
      <c r="AS867" s="23"/>
      <c r="AT867" s="23"/>
      <c r="AU867" s="14" t="str">
        <f>HYPERLINK("http://www.openstreetmap.org/?mlat=33.2997&amp;mlon=44.4914&amp;zoom=12#map=12/33.2997/44.4914","Maplink1")</f>
        <v>Maplink1</v>
      </c>
      <c r="AV867" s="14" t="str">
        <f>HYPERLINK("https://www.google.iq/maps/search/+33.2997,44.4914/@33.2997,44.4914,14z?hl=en","Maplink2")</f>
        <v>Maplink2</v>
      </c>
      <c r="AW867" s="14" t="str">
        <f>HYPERLINK("http://www.bing.com/maps/?lvl=14&amp;sty=h&amp;cp=33.2997~44.4914&amp;sp=point.33.2997_44.4914_Al Jadidah-723","Maplink3")</f>
        <v>Maplink3</v>
      </c>
    </row>
    <row r="868" spans="1:49" ht="15" customHeight="1" x14ac:dyDescent="0.25">
      <c r="A868" s="21">
        <v>24027</v>
      </c>
      <c r="B868" s="22" t="s">
        <v>11</v>
      </c>
      <c r="C868" s="22" t="s">
        <v>1719</v>
      </c>
      <c r="D868" s="22" t="s">
        <v>8455</v>
      </c>
      <c r="E868" s="22" t="s">
        <v>7704</v>
      </c>
      <c r="F868" s="22">
        <v>33.309233948600003</v>
      </c>
      <c r="G868" s="22">
        <v>44.487939514300002</v>
      </c>
      <c r="H868" s="21" t="s">
        <v>1449</v>
      </c>
      <c r="I868" s="21" t="s">
        <v>1720</v>
      </c>
      <c r="J868" s="21" t="s">
        <v>1743</v>
      </c>
      <c r="K868" s="24">
        <v>27</v>
      </c>
      <c r="L868" s="24">
        <v>162</v>
      </c>
      <c r="M868" s="23">
        <v>6</v>
      </c>
      <c r="N868" s="23"/>
      <c r="O868" s="23"/>
      <c r="P868" s="23"/>
      <c r="Q868" s="23"/>
      <c r="R868" s="23">
        <v>6</v>
      </c>
      <c r="S868" s="23"/>
      <c r="T868" s="23"/>
      <c r="U868" s="23"/>
      <c r="V868" s="23"/>
      <c r="W868" s="23"/>
      <c r="X868" s="23"/>
      <c r="Y868" s="23">
        <v>15</v>
      </c>
      <c r="Z868" s="23"/>
      <c r="AA868" s="23"/>
      <c r="AB868" s="23"/>
      <c r="AC868" s="23"/>
      <c r="AD868" s="23"/>
      <c r="AE868" s="23"/>
      <c r="AF868" s="23">
        <v>20</v>
      </c>
      <c r="AG868" s="23"/>
      <c r="AH868" s="23"/>
      <c r="AI868" s="23"/>
      <c r="AJ868" s="23"/>
      <c r="AK868" s="23">
        <v>7</v>
      </c>
      <c r="AL868" s="23"/>
      <c r="AM868" s="23"/>
      <c r="AN868" s="23"/>
      <c r="AO868" s="23"/>
      <c r="AP868" s="23"/>
      <c r="AQ868" s="23">
        <v>16</v>
      </c>
      <c r="AR868" s="23">
        <v>5</v>
      </c>
      <c r="AS868" s="23">
        <v>6</v>
      </c>
      <c r="AT868" s="23"/>
      <c r="AU868" s="14" t="str">
        <f>HYPERLINK("http://www.openstreetmap.org/?mlat=33.2997&amp;mlon=44.4914&amp;zoom=12#map=12/33.2997/44.4914","Maplink1")</f>
        <v>Maplink1</v>
      </c>
      <c r="AV868" s="14" t="str">
        <f>HYPERLINK("https://www.google.iq/maps/search/+33.2997,44.4914/@33.2997,44.4914,14z?hl=en","Maplink2")</f>
        <v>Maplink2</v>
      </c>
      <c r="AW868" s="14" t="str">
        <f>HYPERLINK("http://www.bing.com/maps/?lvl=14&amp;sty=h&amp;cp=33.2997~44.4914&amp;sp=point.33.2997_44.4914_Al Jadidah-725","Maplink3")</f>
        <v>Maplink3</v>
      </c>
    </row>
    <row r="869" spans="1:49" ht="15" customHeight="1" x14ac:dyDescent="0.25">
      <c r="A869" s="21">
        <v>25156</v>
      </c>
      <c r="B869" s="22" t="s">
        <v>11</v>
      </c>
      <c r="C869" s="22" t="s">
        <v>1719</v>
      </c>
      <c r="D869" s="22" t="s">
        <v>8456</v>
      </c>
      <c r="E869" s="22" t="s">
        <v>7705</v>
      </c>
      <c r="F869" s="22">
        <v>33.312019145999997</v>
      </c>
      <c r="G869" s="22">
        <v>44.484768142100002</v>
      </c>
      <c r="H869" s="21" t="s">
        <v>1449</v>
      </c>
      <c r="I869" s="21" t="s">
        <v>1720</v>
      </c>
      <c r="J869" s="21"/>
      <c r="K869" s="24">
        <v>31</v>
      </c>
      <c r="L869" s="24">
        <v>186</v>
      </c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>
        <v>22</v>
      </c>
      <c r="Z869" s="23"/>
      <c r="AA869" s="23">
        <v>9</v>
      </c>
      <c r="AB869" s="23"/>
      <c r="AC869" s="23"/>
      <c r="AD869" s="23"/>
      <c r="AE869" s="23"/>
      <c r="AF869" s="23"/>
      <c r="AG869" s="23"/>
      <c r="AH869" s="23"/>
      <c r="AI869" s="23"/>
      <c r="AJ869" s="23"/>
      <c r="AK869" s="23">
        <v>22</v>
      </c>
      <c r="AL869" s="23">
        <v>9</v>
      </c>
      <c r="AM869" s="23"/>
      <c r="AN869" s="23"/>
      <c r="AO869" s="23"/>
      <c r="AP869" s="23"/>
      <c r="AQ869" s="23">
        <v>22</v>
      </c>
      <c r="AR869" s="23">
        <v>9</v>
      </c>
      <c r="AS869" s="23"/>
      <c r="AT869" s="23"/>
      <c r="AU869" s="14" t="str">
        <f>HYPERLINK("http://www.openstreetmap.org/?mlat=33.2997&amp;mlon=44.4915&amp;zoom=12#map=12/33.2997/44.4915","Maplink1")</f>
        <v>Maplink1</v>
      </c>
      <c r="AV869" s="14" t="str">
        <f>HYPERLINK("https://www.google.iq/maps/search/+33.2997,44.4915/@33.2997,44.4915,14z?hl=en","Maplink2")</f>
        <v>Maplink2</v>
      </c>
      <c r="AW869" s="14" t="str">
        <f>HYPERLINK("http://www.bing.com/maps/?lvl=14&amp;sty=h&amp;cp=33.2997~44.4915&amp;sp=point.33.2997_44.4915_Al Jadidah-727","Maplink3")</f>
        <v>Maplink3</v>
      </c>
    </row>
    <row r="870" spans="1:49" ht="15" customHeight="1" x14ac:dyDescent="0.25">
      <c r="A870" s="21">
        <v>22616</v>
      </c>
      <c r="B870" s="22" t="s">
        <v>11</v>
      </c>
      <c r="C870" s="22" t="s">
        <v>1719</v>
      </c>
      <c r="D870" s="22" t="s">
        <v>8457</v>
      </c>
      <c r="E870" s="22" t="s">
        <v>7749</v>
      </c>
      <c r="F870" s="22">
        <v>33.268102389100001</v>
      </c>
      <c r="G870" s="22">
        <v>44.491517991899997</v>
      </c>
      <c r="H870" s="21" t="s">
        <v>1449</v>
      </c>
      <c r="I870" s="21" t="s">
        <v>1720</v>
      </c>
      <c r="J870" s="21" t="s">
        <v>1848</v>
      </c>
      <c r="K870" s="24">
        <v>61</v>
      </c>
      <c r="L870" s="24">
        <v>366</v>
      </c>
      <c r="M870" s="23">
        <v>20</v>
      </c>
      <c r="N870" s="23"/>
      <c r="O870" s="23"/>
      <c r="P870" s="23"/>
      <c r="Q870" s="23"/>
      <c r="R870" s="23">
        <v>4</v>
      </c>
      <c r="S870" s="23"/>
      <c r="T870" s="23"/>
      <c r="U870" s="23"/>
      <c r="V870" s="23"/>
      <c r="W870" s="23"/>
      <c r="X870" s="23"/>
      <c r="Y870" s="23">
        <v>29</v>
      </c>
      <c r="Z870" s="23"/>
      <c r="AA870" s="23">
        <v>8</v>
      </c>
      <c r="AB870" s="23"/>
      <c r="AC870" s="23"/>
      <c r="AD870" s="23"/>
      <c r="AE870" s="23"/>
      <c r="AF870" s="23">
        <v>25</v>
      </c>
      <c r="AG870" s="23"/>
      <c r="AH870" s="23"/>
      <c r="AI870" s="23"/>
      <c r="AJ870" s="23"/>
      <c r="AK870" s="23">
        <v>36</v>
      </c>
      <c r="AL870" s="23"/>
      <c r="AM870" s="23"/>
      <c r="AN870" s="23"/>
      <c r="AO870" s="23">
        <v>5</v>
      </c>
      <c r="AP870" s="23">
        <v>13</v>
      </c>
      <c r="AQ870" s="23">
        <v>9</v>
      </c>
      <c r="AR870" s="23">
        <v>14</v>
      </c>
      <c r="AS870" s="23">
        <v>20</v>
      </c>
      <c r="AT870" s="23"/>
      <c r="AU870" s="14" t="str">
        <f>HYPERLINK("http://www.openstreetmap.org/?mlat=33.2631&amp;mlon=44.4928&amp;zoom=12#map=12/33.2631/44.4928","Maplink1")</f>
        <v>Maplink1</v>
      </c>
      <c r="AV870" s="14" t="str">
        <f>HYPERLINK("https://www.google.iq/maps/search/+33.2631,44.4928/@33.2631,44.4928,14z?hl=en","Maplink2")</f>
        <v>Maplink2</v>
      </c>
      <c r="AW870" s="14" t="str">
        <f>HYPERLINK("http://www.bing.com/maps/?lvl=14&amp;sty=h&amp;cp=33.2631~44.4928&amp;sp=point.33.2631_44.4928_Hay Diyala-mahala 950","Maplink3")</f>
        <v>Maplink3</v>
      </c>
    </row>
    <row r="871" spans="1:49" ht="15" customHeight="1" x14ac:dyDescent="0.25">
      <c r="A871" s="21">
        <v>22140</v>
      </c>
      <c r="B871" s="22" t="s">
        <v>11</v>
      </c>
      <c r="C871" s="22" t="s">
        <v>1719</v>
      </c>
      <c r="D871" s="22" t="s">
        <v>8458</v>
      </c>
      <c r="E871" s="22" t="s">
        <v>7751</v>
      </c>
      <c r="F871" s="22">
        <v>33.268784077799999</v>
      </c>
      <c r="G871" s="22">
        <v>44.493801793400003</v>
      </c>
      <c r="H871" s="21" t="s">
        <v>1449</v>
      </c>
      <c r="I871" s="21" t="s">
        <v>1720</v>
      </c>
      <c r="J871" s="21" t="s">
        <v>1849</v>
      </c>
      <c r="K871" s="24">
        <v>37</v>
      </c>
      <c r="L871" s="24">
        <v>222</v>
      </c>
      <c r="M871" s="23">
        <v>12</v>
      </c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>
        <v>22</v>
      </c>
      <c r="Z871" s="23"/>
      <c r="AA871" s="23">
        <v>3</v>
      </c>
      <c r="AB871" s="23"/>
      <c r="AC871" s="23"/>
      <c r="AD871" s="23"/>
      <c r="AE871" s="23"/>
      <c r="AF871" s="23">
        <v>13</v>
      </c>
      <c r="AG871" s="23"/>
      <c r="AH871" s="23"/>
      <c r="AI871" s="23"/>
      <c r="AJ871" s="23">
        <v>15</v>
      </c>
      <c r="AK871" s="23">
        <v>9</v>
      </c>
      <c r="AL871" s="23"/>
      <c r="AM871" s="23"/>
      <c r="AN871" s="23"/>
      <c r="AO871" s="23">
        <v>10</v>
      </c>
      <c r="AP871" s="23"/>
      <c r="AQ871" s="23">
        <v>18</v>
      </c>
      <c r="AR871" s="23">
        <v>7</v>
      </c>
      <c r="AS871" s="23">
        <v>2</v>
      </c>
      <c r="AT871" s="23"/>
      <c r="AU871" s="14" t="str">
        <f>HYPERLINK("http://www.openstreetmap.org/?mlat=33.2607&amp;mlon=44.4937&amp;zoom=12#map=12/33.2607/44.4937","Maplink1")</f>
        <v>Maplink1</v>
      </c>
      <c r="AV871" s="14" t="str">
        <f>HYPERLINK("https://www.google.iq/maps/search/+33.2607,44.4937/@33.2607,44.4937,14z?hl=en","Maplink2")</f>
        <v>Maplink2</v>
      </c>
      <c r="AW871" s="14" t="str">
        <f>HYPERLINK("http://www.bing.com/maps/?lvl=14&amp;sty=h&amp;cp=33.2607~44.4937&amp;sp=point.33.2607_44.4937_Hay Diyala-Mahalla 952","Maplink3")</f>
        <v>Maplink3</v>
      </c>
    </row>
    <row r="872" spans="1:49" ht="15" customHeight="1" x14ac:dyDescent="0.25">
      <c r="A872" s="21">
        <v>24623</v>
      </c>
      <c r="B872" s="22" t="s">
        <v>11</v>
      </c>
      <c r="C872" s="22" t="s">
        <v>1719</v>
      </c>
      <c r="D872" s="22" t="s">
        <v>8459</v>
      </c>
      <c r="E872" s="22" t="s">
        <v>7750</v>
      </c>
      <c r="F872" s="22">
        <v>33.263951550100003</v>
      </c>
      <c r="G872" s="22">
        <v>44.490863109800003</v>
      </c>
      <c r="H872" s="21" t="s">
        <v>1449</v>
      </c>
      <c r="I872" s="21" t="s">
        <v>1720</v>
      </c>
      <c r="J872" s="21"/>
      <c r="K872" s="24">
        <v>9</v>
      </c>
      <c r="L872" s="24">
        <v>54</v>
      </c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>
        <v>9</v>
      </c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>
        <v>9</v>
      </c>
      <c r="AL872" s="23"/>
      <c r="AM872" s="23"/>
      <c r="AN872" s="23"/>
      <c r="AO872" s="23"/>
      <c r="AP872" s="23"/>
      <c r="AQ872" s="23">
        <v>5</v>
      </c>
      <c r="AR872" s="23">
        <v>4</v>
      </c>
      <c r="AS872" s="23"/>
      <c r="AT872" s="23"/>
      <c r="AU872" s="14" t="str">
        <f>HYPERLINK("http://www.openstreetmap.org/?mlat=33.2396&amp;mlon=44.49&amp;zoom=12#map=12/33.2396/44.49","Maplink1")</f>
        <v>Maplink1</v>
      </c>
      <c r="AV872" s="14" t="str">
        <f>HYPERLINK("https://www.google.iq/maps/search/+33.2396,44.49/@33.2396,44.49,14z?hl=en","Maplink2")</f>
        <v>Maplink2</v>
      </c>
      <c r="AW872" s="14" t="str">
        <f>HYPERLINK("http://www.bing.com/maps/?lvl=14&amp;sty=h&amp;cp=33.2396~44.49&amp;sp=point.33.2396_44.49_Hay Diyala-Mahala 954","Maplink3")</f>
        <v>Maplink3</v>
      </c>
    </row>
    <row r="873" spans="1:49" ht="15" customHeight="1" x14ac:dyDescent="0.25">
      <c r="A873" s="21">
        <v>22248</v>
      </c>
      <c r="B873" s="22" t="s">
        <v>11</v>
      </c>
      <c r="C873" s="22" t="s">
        <v>1719</v>
      </c>
      <c r="D873" s="22" t="s">
        <v>8460</v>
      </c>
      <c r="E873" s="22" t="s">
        <v>7752</v>
      </c>
      <c r="F873" s="22">
        <v>33.261697575500001</v>
      </c>
      <c r="G873" s="22">
        <v>44.496245745800003</v>
      </c>
      <c r="H873" s="21" t="s">
        <v>1449</v>
      </c>
      <c r="I873" s="21" t="s">
        <v>1720</v>
      </c>
      <c r="J873" s="21" t="s">
        <v>1850</v>
      </c>
      <c r="K873" s="24">
        <v>51</v>
      </c>
      <c r="L873" s="24">
        <v>306</v>
      </c>
      <c r="M873" s="23">
        <v>10</v>
      </c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>
        <v>35</v>
      </c>
      <c r="Z873" s="23"/>
      <c r="AA873" s="23">
        <v>6</v>
      </c>
      <c r="AB873" s="23"/>
      <c r="AC873" s="23"/>
      <c r="AD873" s="23"/>
      <c r="AE873" s="23"/>
      <c r="AF873" s="23">
        <v>22</v>
      </c>
      <c r="AG873" s="23"/>
      <c r="AH873" s="23"/>
      <c r="AI873" s="23"/>
      <c r="AJ873" s="23"/>
      <c r="AK873" s="23">
        <v>29</v>
      </c>
      <c r="AL873" s="23"/>
      <c r="AM873" s="23"/>
      <c r="AN873" s="23"/>
      <c r="AO873" s="23">
        <v>4</v>
      </c>
      <c r="AP873" s="23"/>
      <c r="AQ873" s="23">
        <v>30</v>
      </c>
      <c r="AR873" s="23">
        <v>11</v>
      </c>
      <c r="AS873" s="23">
        <v>6</v>
      </c>
      <c r="AT873" s="23"/>
      <c r="AU873" s="14" t="str">
        <f>HYPERLINK("http://www.openstreetmap.org/?mlat=33.2506&amp;mlon=44.4994&amp;zoom=12#map=12/33.2506/44.4994","Maplink1")</f>
        <v>Maplink1</v>
      </c>
      <c r="AV873" s="14" t="str">
        <f>HYPERLINK("https://www.google.iq/maps/search/+33.2506,44.4994/@33.2506,44.4994,14z?hl=en","Maplink2")</f>
        <v>Maplink2</v>
      </c>
      <c r="AW873" s="14" t="str">
        <f>HYPERLINK("http://www.bing.com/maps/?lvl=14&amp;sty=h&amp;cp=33.2506~44.4994&amp;sp=point.33.2506_44.4994_Hay Diyala-Mahalla 958","Maplink3")</f>
        <v>Maplink3</v>
      </c>
    </row>
    <row r="874" spans="1:49" ht="15" customHeight="1" x14ac:dyDescent="0.25">
      <c r="A874" s="21">
        <v>24015</v>
      </c>
      <c r="B874" s="22" t="s">
        <v>11</v>
      </c>
      <c r="C874" s="22" t="s">
        <v>1719</v>
      </c>
      <c r="D874" s="22" t="s">
        <v>1838</v>
      </c>
      <c r="E874" s="22" t="s">
        <v>7745</v>
      </c>
      <c r="F874" s="22">
        <v>33.270697143900001</v>
      </c>
      <c r="G874" s="22">
        <v>44.512770033199999</v>
      </c>
      <c r="H874" s="21" t="s">
        <v>1449</v>
      </c>
      <c r="I874" s="21" t="s">
        <v>1720</v>
      </c>
      <c r="J874" s="21" t="s">
        <v>1839</v>
      </c>
      <c r="K874" s="24">
        <v>19</v>
      </c>
      <c r="L874" s="24">
        <v>114</v>
      </c>
      <c r="M874" s="23">
        <v>5</v>
      </c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>
        <v>14</v>
      </c>
      <c r="Z874" s="23"/>
      <c r="AA874" s="23"/>
      <c r="AB874" s="23"/>
      <c r="AC874" s="23"/>
      <c r="AD874" s="23"/>
      <c r="AE874" s="23"/>
      <c r="AF874" s="23">
        <v>7</v>
      </c>
      <c r="AG874" s="23"/>
      <c r="AH874" s="23"/>
      <c r="AI874" s="23"/>
      <c r="AJ874" s="23"/>
      <c r="AK874" s="23">
        <v>12</v>
      </c>
      <c r="AL874" s="23"/>
      <c r="AM874" s="23"/>
      <c r="AN874" s="23"/>
      <c r="AO874" s="23">
        <v>5</v>
      </c>
      <c r="AP874" s="23"/>
      <c r="AQ874" s="23">
        <v>3</v>
      </c>
      <c r="AR874" s="23">
        <v>11</v>
      </c>
      <c r="AS874" s="23"/>
      <c r="AT874" s="23"/>
      <c r="AU874" s="14" t="str">
        <f>HYPERLINK("http://www.openstreetmap.org/?mlat=33.2428&amp;mlon=44.5055&amp;zoom=12#map=12/33.2428/44.5055","Maplink1")</f>
        <v>Maplink1</v>
      </c>
      <c r="AV874" s="14" t="str">
        <f>HYPERLINK("https://www.google.iq/maps/search/+33.2428,44.5055/@33.2428,44.5055,14z?hl=en","Maplink2")</f>
        <v>Maplink2</v>
      </c>
      <c r="AW874" s="14" t="str">
        <f>HYPERLINK("http://www.bing.com/maps/?lvl=14&amp;sty=h&amp;cp=33.2428~44.5055&amp;sp=point.33.2428_44.5055_Hay Diyala-930","Maplink3")</f>
        <v>Maplink3</v>
      </c>
    </row>
    <row r="875" spans="1:49" ht="15" customHeight="1" x14ac:dyDescent="0.25">
      <c r="A875" s="21">
        <v>25407</v>
      </c>
      <c r="B875" s="22" t="s">
        <v>11</v>
      </c>
      <c r="C875" s="22" t="s">
        <v>1719</v>
      </c>
      <c r="D875" s="22" t="s">
        <v>1840</v>
      </c>
      <c r="E875" s="22" t="s">
        <v>7746</v>
      </c>
      <c r="F875" s="22">
        <v>33.25274254</v>
      </c>
      <c r="G875" s="22">
        <v>44.493890633900001</v>
      </c>
      <c r="H875" s="21" t="s">
        <v>1449</v>
      </c>
      <c r="I875" s="21" t="s">
        <v>1720</v>
      </c>
      <c r="J875" s="21"/>
      <c r="K875" s="24">
        <v>28</v>
      </c>
      <c r="L875" s="24">
        <v>168</v>
      </c>
      <c r="M875" s="23">
        <v>5</v>
      </c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>
        <v>22</v>
      </c>
      <c r="Z875" s="23"/>
      <c r="AA875" s="23">
        <v>1</v>
      </c>
      <c r="AB875" s="23"/>
      <c r="AC875" s="23"/>
      <c r="AD875" s="23"/>
      <c r="AE875" s="23"/>
      <c r="AF875" s="23">
        <v>6</v>
      </c>
      <c r="AG875" s="23"/>
      <c r="AH875" s="23"/>
      <c r="AI875" s="23"/>
      <c r="AJ875" s="23">
        <v>15</v>
      </c>
      <c r="AK875" s="23">
        <v>7</v>
      </c>
      <c r="AL875" s="23"/>
      <c r="AM875" s="23"/>
      <c r="AN875" s="23"/>
      <c r="AO875" s="23">
        <v>7</v>
      </c>
      <c r="AP875" s="23"/>
      <c r="AQ875" s="23">
        <v>17</v>
      </c>
      <c r="AR875" s="23">
        <v>4</v>
      </c>
      <c r="AS875" s="23"/>
      <c r="AT875" s="23"/>
      <c r="AU875" s="14" t="str">
        <f>HYPERLINK("http://www.openstreetmap.org/?mlat=33.2428&amp;mlon=44.5055&amp;zoom=12#map=12/33.2428/44.5055","Maplink1")</f>
        <v>Maplink1</v>
      </c>
      <c r="AV875" s="14" t="str">
        <f>HYPERLINK("https://www.google.iq/maps/search/+33.2428,44.5055/@33.2428,44.5055,14z?hl=en","Maplink2")</f>
        <v>Maplink2</v>
      </c>
      <c r="AW875" s="14" t="str">
        <f>HYPERLINK("http://www.bing.com/maps/?lvl=14&amp;sty=h&amp;cp=33.2428~44.5055&amp;sp=point.33.2428_44.5055_Hay Diyala-962","Maplink3")</f>
        <v>Maplink3</v>
      </c>
    </row>
    <row r="876" spans="1:49" ht="15" customHeight="1" x14ac:dyDescent="0.25">
      <c r="A876" s="21">
        <v>24013</v>
      </c>
      <c r="B876" s="22" t="s">
        <v>11</v>
      </c>
      <c r="C876" s="22" t="s">
        <v>1719</v>
      </c>
      <c r="D876" s="22" t="s">
        <v>1841</v>
      </c>
      <c r="E876" s="22" t="s">
        <v>7747</v>
      </c>
      <c r="F876" s="22">
        <v>33.247220016500002</v>
      </c>
      <c r="G876" s="22">
        <v>44.4983390497</v>
      </c>
      <c r="H876" s="21" t="s">
        <v>1449</v>
      </c>
      <c r="I876" s="21" t="s">
        <v>1720</v>
      </c>
      <c r="J876" s="21" t="s">
        <v>1842</v>
      </c>
      <c r="K876" s="24">
        <v>80</v>
      </c>
      <c r="L876" s="24">
        <v>480</v>
      </c>
      <c r="M876" s="23">
        <v>21</v>
      </c>
      <c r="N876" s="23"/>
      <c r="O876" s="23"/>
      <c r="P876" s="23"/>
      <c r="Q876" s="23"/>
      <c r="R876" s="23">
        <v>12</v>
      </c>
      <c r="S876" s="23"/>
      <c r="T876" s="23"/>
      <c r="U876" s="23"/>
      <c r="V876" s="23"/>
      <c r="W876" s="23"/>
      <c r="X876" s="23"/>
      <c r="Y876" s="23">
        <v>39</v>
      </c>
      <c r="Z876" s="23"/>
      <c r="AA876" s="23">
        <v>8</v>
      </c>
      <c r="AB876" s="23"/>
      <c r="AC876" s="23"/>
      <c r="AD876" s="23"/>
      <c r="AE876" s="23"/>
      <c r="AF876" s="23">
        <v>49</v>
      </c>
      <c r="AG876" s="23"/>
      <c r="AH876" s="23"/>
      <c r="AI876" s="23"/>
      <c r="AJ876" s="23"/>
      <c r="AK876" s="23">
        <v>31</v>
      </c>
      <c r="AL876" s="23"/>
      <c r="AM876" s="23"/>
      <c r="AN876" s="23"/>
      <c r="AO876" s="23"/>
      <c r="AP876" s="23"/>
      <c r="AQ876" s="23">
        <v>15</v>
      </c>
      <c r="AR876" s="23">
        <v>48</v>
      </c>
      <c r="AS876" s="23">
        <v>17</v>
      </c>
      <c r="AT876" s="23"/>
      <c r="AU876" s="14" t="str">
        <f>HYPERLINK("http://www.openstreetmap.org/?mlat=33.2428&amp;mlon=44.5055&amp;zoom=12#map=12/33.2428/44.5055","Maplink1")</f>
        <v>Maplink1</v>
      </c>
      <c r="AV876" s="14" t="str">
        <f>HYPERLINK("https://www.google.iq/maps/search/+33.2428,44.5055/@33.2428,44.5055,14z?hl=en","Maplink2")</f>
        <v>Maplink2</v>
      </c>
      <c r="AW876" s="14" t="str">
        <f>HYPERLINK("http://www.bing.com/maps/?lvl=14&amp;sty=h&amp;cp=33.2428~44.5055&amp;sp=point.33.2428_44.5055_Hay Diyala-964","Maplink3")</f>
        <v>Maplink3</v>
      </c>
    </row>
    <row r="877" spans="1:49" ht="15" customHeight="1" x14ac:dyDescent="0.25">
      <c r="A877" s="21">
        <v>24012</v>
      </c>
      <c r="B877" s="22" t="s">
        <v>11</v>
      </c>
      <c r="C877" s="22" t="s">
        <v>1719</v>
      </c>
      <c r="D877" s="22" t="s">
        <v>1843</v>
      </c>
      <c r="E877" s="22" t="s">
        <v>7748</v>
      </c>
      <c r="F877" s="22">
        <v>33.237519066200001</v>
      </c>
      <c r="G877" s="22">
        <v>44.5113683099</v>
      </c>
      <c r="H877" s="21" t="s">
        <v>1449</v>
      </c>
      <c r="I877" s="21" t="s">
        <v>1720</v>
      </c>
      <c r="J877" s="21" t="s">
        <v>1844</v>
      </c>
      <c r="K877" s="24">
        <v>61</v>
      </c>
      <c r="L877" s="24">
        <v>366</v>
      </c>
      <c r="M877" s="23">
        <v>18</v>
      </c>
      <c r="N877" s="23"/>
      <c r="O877" s="23"/>
      <c r="P877" s="23"/>
      <c r="Q877" s="23"/>
      <c r="R877" s="23">
        <v>6</v>
      </c>
      <c r="S877" s="23"/>
      <c r="T877" s="23"/>
      <c r="U877" s="23"/>
      <c r="V877" s="23"/>
      <c r="W877" s="23"/>
      <c r="X877" s="23"/>
      <c r="Y877" s="23">
        <v>29</v>
      </c>
      <c r="Z877" s="23"/>
      <c r="AA877" s="23">
        <v>8</v>
      </c>
      <c r="AB877" s="23"/>
      <c r="AC877" s="23"/>
      <c r="AD877" s="23"/>
      <c r="AE877" s="23"/>
      <c r="AF877" s="23">
        <v>9</v>
      </c>
      <c r="AG877" s="23"/>
      <c r="AH877" s="23"/>
      <c r="AI877" s="23"/>
      <c r="AJ877" s="23"/>
      <c r="AK877" s="23">
        <v>52</v>
      </c>
      <c r="AL877" s="23"/>
      <c r="AM877" s="23"/>
      <c r="AN877" s="23"/>
      <c r="AO877" s="23">
        <v>11</v>
      </c>
      <c r="AP877" s="23"/>
      <c r="AQ877" s="23">
        <v>17</v>
      </c>
      <c r="AR877" s="23">
        <v>28</v>
      </c>
      <c r="AS877" s="23">
        <v>5</v>
      </c>
      <c r="AT877" s="23"/>
      <c r="AU877" s="14" t="str">
        <f>HYPERLINK("http://www.openstreetmap.org/?mlat=33.2428&amp;mlon=44.5055&amp;zoom=12#map=12/33.2428/44.5055","Maplink1")</f>
        <v>Maplink1</v>
      </c>
      <c r="AV877" s="14" t="str">
        <f>HYPERLINK("https://www.google.iq/maps/search/+33.2428,44.5055/@33.2428,44.5055,14z?hl=en","Maplink2")</f>
        <v>Maplink2</v>
      </c>
      <c r="AW877" s="14" t="str">
        <f>HYPERLINK("http://www.bing.com/maps/?lvl=14&amp;sty=h&amp;cp=33.2428~44.5055&amp;sp=point.33.2428_44.5055_Hay Diyala-966","Maplink3")</f>
        <v>Maplink3</v>
      </c>
    </row>
    <row r="878" spans="1:49" ht="15" customHeight="1" x14ac:dyDescent="0.25">
      <c r="A878" s="21">
        <v>24014</v>
      </c>
      <c r="B878" s="22" t="s">
        <v>11</v>
      </c>
      <c r="C878" s="22" t="s">
        <v>1719</v>
      </c>
      <c r="D878" s="22" t="s">
        <v>1845</v>
      </c>
      <c r="E878" s="22" t="s">
        <v>1846</v>
      </c>
      <c r="F878" s="22">
        <v>33.255853412500002</v>
      </c>
      <c r="G878" s="22">
        <v>44.519865469499997</v>
      </c>
      <c r="H878" s="21" t="s">
        <v>1449</v>
      </c>
      <c r="I878" s="21" t="s">
        <v>1720</v>
      </c>
      <c r="J878" s="21" t="s">
        <v>1847</v>
      </c>
      <c r="K878" s="24">
        <v>10</v>
      </c>
      <c r="L878" s="24">
        <v>60</v>
      </c>
      <c r="M878" s="23">
        <v>4</v>
      </c>
      <c r="N878" s="23"/>
      <c r="O878" s="23"/>
      <c r="P878" s="23"/>
      <c r="Q878" s="23"/>
      <c r="R878" s="23">
        <v>6</v>
      </c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>
        <v>3</v>
      </c>
      <c r="AG878" s="23"/>
      <c r="AH878" s="23"/>
      <c r="AI878" s="23"/>
      <c r="AJ878" s="23"/>
      <c r="AK878" s="23">
        <v>7</v>
      </c>
      <c r="AL878" s="23"/>
      <c r="AM878" s="23"/>
      <c r="AN878" s="23"/>
      <c r="AO878" s="23">
        <v>4</v>
      </c>
      <c r="AP878" s="23"/>
      <c r="AQ878" s="23">
        <v>6</v>
      </c>
      <c r="AR878" s="23"/>
      <c r="AS878" s="23"/>
      <c r="AT878" s="23"/>
      <c r="AU878" s="14" t="str">
        <f>HYPERLINK("http://www.openstreetmap.org/?mlat=33.2428&amp;mlon=44.5055&amp;zoom=12#map=12/33.2428/44.5055","Maplink1")</f>
        <v>Maplink1</v>
      </c>
      <c r="AV878" s="14" t="str">
        <f>HYPERLINK("https://www.google.iq/maps/search/+33.2428,44.5055/@33.2428,44.5055,14z?hl=en","Maplink2")</f>
        <v>Maplink2</v>
      </c>
      <c r="AW878" s="14" t="str">
        <f>HYPERLINK("http://www.bing.com/maps/?lvl=14&amp;sty=h&amp;cp=33.2428~44.5055&amp;sp=point.33.2428_44.5055_Hay Diyala-970","Maplink3")</f>
        <v>Maplink3</v>
      </c>
    </row>
    <row r="879" spans="1:49" ht="15" customHeight="1" x14ac:dyDescent="0.25">
      <c r="A879" s="21">
        <v>23991</v>
      </c>
      <c r="B879" s="22" t="s">
        <v>11</v>
      </c>
      <c r="C879" s="22" t="s">
        <v>1719</v>
      </c>
      <c r="D879" s="22" t="s">
        <v>1851</v>
      </c>
      <c r="E879" s="22" t="s">
        <v>1852</v>
      </c>
      <c r="F879" s="22">
        <v>33.307743982399998</v>
      </c>
      <c r="G879" s="22">
        <v>44.464492356500003</v>
      </c>
      <c r="H879" s="21" t="s">
        <v>1449</v>
      </c>
      <c r="I879" s="21" t="s">
        <v>1720</v>
      </c>
      <c r="J879" s="21" t="s">
        <v>1853</v>
      </c>
      <c r="K879" s="24">
        <v>64</v>
      </c>
      <c r="L879" s="24">
        <v>384</v>
      </c>
      <c r="M879" s="23">
        <v>16</v>
      </c>
      <c r="N879" s="23"/>
      <c r="O879" s="23"/>
      <c r="P879" s="23"/>
      <c r="Q879" s="23"/>
      <c r="R879" s="23">
        <v>8</v>
      </c>
      <c r="S879" s="23"/>
      <c r="T879" s="23"/>
      <c r="U879" s="23"/>
      <c r="V879" s="23"/>
      <c r="W879" s="23"/>
      <c r="X879" s="23"/>
      <c r="Y879" s="23">
        <v>35</v>
      </c>
      <c r="Z879" s="23"/>
      <c r="AA879" s="23">
        <v>5</v>
      </c>
      <c r="AB879" s="23"/>
      <c r="AC879" s="23"/>
      <c r="AD879" s="23"/>
      <c r="AE879" s="23"/>
      <c r="AF879" s="23">
        <v>20</v>
      </c>
      <c r="AG879" s="23"/>
      <c r="AH879" s="23"/>
      <c r="AI879" s="23"/>
      <c r="AJ879" s="23">
        <v>25</v>
      </c>
      <c r="AK879" s="23">
        <v>19</v>
      </c>
      <c r="AL879" s="23"/>
      <c r="AM879" s="23"/>
      <c r="AN879" s="23"/>
      <c r="AO879" s="23"/>
      <c r="AP879" s="23"/>
      <c r="AQ879" s="23">
        <v>48</v>
      </c>
      <c r="AR879" s="23">
        <v>7</v>
      </c>
      <c r="AS879" s="23">
        <v>9</v>
      </c>
      <c r="AT879" s="23"/>
      <c r="AU879" s="14" t="str">
        <f>HYPERLINK("http://www.openstreetmap.org/?mlat=33.3142&amp;mlon=44.4751&amp;zoom=12#map=12/33.3142/44.4751","Maplink1")</f>
        <v>Maplink1</v>
      </c>
      <c r="AV879" s="14" t="str">
        <f>HYPERLINK("https://www.google.iq/maps/search/+33.3142,44.4751/@33.3142,44.4751,14z?hl=en","Maplink2")</f>
        <v>Maplink2</v>
      </c>
      <c r="AW879" s="14" t="str">
        <f>HYPERLINK("http://www.bing.com/maps/?lvl=14&amp;sty=h&amp;cp=33.3142~44.4751&amp;sp=point.33.3142_44.4751_Hay Sumer-702","Maplink3")</f>
        <v>Maplink3</v>
      </c>
    </row>
    <row r="880" spans="1:49" ht="15" customHeight="1" x14ac:dyDescent="0.25">
      <c r="A880" s="21">
        <v>23990</v>
      </c>
      <c r="B880" s="22" t="s">
        <v>11</v>
      </c>
      <c r="C880" s="22" t="s">
        <v>1719</v>
      </c>
      <c r="D880" s="22" t="s">
        <v>1854</v>
      </c>
      <c r="E880" s="22" t="s">
        <v>1855</v>
      </c>
      <c r="F880" s="22">
        <v>33.313616230800001</v>
      </c>
      <c r="G880" s="22">
        <v>44.477529888399999</v>
      </c>
      <c r="H880" s="21" t="s">
        <v>1449</v>
      </c>
      <c r="I880" s="21" t="s">
        <v>1720</v>
      </c>
      <c r="J880" s="21" t="s">
        <v>1856</v>
      </c>
      <c r="K880" s="24">
        <v>85</v>
      </c>
      <c r="L880" s="24">
        <v>510</v>
      </c>
      <c r="M880" s="23">
        <v>42</v>
      </c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>
        <v>40</v>
      </c>
      <c r="Z880" s="23"/>
      <c r="AA880" s="23">
        <v>3</v>
      </c>
      <c r="AB880" s="23"/>
      <c r="AC880" s="23"/>
      <c r="AD880" s="23"/>
      <c r="AE880" s="23"/>
      <c r="AF880" s="23">
        <v>25</v>
      </c>
      <c r="AG880" s="23"/>
      <c r="AH880" s="23"/>
      <c r="AI880" s="23"/>
      <c r="AJ880" s="23"/>
      <c r="AK880" s="23">
        <v>60</v>
      </c>
      <c r="AL880" s="23"/>
      <c r="AM880" s="23"/>
      <c r="AN880" s="23"/>
      <c r="AO880" s="23">
        <v>4</v>
      </c>
      <c r="AP880" s="23"/>
      <c r="AQ880" s="23">
        <v>45</v>
      </c>
      <c r="AR880" s="23">
        <v>8</v>
      </c>
      <c r="AS880" s="23">
        <v>28</v>
      </c>
      <c r="AT880" s="23"/>
      <c r="AU880" s="14" t="str">
        <f>HYPERLINK("http://www.openstreetmap.org/?mlat=33.3142&amp;mlon=44.4751&amp;zoom=12#map=12/33.3142/44.4751","Maplink1")</f>
        <v>Maplink1</v>
      </c>
      <c r="AV880" s="14" t="str">
        <f>HYPERLINK("https://www.google.iq/maps/search/+33.3142,44.4751/@33.3142,44.4751,14z?hl=en","Maplink2")</f>
        <v>Maplink2</v>
      </c>
      <c r="AW880" s="14" t="str">
        <f>HYPERLINK("http://www.bing.com/maps/?lvl=14&amp;sty=h&amp;cp=33.3142~44.4751&amp;sp=point.33.3142_44.4751_Hay Sumer-706","Maplink3")</f>
        <v>Maplink3</v>
      </c>
    </row>
    <row r="881" spans="1:49" ht="15" customHeight="1" x14ac:dyDescent="0.25">
      <c r="A881" s="21">
        <v>24226</v>
      </c>
      <c r="B881" s="22" t="s">
        <v>11</v>
      </c>
      <c r="C881" s="22" t="s">
        <v>1719</v>
      </c>
      <c r="D881" s="22" t="s">
        <v>8461</v>
      </c>
      <c r="E881" s="22" t="s">
        <v>8462</v>
      </c>
      <c r="F881" s="22">
        <v>33.315717020900003</v>
      </c>
      <c r="G881" s="22">
        <v>44.468487711400002</v>
      </c>
      <c r="H881" s="21" t="s">
        <v>1449</v>
      </c>
      <c r="I881" s="21" t="s">
        <v>1720</v>
      </c>
      <c r="J881" s="21" t="s">
        <v>1862</v>
      </c>
      <c r="K881" s="24">
        <v>22</v>
      </c>
      <c r="L881" s="24">
        <v>132</v>
      </c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>
        <v>20</v>
      </c>
      <c r="Z881" s="23"/>
      <c r="AA881" s="23">
        <v>2</v>
      </c>
      <c r="AB881" s="23"/>
      <c r="AC881" s="23"/>
      <c r="AD881" s="23"/>
      <c r="AE881" s="23"/>
      <c r="AF881" s="23">
        <v>17</v>
      </c>
      <c r="AG881" s="23"/>
      <c r="AH881" s="23"/>
      <c r="AI881" s="23"/>
      <c r="AJ881" s="23"/>
      <c r="AK881" s="23">
        <v>5</v>
      </c>
      <c r="AL881" s="23"/>
      <c r="AM881" s="23"/>
      <c r="AN881" s="23"/>
      <c r="AO881" s="23"/>
      <c r="AP881" s="23">
        <v>7</v>
      </c>
      <c r="AQ881" s="23">
        <v>15</v>
      </c>
      <c r="AR881" s="23"/>
      <c r="AS881" s="23"/>
      <c r="AT881" s="23"/>
      <c r="AU881" s="14" t="str">
        <f>HYPERLINK("http://www.openstreetmap.org/?mlat=33.3142&amp;mlon=44.4751&amp;zoom=12#map=12/33.3142/44.4751","Maplink1")</f>
        <v>Maplink1</v>
      </c>
      <c r="AV881" s="14" t="str">
        <f>HYPERLINK("https://www.google.iq/maps/search/+33.3142,44.4751/@33.3142,44.4751,14z?hl=en","Maplink2")</f>
        <v>Maplink2</v>
      </c>
      <c r="AW881" s="14" t="str">
        <f>HYPERLINK("http://www.bing.com/maps/?lvl=14&amp;sty=h&amp;cp=33.3142~44.4751&amp;sp=point.33.3142_44.4751_Summer-704","Maplink3")</f>
        <v>Maplink3</v>
      </c>
    </row>
    <row r="882" spans="1:49" ht="15" customHeight="1" x14ac:dyDescent="0.25">
      <c r="A882" s="21">
        <v>25969</v>
      </c>
      <c r="B882" s="22" t="s">
        <v>11</v>
      </c>
      <c r="C882" s="22" t="s">
        <v>1719</v>
      </c>
      <c r="D882" s="22" t="s">
        <v>1863</v>
      </c>
      <c r="E882" s="22" t="s">
        <v>1864</v>
      </c>
      <c r="F882" s="22">
        <v>33.317933190300003</v>
      </c>
      <c r="G882" s="22">
        <v>44.445211096199998</v>
      </c>
      <c r="H882" s="21" t="s">
        <v>1449</v>
      </c>
      <c r="I882" s="21" t="s">
        <v>1720</v>
      </c>
      <c r="J882" s="21"/>
      <c r="K882" s="24">
        <v>143</v>
      </c>
      <c r="L882" s="24">
        <v>858</v>
      </c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>
        <v>143</v>
      </c>
      <c r="Z882" s="23"/>
      <c r="AA882" s="23"/>
      <c r="AB882" s="23"/>
      <c r="AC882" s="23"/>
      <c r="AD882" s="23"/>
      <c r="AE882" s="23">
        <v>143</v>
      </c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>
        <v>143</v>
      </c>
      <c r="AR882" s="23"/>
      <c r="AS882" s="23"/>
      <c r="AT882" s="23"/>
      <c r="AU882" s="14" t="str">
        <f>HYPERLINK("http://www.openstreetmap.org/?mlat=33.3169&amp;mlon=44.4459&amp;zoom=12#map=12/33.3169/44.4459","Maplink1")</f>
        <v>Maplink1</v>
      </c>
      <c r="AV882" s="14" t="str">
        <f>HYPERLINK("https://www.google.iq/maps/search/+33.3169,44.4459/@33.3169,44.4459,14z?hl=en","Maplink2")</f>
        <v>Maplink2</v>
      </c>
      <c r="AW882" s="14" t="str">
        <f>HYPERLINK("http://www.bing.com/maps/?lvl=14&amp;sty=h&amp;cp=33.3169~44.4459&amp;sp=point.33.3169_44.4459_Zayona Camp","Maplink3")</f>
        <v>Maplink3</v>
      </c>
    </row>
    <row r="883" spans="1:49" ht="15" customHeight="1" x14ac:dyDescent="0.25">
      <c r="A883" s="21">
        <v>28396</v>
      </c>
      <c r="B883" s="22" t="s">
        <v>11</v>
      </c>
      <c r="C883" s="22" t="s">
        <v>1865</v>
      </c>
      <c r="D883" s="22" t="s">
        <v>1867</v>
      </c>
      <c r="E883" s="22" t="s">
        <v>1868</v>
      </c>
      <c r="F883" s="22">
        <v>33.504219999999997</v>
      </c>
      <c r="G883" s="22">
        <v>44.197090000000003</v>
      </c>
      <c r="H883" s="21"/>
      <c r="I883" s="21"/>
      <c r="J883" s="21"/>
      <c r="K883" s="24">
        <v>10</v>
      </c>
      <c r="L883" s="24">
        <v>60</v>
      </c>
      <c r="M883" s="23">
        <v>10</v>
      </c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>
        <v>3</v>
      </c>
      <c r="AG883" s="23"/>
      <c r="AH883" s="23"/>
      <c r="AI883" s="23"/>
      <c r="AJ883" s="23"/>
      <c r="AK883" s="23">
        <v>7</v>
      </c>
      <c r="AL883" s="23"/>
      <c r="AM883" s="23"/>
      <c r="AN883" s="23"/>
      <c r="AO883" s="23"/>
      <c r="AP883" s="23"/>
      <c r="AQ883" s="23"/>
      <c r="AR883" s="23">
        <v>10</v>
      </c>
      <c r="AS883" s="23"/>
      <c r="AT883" s="23"/>
      <c r="AU883" s="14" t="str">
        <f>HYPERLINK("http://www.openstreetmap.org/?mlat=33.5083&amp;mlon=44.2367&amp;zoom=12#map=12/33.5083/44.2367","Maplink1")</f>
        <v>Maplink1</v>
      </c>
      <c r="AV883" s="14" t="str">
        <f>HYPERLINK("https://www.google.iq/maps/search/+33.5083,44.2367/@33.5083,44.2367,14z?hl=en","Maplink2")</f>
        <v>Maplink2</v>
      </c>
      <c r="AW883" s="14" t="str">
        <f>HYPERLINK("http://www.bing.com/maps/?lvl=14&amp;sty=h&amp;cp=33.5083~44.2367&amp;sp=point.33.5083_44.2367_Al Angaa","Maplink3")</f>
        <v>Maplink3</v>
      </c>
    </row>
    <row r="884" spans="1:49" ht="15" customHeight="1" x14ac:dyDescent="0.25">
      <c r="A884" s="21">
        <v>28398</v>
      </c>
      <c r="B884" s="22" t="s">
        <v>11</v>
      </c>
      <c r="C884" s="22" t="s">
        <v>1865</v>
      </c>
      <c r="D884" s="22" t="s">
        <v>1869</v>
      </c>
      <c r="E884" s="22" t="s">
        <v>1870</v>
      </c>
      <c r="F884" s="22">
        <v>33.575719999999997</v>
      </c>
      <c r="G884" s="22">
        <v>44.167789999999997</v>
      </c>
      <c r="H884" s="21"/>
      <c r="I884" s="21"/>
      <c r="J884" s="21"/>
      <c r="K884" s="24">
        <v>30</v>
      </c>
      <c r="L884" s="24">
        <v>180</v>
      </c>
      <c r="M884" s="23">
        <v>30</v>
      </c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>
        <v>20</v>
      </c>
      <c r="AG884" s="23"/>
      <c r="AH884" s="23"/>
      <c r="AI884" s="23"/>
      <c r="AJ884" s="23"/>
      <c r="AK884" s="23">
        <v>10</v>
      </c>
      <c r="AL884" s="23"/>
      <c r="AM884" s="23"/>
      <c r="AN884" s="23"/>
      <c r="AO884" s="23"/>
      <c r="AP884" s="23"/>
      <c r="AQ884" s="23"/>
      <c r="AR884" s="23"/>
      <c r="AS884" s="23">
        <v>22</v>
      </c>
      <c r="AT884" s="23">
        <v>8</v>
      </c>
      <c r="AU884" s="14" t="str">
        <f>HYPERLINK("http://www.openstreetmap.org/?mlat=33.5083&amp;mlon=44.2367&amp;zoom=12#map=12/33.5083/44.2367","Maplink1")</f>
        <v>Maplink1</v>
      </c>
      <c r="AV884" s="14" t="str">
        <f>HYPERLINK("https://www.google.iq/maps/search/+33.5083,44.2367/@33.5083,44.2367,14z?hl=en","Maplink2")</f>
        <v>Maplink2</v>
      </c>
      <c r="AW884" s="14" t="str">
        <f>HYPERLINK("http://www.bing.com/maps/?lvl=14&amp;sty=h&amp;cp=33.5083~44.2367&amp;sp=point.33.5083_44.2367_Al Angaa","Maplink3")</f>
        <v>Maplink3</v>
      </c>
    </row>
    <row r="885" spans="1:49" ht="15" customHeight="1" x14ac:dyDescent="0.25">
      <c r="A885" s="21">
        <v>23619</v>
      </c>
      <c r="B885" s="22" t="s">
        <v>11</v>
      </c>
      <c r="C885" s="22" t="s">
        <v>1865</v>
      </c>
      <c r="D885" s="22" t="s">
        <v>8463</v>
      </c>
      <c r="E885" s="22" t="s">
        <v>1871</v>
      </c>
      <c r="F885" s="22">
        <v>33.496527961699996</v>
      </c>
      <c r="G885" s="22">
        <v>44.244541936899999</v>
      </c>
      <c r="H885" s="21" t="s">
        <v>1449</v>
      </c>
      <c r="I885" s="21" t="s">
        <v>1872</v>
      </c>
      <c r="J885" s="21" t="s">
        <v>1873</v>
      </c>
      <c r="K885" s="24">
        <v>74</v>
      </c>
      <c r="L885" s="24">
        <v>444</v>
      </c>
      <c r="M885" s="23">
        <v>60</v>
      </c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>
        <v>14</v>
      </c>
      <c r="AB885" s="23"/>
      <c r="AC885" s="23"/>
      <c r="AD885" s="23"/>
      <c r="AE885" s="23"/>
      <c r="AF885" s="23">
        <v>20</v>
      </c>
      <c r="AG885" s="23"/>
      <c r="AH885" s="23"/>
      <c r="AI885" s="23"/>
      <c r="AJ885" s="23"/>
      <c r="AK885" s="23">
        <v>54</v>
      </c>
      <c r="AL885" s="23"/>
      <c r="AM885" s="23"/>
      <c r="AN885" s="23"/>
      <c r="AO885" s="23">
        <v>29</v>
      </c>
      <c r="AP885" s="23"/>
      <c r="AQ885" s="23"/>
      <c r="AR885" s="23">
        <v>12</v>
      </c>
      <c r="AS885" s="23">
        <v>25</v>
      </c>
      <c r="AT885" s="23">
        <v>8</v>
      </c>
      <c r="AU885" s="14" t="str">
        <f>HYPERLINK("http://www.openstreetmap.org/?mlat=33.4928&amp;mlon=44.243&amp;zoom=12#map=12/33.4928/44.243","Maplink1")</f>
        <v>Maplink1</v>
      </c>
      <c r="AV885" s="14" t="str">
        <f>HYPERLINK("https://www.google.iq/maps/search/+33.4928,44.243/@33.4928,44.243,14z?hl=en","Maplink2")</f>
        <v>Maplink2</v>
      </c>
      <c r="AW885" s="14" t="str">
        <f>HYPERLINK("http://www.bing.com/maps/?lvl=14&amp;sty=h&amp;cp=33.4928~44.243&amp;sp=point.33.4928_44.243_Ahmed Al Hamid","Maplink3")</f>
        <v>Maplink3</v>
      </c>
    </row>
    <row r="886" spans="1:49" ht="15" customHeight="1" x14ac:dyDescent="0.25">
      <c r="A886" s="21">
        <v>25193</v>
      </c>
      <c r="B886" s="22" t="s">
        <v>11</v>
      </c>
      <c r="C886" s="22" t="s">
        <v>1865</v>
      </c>
      <c r="D886" s="22" t="s">
        <v>8464</v>
      </c>
      <c r="E886" s="22" t="s">
        <v>1891</v>
      </c>
      <c r="F886" s="22">
        <v>33.453200000000002</v>
      </c>
      <c r="G886" s="22">
        <v>44.2376</v>
      </c>
      <c r="H886" s="21" t="s">
        <v>1449</v>
      </c>
      <c r="I886" s="21" t="s">
        <v>1872</v>
      </c>
      <c r="J886" s="21"/>
      <c r="K886" s="24">
        <v>13</v>
      </c>
      <c r="L886" s="24">
        <v>78</v>
      </c>
      <c r="M886" s="23">
        <v>13</v>
      </c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>
        <v>5</v>
      </c>
      <c r="AG886" s="23"/>
      <c r="AH886" s="23"/>
      <c r="AI886" s="23"/>
      <c r="AJ886" s="23"/>
      <c r="AK886" s="23">
        <v>8</v>
      </c>
      <c r="AL886" s="23"/>
      <c r="AM886" s="23"/>
      <c r="AN886" s="23"/>
      <c r="AO886" s="23"/>
      <c r="AP886" s="23"/>
      <c r="AQ886" s="23"/>
      <c r="AR886" s="23">
        <v>13</v>
      </c>
      <c r="AS886" s="23"/>
      <c r="AT886" s="23"/>
      <c r="AU886" s="14" t="str">
        <f>HYPERLINK("http://www.openstreetmap.org/?mlat=33.5103&amp;mlon=44.2021&amp;zoom=12#map=12/33.5103/44.2021","Maplink1")</f>
        <v>Maplink1</v>
      </c>
      <c r="AV886" s="14" t="str">
        <f>HYPERLINK("https://www.google.iq/maps/search/+33.5103,44.2021/@33.5103,44.2021,14z?hl=en","Maplink2")</f>
        <v>Maplink2</v>
      </c>
      <c r="AW886" s="14" t="str">
        <f>HYPERLINK("http://www.bing.com/maps/?lvl=14&amp;sty=h&amp;cp=33.5103~44.2021&amp;sp=point.33.5103_44.2021_Al Taji Al Jadeed-Ajeel Al Sultan","Maplink3")</f>
        <v>Maplink3</v>
      </c>
    </row>
    <row r="887" spans="1:49" ht="15" customHeight="1" x14ac:dyDescent="0.25">
      <c r="A887" s="21">
        <v>27413</v>
      </c>
      <c r="B887" s="22" t="s">
        <v>11</v>
      </c>
      <c r="C887" s="22" t="s">
        <v>1865</v>
      </c>
      <c r="D887" s="22" t="s">
        <v>7403</v>
      </c>
      <c r="E887" s="22" t="s">
        <v>7757</v>
      </c>
      <c r="F887" s="22">
        <v>33.437165299699998</v>
      </c>
      <c r="G887" s="22">
        <v>44.253963800500003</v>
      </c>
      <c r="H887" s="21" t="s">
        <v>1449</v>
      </c>
      <c r="I887" s="21" t="s">
        <v>1872</v>
      </c>
      <c r="J887" s="21"/>
      <c r="K887" s="24">
        <v>211</v>
      </c>
      <c r="L887" s="24">
        <v>1266</v>
      </c>
      <c r="M887" s="23">
        <v>134</v>
      </c>
      <c r="N887" s="23"/>
      <c r="O887" s="23">
        <v>6</v>
      </c>
      <c r="P887" s="23"/>
      <c r="Q887" s="23"/>
      <c r="R887" s="23"/>
      <c r="S887" s="23"/>
      <c r="T887" s="23"/>
      <c r="U887" s="23">
        <v>1</v>
      </c>
      <c r="V887" s="23"/>
      <c r="W887" s="23"/>
      <c r="X887" s="23"/>
      <c r="Y887" s="23"/>
      <c r="Z887" s="23"/>
      <c r="AA887" s="23">
        <v>70</v>
      </c>
      <c r="AB887" s="23"/>
      <c r="AC887" s="23"/>
      <c r="AD887" s="23"/>
      <c r="AE887" s="23"/>
      <c r="AF887" s="23">
        <v>60</v>
      </c>
      <c r="AG887" s="23"/>
      <c r="AH887" s="23"/>
      <c r="AI887" s="23"/>
      <c r="AJ887" s="23"/>
      <c r="AK887" s="23">
        <v>126</v>
      </c>
      <c r="AL887" s="23"/>
      <c r="AM887" s="23">
        <v>25</v>
      </c>
      <c r="AN887" s="23"/>
      <c r="AO887" s="23"/>
      <c r="AP887" s="23">
        <v>24</v>
      </c>
      <c r="AQ887" s="23">
        <v>73</v>
      </c>
      <c r="AR887" s="23">
        <v>23</v>
      </c>
      <c r="AS887" s="23">
        <v>88</v>
      </c>
      <c r="AT887" s="23">
        <v>3</v>
      </c>
      <c r="AU887" s="14" t="str">
        <f>HYPERLINK("http://www.openstreetmap.org/?mlat=33.4457&amp;mlon=44.253&amp;zoom=12#map=12/33.4457/44.253","Maplink1")</f>
        <v>Maplink1</v>
      </c>
      <c r="AV887" s="14" t="str">
        <f>HYPERLINK("https://www.google.iq/maps/search/+33.4457,44.253/@33.4457,44.253,14z?hl=en","Maplink2")</f>
        <v>Maplink2</v>
      </c>
      <c r="AW887" s="14" t="str">
        <f>HYPERLINK("http://www.bing.com/maps/?lvl=14&amp;sty=h&amp;cp=33.4457~44.253&amp;sp=point.33.4457_44.253_Al Ahnaf  - Al Rakia Fadel  village ","Maplink3")</f>
        <v>Maplink3</v>
      </c>
    </row>
    <row r="888" spans="1:49" ht="15" customHeight="1" x14ac:dyDescent="0.25">
      <c r="A888" s="21">
        <v>27414</v>
      </c>
      <c r="B888" s="22" t="s">
        <v>11</v>
      </c>
      <c r="C888" s="22" t="s">
        <v>1865</v>
      </c>
      <c r="D888" s="22" t="s">
        <v>7404</v>
      </c>
      <c r="E888" s="22" t="s">
        <v>7758</v>
      </c>
      <c r="F888" s="22">
        <v>33.402646873099997</v>
      </c>
      <c r="G888" s="22">
        <v>44.2931665618</v>
      </c>
      <c r="H888" s="21" t="s">
        <v>1449</v>
      </c>
      <c r="I888" s="21" t="s">
        <v>1872</v>
      </c>
      <c r="J888" s="21"/>
      <c r="K888" s="24">
        <v>248</v>
      </c>
      <c r="L888" s="24">
        <v>1488</v>
      </c>
      <c r="M888" s="23">
        <v>225</v>
      </c>
      <c r="N888" s="23"/>
      <c r="O888" s="23">
        <v>2</v>
      </c>
      <c r="P888" s="23"/>
      <c r="Q888" s="23"/>
      <c r="R888" s="23"/>
      <c r="S888" s="23"/>
      <c r="T888" s="23"/>
      <c r="U888" s="23"/>
      <c r="V888" s="23"/>
      <c r="W888" s="23"/>
      <c r="X888" s="23"/>
      <c r="Y888" s="23">
        <v>1</v>
      </c>
      <c r="Z888" s="23"/>
      <c r="AA888" s="23">
        <v>20</v>
      </c>
      <c r="AB888" s="23"/>
      <c r="AC888" s="23"/>
      <c r="AD888" s="23"/>
      <c r="AE888" s="23"/>
      <c r="AF888" s="23">
        <v>60</v>
      </c>
      <c r="AG888" s="23"/>
      <c r="AH888" s="23"/>
      <c r="AI888" s="23"/>
      <c r="AJ888" s="23"/>
      <c r="AK888" s="23">
        <v>123</v>
      </c>
      <c r="AL888" s="23"/>
      <c r="AM888" s="23">
        <v>65</v>
      </c>
      <c r="AN888" s="23"/>
      <c r="AO888" s="23">
        <v>57</v>
      </c>
      <c r="AP888" s="23">
        <v>58</v>
      </c>
      <c r="AQ888" s="23">
        <v>32</v>
      </c>
      <c r="AR888" s="23">
        <v>17</v>
      </c>
      <c r="AS888" s="23">
        <v>81</v>
      </c>
      <c r="AT888" s="23">
        <v>3</v>
      </c>
      <c r="AU888" s="14" t="str">
        <f>HYPERLINK("http://www.openstreetmap.org/?mlat=33.4457&amp;mlon=44.253&amp;zoom=12#map=12/33.4457/44.253","Maplink1")</f>
        <v>Maplink1</v>
      </c>
      <c r="AV888" s="14" t="str">
        <f>HYPERLINK("https://www.google.iq/maps/search/+33.4457,44.253/@33.4457,44.253,14z?hl=en","Maplink2")</f>
        <v>Maplink2</v>
      </c>
      <c r="AW888" s="14" t="str">
        <f>HYPERLINK("http://www.bing.com/maps/?lvl=14&amp;sty=h&amp;cp=33.4457~44.253&amp;sp=point.33.4457_44.253_Al Ahnaf  - Al Sabaiyat ","Maplink3")</f>
        <v>Maplink3</v>
      </c>
    </row>
    <row r="889" spans="1:49" ht="15" customHeight="1" x14ac:dyDescent="0.25">
      <c r="A889" s="21">
        <v>27415</v>
      </c>
      <c r="B889" s="22" t="s">
        <v>11</v>
      </c>
      <c r="C889" s="22" t="s">
        <v>1865</v>
      </c>
      <c r="D889" s="22" t="s">
        <v>7405</v>
      </c>
      <c r="E889" s="22" t="s">
        <v>7759</v>
      </c>
      <c r="F889" s="22">
        <v>33.444597705100001</v>
      </c>
      <c r="G889" s="22">
        <v>44.254753432599998</v>
      </c>
      <c r="H889" s="21" t="s">
        <v>1449</v>
      </c>
      <c r="I889" s="21" t="s">
        <v>1872</v>
      </c>
      <c r="J889" s="21"/>
      <c r="K889" s="24">
        <v>89</v>
      </c>
      <c r="L889" s="24">
        <v>534</v>
      </c>
      <c r="M889" s="23">
        <v>41</v>
      </c>
      <c r="N889" s="23"/>
      <c r="O889" s="23">
        <v>4</v>
      </c>
      <c r="P889" s="23"/>
      <c r="Q889" s="23"/>
      <c r="R889" s="23"/>
      <c r="S889" s="23"/>
      <c r="T889" s="23"/>
      <c r="U889" s="23">
        <v>3</v>
      </c>
      <c r="V889" s="23"/>
      <c r="W889" s="23"/>
      <c r="X889" s="23"/>
      <c r="Y889" s="23"/>
      <c r="Z889" s="23"/>
      <c r="AA889" s="23">
        <v>41</v>
      </c>
      <c r="AB889" s="23"/>
      <c r="AC889" s="23"/>
      <c r="AD889" s="23"/>
      <c r="AE889" s="23"/>
      <c r="AF889" s="23">
        <v>20</v>
      </c>
      <c r="AG889" s="23"/>
      <c r="AH889" s="23"/>
      <c r="AI889" s="23"/>
      <c r="AJ889" s="23"/>
      <c r="AK889" s="23">
        <v>69</v>
      </c>
      <c r="AL889" s="23"/>
      <c r="AM889" s="23"/>
      <c r="AN889" s="23"/>
      <c r="AO889" s="23">
        <v>15</v>
      </c>
      <c r="AP889" s="23"/>
      <c r="AQ889" s="23"/>
      <c r="AR889" s="23">
        <v>36</v>
      </c>
      <c r="AS889" s="23">
        <v>33</v>
      </c>
      <c r="AT889" s="23">
        <v>5</v>
      </c>
      <c r="AU889" s="14" t="str">
        <f>HYPERLINK("http://www.openstreetmap.org/?mlat=33.4457&amp;mlon=44.253&amp;zoom=12#map=12/33.4457/44.253","Maplink1")</f>
        <v>Maplink1</v>
      </c>
      <c r="AV889" s="14" t="str">
        <f>HYPERLINK("https://www.google.iq/maps/search/+33.4457,44.253/@33.4457,44.253,14z?hl=en","Maplink2")</f>
        <v>Maplink2</v>
      </c>
      <c r="AW889" s="14" t="str">
        <f>HYPERLINK("http://www.bing.com/maps/?lvl=14&amp;sty=h&amp;cp=33.4457~44.253&amp;sp=point.33.4457_44.253_Al Ahnaf  - Al Salamiat","Maplink3")</f>
        <v>Maplink3</v>
      </c>
    </row>
    <row r="890" spans="1:49" ht="15" customHeight="1" x14ac:dyDescent="0.25">
      <c r="A890" s="21">
        <v>24773</v>
      </c>
      <c r="B890" s="22" t="s">
        <v>11</v>
      </c>
      <c r="C890" s="22" t="s">
        <v>1865</v>
      </c>
      <c r="D890" s="22" t="s">
        <v>8465</v>
      </c>
      <c r="E890" s="22" t="s">
        <v>1876</v>
      </c>
      <c r="F890" s="22">
        <v>33.353816899500004</v>
      </c>
      <c r="G890" s="22">
        <v>44.3623655755</v>
      </c>
      <c r="H890" s="21" t="s">
        <v>1449</v>
      </c>
      <c r="I890" s="21" t="s">
        <v>1872</v>
      </c>
      <c r="J890" s="21"/>
      <c r="K890" s="24">
        <v>10</v>
      </c>
      <c r="L890" s="24">
        <v>60</v>
      </c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>
        <v>10</v>
      </c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>
        <v>10</v>
      </c>
      <c r="AL890" s="23"/>
      <c r="AM890" s="23"/>
      <c r="AN890" s="23"/>
      <c r="AO890" s="23"/>
      <c r="AP890" s="23"/>
      <c r="AQ890" s="23"/>
      <c r="AR890" s="23">
        <v>10</v>
      </c>
      <c r="AS890" s="23"/>
      <c r="AT890" s="23"/>
      <c r="AU890" s="14" t="str">
        <f>HYPERLINK("http://www.openstreetmap.org/?mlat=33.3565&amp;mlon=44.3635&amp;zoom=12#map=12/33.3565/44.3635","Maplink1")</f>
        <v>Maplink1</v>
      </c>
      <c r="AV890" s="14" t="str">
        <f>HYPERLINK("https://www.google.iq/maps/search/+33.3565,44.3635/@33.3565,44.3635,14z?hl=en","Maplink2")</f>
        <v>Maplink2</v>
      </c>
      <c r="AW890" s="14" t="str">
        <f>HYPERLINK("http://www.bing.com/maps/?lvl=14&amp;sty=h&amp;cp=33.3565~44.3635&amp;sp=point.33.3565_44.3635_Al Ateefia-Mahala 409","Maplink3")</f>
        <v>Maplink3</v>
      </c>
    </row>
    <row r="891" spans="1:49" ht="15" customHeight="1" x14ac:dyDescent="0.25">
      <c r="A891" s="21">
        <v>24660</v>
      </c>
      <c r="B891" s="22" t="s">
        <v>11</v>
      </c>
      <c r="C891" s="22" t="s">
        <v>1865</v>
      </c>
      <c r="D891" s="22" t="s">
        <v>1874</v>
      </c>
      <c r="E891" s="22" t="s">
        <v>1875</v>
      </c>
      <c r="F891" s="22">
        <v>33.351066838900003</v>
      </c>
      <c r="G891" s="22">
        <v>44.362409496700003</v>
      </c>
      <c r="H891" s="21" t="s">
        <v>1449</v>
      </c>
      <c r="I891" s="21" t="s">
        <v>1872</v>
      </c>
      <c r="J891" s="21"/>
      <c r="K891" s="24">
        <v>20</v>
      </c>
      <c r="L891" s="24">
        <v>120</v>
      </c>
      <c r="M891" s="23">
        <v>2</v>
      </c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>
        <v>12</v>
      </c>
      <c r="Z891" s="23"/>
      <c r="AA891" s="23">
        <v>6</v>
      </c>
      <c r="AB891" s="23"/>
      <c r="AC891" s="23"/>
      <c r="AD891" s="23"/>
      <c r="AE891" s="23"/>
      <c r="AF891" s="23">
        <v>12</v>
      </c>
      <c r="AG891" s="23"/>
      <c r="AH891" s="23"/>
      <c r="AI891" s="23"/>
      <c r="AJ891" s="23"/>
      <c r="AK891" s="23">
        <v>8</v>
      </c>
      <c r="AL891" s="23"/>
      <c r="AM891" s="23"/>
      <c r="AN891" s="23"/>
      <c r="AO891" s="23"/>
      <c r="AP891" s="23"/>
      <c r="AQ891" s="23"/>
      <c r="AR891" s="23">
        <v>16</v>
      </c>
      <c r="AS891" s="23">
        <v>4</v>
      </c>
      <c r="AT891" s="23"/>
      <c r="AU891" s="14" t="str">
        <f>HYPERLINK("http://www.openstreetmap.org/?mlat=33.3567&amp;mlon=44.359&amp;zoom=12#map=12/33.3567/44.359","Maplink1")</f>
        <v>Maplink1</v>
      </c>
      <c r="AV891" s="14" t="str">
        <f>HYPERLINK("https://www.google.iq/maps/search/+33.3567,44.359/@33.3567,44.359,14z?hl=en","Maplink2")</f>
        <v>Maplink2</v>
      </c>
      <c r="AW891" s="14" t="str">
        <f>HYPERLINK("http://www.bing.com/maps/?lvl=14&amp;sty=h&amp;cp=33.3567~44.359&amp;sp=point.33.3567_44.359_Al Ateefia-407","Maplink3")</f>
        <v>Maplink3</v>
      </c>
    </row>
    <row r="892" spans="1:49" ht="15" customHeight="1" x14ac:dyDescent="0.25">
      <c r="A892" s="21">
        <v>25196</v>
      </c>
      <c r="B892" s="22" t="s">
        <v>11</v>
      </c>
      <c r="C892" s="22" t="s">
        <v>1865</v>
      </c>
      <c r="D892" s="22" t="s">
        <v>8466</v>
      </c>
      <c r="E892" s="22" t="s">
        <v>1892</v>
      </c>
      <c r="F892" s="22">
        <v>33.479018351000001</v>
      </c>
      <c r="G892" s="22">
        <v>44.2619337685</v>
      </c>
      <c r="H892" s="21" t="s">
        <v>1449</v>
      </c>
      <c r="I892" s="21" t="s">
        <v>1872</v>
      </c>
      <c r="J892" s="21"/>
      <c r="K892" s="24">
        <v>19</v>
      </c>
      <c r="L892" s="24">
        <v>114</v>
      </c>
      <c r="M892" s="23">
        <v>19</v>
      </c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>
        <v>4</v>
      </c>
      <c r="AG892" s="23"/>
      <c r="AH892" s="23"/>
      <c r="AI892" s="23"/>
      <c r="AJ892" s="23"/>
      <c r="AK892" s="23">
        <v>15</v>
      </c>
      <c r="AL892" s="23"/>
      <c r="AM892" s="23"/>
      <c r="AN892" s="23"/>
      <c r="AO892" s="23"/>
      <c r="AP892" s="23"/>
      <c r="AQ892" s="23"/>
      <c r="AR892" s="23"/>
      <c r="AS892" s="23">
        <v>19</v>
      </c>
      <c r="AT892" s="23"/>
      <c r="AU892" s="14" t="str">
        <f>HYPERLINK("http://www.openstreetmap.org/?mlat=33.5103&amp;mlon=44.2021&amp;zoom=12#map=12/33.5103/44.2021","Maplink1")</f>
        <v>Maplink1</v>
      </c>
      <c r="AV892" s="14" t="str">
        <f>HYPERLINK("https://www.google.iq/maps/search/+33.5103,44.2021/@33.5103,44.2021,14z?hl=en","Maplink2")</f>
        <v>Maplink2</v>
      </c>
      <c r="AW892" s="14" t="str">
        <f>HYPERLINK("http://www.bing.com/maps/?lvl=14&amp;sty=h&amp;cp=33.5103~44.2021&amp;sp=point.33.5103_44.2021_Al Taji Al Jadeed-Al Batta","Maplink3")</f>
        <v>Maplink3</v>
      </c>
    </row>
    <row r="893" spans="1:49" ht="15" customHeight="1" x14ac:dyDescent="0.25">
      <c r="A893" s="21">
        <v>27313</v>
      </c>
      <c r="B893" s="22" t="s">
        <v>11</v>
      </c>
      <c r="C893" s="22" t="s">
        <v>1865</v>
      </c>
      <c r="D893" s="22" t="s">
        <v>7406</v>
      </c>
      <c r="E893" s="22" t="s">
        <v>1879</v>
      </c>
      <c r="F893" s="22">
        <v>33.520650000000003</v>
      </c>
      <c r="G893" s="22">
        <v>44.206409999999998</v>
      </c>
      <c r="H893" s="21" t="s">
        <v>1449</v>
      </c>
      <c r="I893" s="21" t="s">
        <v>1872</v>
      </c>
      <c r="J893" s="21"/>
      <c r="K893" s="24">
        <v>20</v>
      </c>
      <c r="L893" s="24">
        <v>120</v>
      </c>
      <c r="M893" s="23">
        <v>20</v>
      </c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>
        <v>20</v>
      </c>
      <c r="AL893" s="23"/>
      <c r="AM893" s="23"/>
      <c r="AN893" s="23"/>
      <c r="AO893" s="23"/>
      <c r="AP893" s="23"/>
      <c r="AQ893" s="23"/>
      <c r="AR893" s="23">
        <v>20</v>
      </c>
      <c r="AS893" s="23"/>
      <c r="AT893" s="23"/>
      <c r="AU893" s="14" t="str">
        <f>HYPERLINK("http://www.openstreetmap.org/?mlat=33.5621&amp;mlon=44.2768&amp;zoom=12#map=12/33.5621/44.2768","Maplink1")</f>
        <v>Maplink1</v>
      </c>
      <c r="AV893" s="14" t="str">
        <f>HYPERLINK("https://www.google.iq/maps/search/+33.5621,44.2768/@33.5621,44.2768,14z?hl=en","Maplink2")</f>
        <v>Maplink2</v>
      </c>
      <c r="AW893" s="14" t="str">
        <f>HYPERLINK("http://www.bing.com/maps/?lvl=14&amp;sty=h&amp;cp=33.5621~44.2768&amp;sp=point.33.5621_44.2768_Al bu Ataes  Village","Maplink3")</f>
        <v>Maplink3</v>
      </c>
    </row>
    <row r="894" spans="1:49" ht="15" customHeight="1" x14ac:dyDescent="0.25">
      <c r="A894" s="21">
        <v>25184</v>
      </c>
      <c r="B894" s="22" t="s">
        <v>11</v>
      </c>
      <c r="C894" s="22" t="s">
        <v>1865</v>
      </c>
      <c r="D894" s="22" t="s">
        <v>8467</v>
      </c>
      <c r="E894" s="22" t="s">
        <v>1893</v>
      </c>
      <c r="F894" s="22">
        <v>33.498950000000001</v>
      </c>
      <c r="G894" s="22">
        <v>44.27534</v>
      </c>
      <c r="H894" s="21" t="s">
        <v>1449</v>
      </c>
      <c r="I894" s="21" t="s">
        <v>1872</v>
      </c>
      <c r="J894" s="21"/>
      <c r="K894" s="24">
        <v>47</v>
      </c>
      <c r="L894" s="24">
        <v>282</v>
      </c>
      <c r="M894" s="23">
        <v>41</v>
      </c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>
        <v>6</v>
      </c>
      <c r="AB894" s="23"/>
      <c r="AC894" s="23"/>
      <c r="AD894" s="23"/>
      <c r="AE894" s="23"/>
      <c r="AF894" s="23">
        <v>21</v>
      </c>
      <c r="AG894" s="23"/>
      <c r="AH894" s="23"/>
      <c r="AI894" s="23"/>
      <c r="AJ894" s="23"/>
      <c r="AK894" s="23">
        <v>26</v>
      </c>
      <c r="AL894" s="23"/>
      <c r="AM894" s="23"/>
      <c r="AN894" s="23"/>
      <c r="AO894" s="23">
        <v>10</v>
      </c>
      <c r="AP894" s="23"/>
      <c r="AQ894" s="23"/>
      <c r="AR894" s="23">
        <v>9</v>
      </c>
      <c r="AS894" s="23">
        <v>28</v>
      </c>
      <c r="AT894" s="23"/>
      <c r="AU894" s="14" t="str">
        <f>HYPERLINK("http://www.openstreetmap.org/?mlat=33.5103&amp;mlon=44.2021&amp;zoom=12#map=12/33.5103/44.2021","Maplink1")</f>
        <v>Maplink1</v>
      </c>
      <c r="AV894" s="14" t="str">
        <f>HYPERLINK("https://www.google.iq/maps/search/+33.5103,44.2021/@33.5103,44.2021,14z?hl=en","Maplink2")</f>
        <v>Maplink2</v>
      </c>
      <c r="AW894" s="14" t="str">
        <f>HYPERLINK("http://www.bing.com/maps/?lvl=14&amp;sty=h&amp;cp=33.5103~44.2021&amp;sp=point.33.5103_44.2021_Al Taji Al Jadeed-Al Halabsa","Maplink3")</f>
        <v>Maplink3</v>
      </c>
    </row>
    <row r="895" spans="1:49" ht="15" customHeight="1" x14ac:dyDescent="0.25">
      <c r="A895" s="21">
        <v>22249</v>
      </c>
      <c r="B895" s="22" t="s">
        <v>11</v>
      </c>
      <c r="C895" s="22" t="s">
        <v>1865</v>
      </c>
      <c r="D895" s="22" t="s">
        <v>8468</v>
      </c>
      <c r="E895" s="22" t="s">
        <v>7760</v>
      </c>
      <c r="F895" s="22">
        <v>33.353000000000002</v>
      </c>
      <c r="G895" s="22">
        <v>44.327660000000002</v>
      </c>
      <c r="H895" s="21" t="s">
        <v>1449</v>
      </c>
      <c r="I895" s="21" t="s">
        <v>1872</v>
      </c>
      <c r="J895" s="21" t="s">
        <v>1880</v>
      </c>
      <c r="K895" s="24">
        <v>40</v>
      </c>
      <c r="L895" s="24">
        <v>240</v>
      </c>
      <c r="M895" s="23">
        <v>22</v>
      </c>
      <c r="N895" s="23"/>
      <c r="O895" s="23"/>
      <c r="P895" s="23"/>
      <c r="Q895" s="23"/>
      <c r="R895" s="23"/>
      <c r="S895" s="23"/>
      <c r="T895" s="23"/>
      <c r="U895" s="23">
        <v>1</v>
      </c>
      <c r="V895" s="23"/>
      <c r="W895" s="23"/>
      <c r="X895" s="23"/>
      <c r="Y895" s="23">
        <v>7</v>
      </c>
      <c r="Z895" s="23"/>
      <c r="AA895" s="23">
        <v>10</v>
      </c>
      <c r="AB895" s="23"/>
      <c r="AC895" s="23"/>
      <c r="AD895" s="23"/>
      <c r="AE895" s="23"/>
      <c r="AF895" s="23">
        <v>7</v>
      </c>
      <c r="AG895" s="23"/>
      <c r="AH895" s="23"/>
      <c r="AI895" s="23"/>
      <c r="AJ895" s="23"/>
      <c r="AK895" s="23">
        <v>33</v>
      </c>
      <c r="AL895" s="23"/>
      <c r="AM895" s="23"/>
      <c r="AN895" s="23"/>
      <c r="AO895" s="23"/>
      <c r="AP895" s="23">
        <v>11</v>
      </c>
      <c r="AQ895" s="23">
        <v>7</v>
      </c>
      <c r="AR895" s="23">
        <v>22</v>
      </c>
      <c r="AS895" s="23"/>
      <c r="AT895" s="23"/>
      <c r="AU895" s="14" t="str">
        <f>HYPERLINK("http://www.openstreetmap.org/?mlat=33.3669&amp;mlon=44.3406&amp;zoom=12#map=12/33.3669/44.3406","Maplink1")</f>
        <v>Maplink1</v>
      </c>
      <c r="AV895" s="14" t="str">
        <f>HYPERLINK("https://www.google.iq/maps/search/+33.3669,44.3406/@33.3669,44.3406,14z?hl=en","Maplink2")</f>
        <v>Maplink2</v>
      </c>
      <c r="AW895" s="14" t="str">
        <f>HYPERLINK("http://www.bing.com/maps/?lvl=14&amp;sty=h&amp;cp=33.3669~44.3406&amp;sp=point.33.3669_44.3406_Al Huriya-Mahalla 430","Maplink3")</f>
        <v>Maplink3</v>
      </c>
    </row>
    <row r="896" spans="1:49" ht="15" customHeight="1" x14ac:dyDescent="0.25">
      <c r="A896" s="21">
        <v>24934</v>
      </c>
      <c r="B896" s="22" t="s">
        <v>11</v>
      </c>
      <c r="C896" s="22" t="s">
        <v>1865</v>
      </c>
      <c r="D896" s="22" t="s">
        <v>8469</v>
      </c>
      <c r="E896" s="22" t="s">
        <v>7761</v>
      </c>
      <c r="F896" s="22">
        <v>33.351562167499999</v>
      </c>
      <c r="G896" s="22">
        <v>44.322945652500003</v>
      </c>
      <c r="H896" s="21" t="s">
        <v>1449</v>
      </c>
      <c r="I896" s="21" t="s">
        <v>1872</v>
      </c>
      <c r="J896" s="21"/>
      <c r="K896" s="24">
        <v>47</v>
      </c>
      <c r="L896" s="24">
        <v>282</v>
      </c>
      <c r="M896" s="23">
        <v>5</v>
      </c>
      <c r="N896" s="23"/>
      <c r="O896" s="23">
        <v>3</v>
      </c>
      <c r="P896" s="23"/>
      <c r="Q896" s="23"/>
      <c r="R896" s="23"/>
      <c r="S896" s="23"/>
      <c r="T896" s="23"/>
      <c r="U896" s="23"/>
      <c r="V896" s="23"/>
      <c r="W896" s="23"/>
      <c r="X896" s="23"/>
      <c r="Y896" s="23">
        <v>19</v>
      </c>
      <c r="Z896" s="23"/>
      <c r="AA896" s="23">
        <v>20</v>
      </c>
      <c r="AB896" s="23"/>
      <c r="AC896" s="23"/>
      <c r="AD896" s="23"/>
      <c r="AE896" s="23"/>
      <c r="AF896" s="23">
        <v>13</v>
      </c>
      <c r="AG896" s="23"/>
      <c r="AH896" s="23"/>
      <c r="AI896" s="23"/>
      <c r="AJ896" s="23"/>
      <c r="AK896" s="23">
        <v>34</v>
      </c>
      <c r="AL896" s="23"/>
      <c r="AM896" s="23"/>
      <c r="AN896" s="23"/>
      <c r="AO896" s="23">
        <v>6</v>
      </c>
      <c r="AP896" s="23">
        <v>6</v>
      </c>
      <c r="AQ896" s="23">
        <v>19</v>
      </c>
      <c r="AR896" s="23">
        <v>16</v>
      </c>
      <c r="AS896" s="23"/>
      <c r="AT896" s="23"/>
      <c r="AU896" s="14" t="str">
        <f>HYPERLINK("http://www.openstreetmap.org/?mlat=33.3604&amp;mlon=44.3159&amp;zoom=12#map=12/33.3604/44.3159","Maplink1")</f>
        <v>Maplink1</v>
      </c>
      <c r="AV896" s="14" t="str">
        <f>HYPERLINK("https://www.google.iq/maps/search/+33.3604,44.3159/@33.3604,44.3159,14z?hl=en","Maplink2")</f>
        <v>Maplink2</v>
      </c>
      <c r="AW896" s="14" t="str">
        <f>HYPERLINK("http://www.bing.com/maps/?lvl=14&amp;sty=h&amp;cp=33.3604~44.3159&amp;sp=point.33.3604_44.3159_Al Hurriyah-Mahala 416","Maplink3")</f>
        <v>Maplink3</v>
      </c>
    </row>
    <row r="897" spans="1:49" ht="15" customHeight="1" x14ac:dyDescent="0.25">
      <c r="A897" s="21">
        <v>24935</v>
      </c>
      <c r="B897" s="22" t="s">
        <v>11</v>
      </c>
      <c r="C897" s="22" t="s">
        <v>1865</v>
      </c>
      <c r="D897" s="22" t="s">
        <v>8470</v>
      </c>
      <c r="E897" s="22" t="s">
        <v>7762</v>
      </c>
      <c r="F897" s="22">
        <v>33.349641412499999</v>
      </c>
      <c r="G897" s="22">
        <v>44.328928487399999</v>
      </c>
      <c r="H897" s="21" t="s">
        <v>1449</v>
      </c>
      <c r="I897" s="21" t="s">
        <v>1872</v>
      </c>
      <c r="J897" s="21"/>
      <c r="K897" s="24">
        <v>20</v>
      </c>
      <c r="L897" s="24">
        <v>120</v>
      </c>
      <c r="M897" s="23">
        <v>2</v>
      </c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>
        <v>18</v>
      </c>
      <c r="Z897" s="23"/>
      <c r="AA897" s="23"/>
      <c r="AB897" s="23"/>
      <c r="AC897" s="23"/>
      <c r="AD897" s="23"/>
      <c r="AE897" s="23"/>
      <c r="AF897" s="23">
        <v>4</v>
      </c>
      <c r="AG897" s="23"/>
      <c r="AH897" s="23"/>
      <c r="AI897" s="23"/>
      <c r="AJ897" s="23"/>
      <c r="AK897" s="23">
        <v>16</v>
      </c>
      <c r="AL897" s="23"/>
      <c r="AM897" s="23"/>
      <c r="AN897" s="23"/>
      <c r="AO897" s="23"/>
      <c r="AP897" s="23">
        <v>20</v>
      </c>
      <c r="AQ897" s="23"/>
      <c r="AR897" s="23"/>
      <c r="AS897" s="23"/>
      <c r="AT897" s="23"/>
      <c r="AU897" s="14" t="str">
        <f>HYPERLINK("http://www.openstreetmap.org/?mlat=33.3594&amp;mlon=44.3186&amp;zoom=12#map=12/33.3594/44.3186","Maplink1")</f>
        <v>Maplink1</v>
      </c>
      <c r="AV897" s="14" t="str">
        <f>HYPERLINK("https://www.google.iq/maps/search/+33.3594,44.3186/@33.3594,44.3186,14z?hl=en","Maplink2")</f>
        <v>Maplink2</v>
      </c>
      <c r="AW897" s="14" t="str">
        <f>HYPERLINK("http://www.bing.com/maps/?lvl=14&amp;sty=h&amp;cp=33.3594~44.3186&amp;sp=point.33.3594_44.3186_Al Hurriyah-Mahala 418","Maplink3")</f>
        <v>Maplink3</v>
      </c>
    </row>
    <row r="898" spans="1:49" ht="15" customHeight="1" x14ac:dyDescent="0.25">
      <c r="A898" s="21">
        <v>24963</v>
      </c>
      <c r="B898" s="22" t="s">
        <v>11</v>
      </c>
      <c r="C898" s="22" t="s">
        <v>1865</v>
      </c>
      <c r="D898" s="22" t="s">
        <v>8471</v>
      </c>
      <c r="E898" s="22" t="s">
        <v>7763</v>
      </c>
      <c r="F898" s="22">
        <v>33.3611</v>
      </c>
      <c r="G898" s="22">
        <v>44.32591</v>
      </c>
      <c r="H898" s="21" t="s">
        <v>1449</v>
      </c>
      <c r="I898" s="21" t="s">
        <v>1872</v>
      </c>
      <c r="J898" s="21"/>
      <c r="K898" s="24">
        <v>20</v>
      </c>
      <c r="L898" s="24">
        <v>120</v>
      </c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>
        <v>11</v>
      </c>
      <c r="Z898" s="23"/>
      <c r="AA898" s="23">
        <v>9</v>
      </c>
      <c r="AB898" s="23"/>
      <c r="AC898" s="23"/>
      <c r="AD898" s="23"/>
      <c r="AE898" s="23"/>
      <c r="AF898" s="23">
        <v>3</v>
      </c>
      <c r="AG898" s="23"/>
      <c r="AH898" s="23"/>
      <c r="AI898" s="23"/>
      <c r="AJ898" s="23"/>
      <c r="AK898" s="23">
        <v>17</v>
      </c>
      <c r="AL898" s="23"/>
      <c r="AM898" s="23"/>
      <c r="AN898" s="23"/>
      <c r="AO898" s="23"/>
      <c r="AP898" s="23">
        <v>5</v>
      </c>
      <c r="AQ898" s="23">
        <v>12</v>
      </c>
      <c r="AR898" s="23">
        <v>3</v>
      </c>
      <c r="AS898" s="23"/>
      <c r="AT898" s="23"/>
      <c r="AU898" s="14" t="str">
        <f>HYPERLINK("http://www.openstreetmap.org/?mlat=33.3607&amp;mlon=44.3167&amp;zoom=12#map=12/33.3607/44.3167","Maplink1")</f>
        <v>Maplink1</v>
      </c>
      <c r="AV898" s="14" t="str">
        <f>HYPERLINK("https://www.google.iq/maps/search/+33.3607,44.3167/@33.3607,44.3167,14z?hl=en","Maplink2")</f>
        <v>Maplink2</v>
      </c>
      <c r="AW898" s="14" t="str">
        <f>HYPERLINK("http://www.bing.com/maps/?lvl=14&amp;sty=h&amp;cp=33.3607~44.3167&amp;sp=point.33.3607_44.3167_Al Hurriyah-Mahala 420","Maplink3")</f>
        <v>Maplink3</v>
      </c>
    </row>
    <row r="899" spans="1:49" ht="15" customHeight="1" x14ac:dyDescent="0.25">
      <c r="A899" s="21">
        <v>24936</v>
      </c>
      <c r="B899" s="22" t="s">
        <v>11</v>
      </c>
      <c r="C899" s="22" t="s">
        <v>1865</v>
      </c>
      <c r="D899" s="22" t="s">
        <v>8472</v>
      </c>
      <c r="E899" s="22" t="s">
        <v>7765</v>
      </c>
      <c r="F899" s="22">
        <v>33.352723438300004</v>
      </c>
      <c r="G899" s="22">
        <v>44.308626512099998</v>
      </c>
      <c r="H899" s="21" t="s">
        <v>1449</v>
      </c>
      <c r="I899" s="21" t="s">
        <v>1872</v>
      </c>
      <c r="J899" s="21"/>
      <c r="K899" s="24">
        <v>20</v>
      </c>
      <c r="L899" s="24">
        <v>120</v>
      </c>
      <c r="M899" s="23">
        <v>7</v>
      </c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>
        <v>5</v>
      </c>
      <c r="Z899" s="23"/>
      <c r="AA899" s="23">
        <v>8</v>
      </c>
      <c r="AB899" s="23"/>
      <c r="AC899" s="23"/>
      <c r="AD899" s="23"/>
      <c r="AE899" s="23"/>
      <c r="AF899" s="23">
        <v>6</v>
      </c>
      <c r="AG899" s="23"/>
      <c r="AH899" s="23"/>
      <c r="AI899" s="23"/>
      <c r="AJ899" s="23"/>
      <c r="AK899" s="23">
        <v>14</v>
      </c>
      <c r="AL899" s="23"/>
      <c r="AM899" s="23"/>
      <c r="AN899" s="23"/>
      <c r="AO899" s="23"/>
      <c r="AP899" s="23">
        <v>6</v>
      </c>
      <c r="AQ899" s="23"/>
      <c r="AR899" s="23">
        <v>11</v>
      </c>
      <c r="AS899" s="23">
        <v>3</v>
      </c>
      <c r="AT899" s="23"/>
      <c r="AU899" s="14" t="str">
        <f>HYPERLINK("http://www.openstreetmap.org/?mlat=33.3537&amp;mlon=44.3205&amp;zoom=12#map=12/33.3537/44.3205","Maplink1")</f>
        <v>Maplink1</v>
      </c>
      <c r="AV899" s="14" t="str">
        <f>HYPERLINK("https://www.google.iq/maps/search/+33.3537,44.3205/@33.3537,44.3205,14z?hl=en","Maplink2")</f>
        <v>Maplink2</v>
      </c>
      <c r="AW899" s="14" t="str">
        <f>HYPERLINK("http://www.bing.com/maps/?lvl=14&amp;sty=h&amp;cp=33.3537~44.3205&amp;sp=point.33.3537_44.3205_Al Hurriyah-Mahala 426","Maplink3")</f>
        <v>Maplink3</v>
      </c>
    </row>
    <row r="900" spans="1:49" ht="15" customHeight="1" x14ac:dyDescent="0.25">
      <c r="A900" s="21">
        <v>24732</v>
      </c>
      <c r="B900" s="22" t="s">
        <v>11</v>
      </c>
      <c r="C900" s="22" t="s">
        <v>1865</v>
      </c>
      <c r="D900" s="22" t="s">
        <v>8473</v>
      </c>
      <c r="E900" s="22" t="s">
        <v>7766</v>
      </c>
      <c r="F900" s="22">
        <v>33.355690170999999</v>
      </c>
      <c r="G900" s="22">
        <v>44.306817278300002</v>
      </c>
      <c r="H900" s="21" t="s">
        <v>1449</v>
      </c>
      <c r="I900" s="21" t="s">
        <v>1872</v>
      </c>
      <c r="J900" s="21"/>
      <c r="K900" s="24">
        <v>54</v>
      </c>
      <c r="L900" s="24">
        <v>324</v>
      </c>
      <c r="M900" s="23">
        <v>13</v>
      </c>
      <c r="N900" s="23">
        <v>2</v>
      </c>
      <c r="O900" s="23"/>
      <c r="P900" s="23"/>
      <c r="Q900" s="23"/>
      <c r="R900" s="23"/>
      <c r="S900" s="23"/>
      <c r="T900" s="23"/>
      <c r="U900" s="23">
        <v>1</v>
      </c>
      <c r="V900" s="23"/>
      <c r="W900" s="23"/>
      <c r="X900" s="23"/>
      <c r="Y900" s="23">
        <v>26</v>
      </c>
      <c r="Z900" s="23"/>
      <c r="AA900" s="23">
        <v>12</v>
      </c>
      <c r="AB900" s="23"/>
      <c r="AC900" s="23"/>
      <c r="AD900" s="23"/>
      <c r="AE900" s="23"/>
      <c r="AF900" s="23">
        <v>21</v>
      </c>
      <c r="AG900" s="23"/>
      <c r="AH900" s="23"/>
      <c r="AI900" s="23"/>
      <c r="AJ900" s="23"/>
      <c r="AK900" s="23">
        <v>33</v>
      </c>
      <c r="AL900" s="23"/>
      <c r="AM900" s="23"/>
      <c r="AN900" s="23"/>
      <c r="AO900" s="23">
        <v>4</v>
      </c>
      <c r="AP900" s="23">
        <v>26</v>
      </c>
      <c r="AQ900" s="23"/>
      <c r="AR900" s="23">
        <v>15</v>
      </c>
      <c r="AS900" s="23">
        <v>9</v>
      </c>
      <c r="AT900" s="23"/>
      <c r="AU900" s="14" t="str">
        <f>HYPERLINK("http://www.openstreetmap.org/?mlat=33.3537&amp;mlon=44.3205&amp;zoom=12#map=12/33.3537/44.3205","Maplink1")</f>
        <v>Maplink1</v>
      </c>
      <c r="AV900" s="14" t="str">
        <f>HYPERLINK("https://www.google.iq/maps/search/+33.3537,44.3205/@33.3537,44.3205,14z?hl=en","Maplink2")</f>
        <v>Maplink2</v>
      </c>
      <c r="AW900" s="14" t="str">
        <f>HYPERLINK("http://www.bing.com/maps/?lvl=14&amp;sty=h&amp;cp=33.3537~44.3205&amp;sp=point.33.3537_44.3205_Al Hurriyah-Mahala 428","Maplink3")</f>
        <v>Maplink3</v>
      </c>
    </row>
    <row r="901" spans="1:49" ht="15" customHeight="1" x14ac:dyDescent="0.25">
      <c r="A901" s="21">
        <v>24937</v>
      </c>
      <c r="B901" s="22" t="s">
        <v>11</v>
      </c>
      <c r="C901" s="22" t="s">
        <v>1865</v>
      </c>
      <c r="D901" s="22" t="s">
        <v>8474</v>
      </c>
      <c r="E901" s="22" t="s">
        <v>7767</v>
      </c>
      <c r="F901" s="22">
        <v>33.36</v>
      </c>
      <c r="G901" s="22">
        <v>44.311199999999999</v>
      </c>
      <c r="H901" s="21" t="s">
        <v>1449</v>
      </c>
      <c r="I901" s="21" t="s">
        <v>1872</v>
      </c>
      <c r="J901" s="21"/>
      <c r="K901" s="24">
        <v>33</v>
      </c>
      <c r="L901" s="24">
        <v>198</v>
      </c>
      <c r="M901" s="23">
        <v>8</v>
      </c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>
        <v>15</v>
      </c>
      <c r="Z901" s="23"/>
      <c r="AA901" s="23">
        <v>10</v>
      </c>
      <c r="AB901" s="23"/>
      <c r="AC901" s="23"/>
      <c r="AD901" s="23"/>
      <c r="AE901" s="23"/>
      <c r="AF901" s="23">
        <v>12</v>
      </c>
      <c r="AG901" s="23"/>
      <c r="AH901" s="23"/>
      <c r="AI901" s="23"/>
      <c r="AJ901" s="23"/>
      <c r="AK901" s="23">
        <v>21</v>
      </c>
      <c r="AL901" s="23"/>
      <c r="AM901" s="23"/>
      <c r="AN901" s="23"/>
      <c r="AO901" s="23"/>
      <c r="AP901" s="23">
        <v>13</v>
      </c>
      <c r="AQ901" s="23"/>
      <c r="AR901" s="23">
        <v>13</v>
      </c>
      <c r="AS901" s="23">
        <v>4</v>
      </c>
      <c r="AT901" s="23">
        <v>3</v>
      </c>
      <c r="AU901" s="14" t="str">
        <f>HYPERLINK("http://www.openstreetmap.org/?mlat=33.3626&amp;mlon=44.3167&amp;zoom=12#map=12/33.3626/44.3167","Maplink1")</f>
        <v>Maplink1</v>
      </c>
      <c r="AV901" s="14" t="str">
        <f>HYPERLINK("https://www.google.iq/maps/search/+33.3626,44.3167/@33.3626,44.3167,14z?hl=en","Maplink2")</f>
        <v>Maplink2</v>
      </c>
      <c r="AW901" s="14" t="str">
        <f>HYPERLINK("http://www.bing.com/maps/?lvl=14&amp;sty=h&amp;cp=33.3626~44.3167&amp;sp=point.33.3626_44.3167_Al Hurriyah-Mahala 432","Maplink3")</f>
        <v>Maplink3</v>
      </c>
    </row>
    <row r="902" spans="1:49" ht="15" customHeight="1" x14ac:dyDescent="0.25">
      <c r="A902" s="21">
        <v>24733</v>
      </c>
      <c r="B902" s="22" t="s">
        <v>11</v>
      </c>
      <c r="C902" s="22" t="s">
        <v>1865</v>
      </c>
      <c r="D902" s="22" t="s">
        <v>8475</v>
      </c>
      <c r="E902" s="22" t="s">
        <v>7768</v>
      </c>
      <c r="F902" s="22">
        <v>33.352649999999997</v>
      </c>
      <c r="G902" s="22">
        <v>44.313589999999998</v>
      </c>
      <c r="H902" s="21" t="s">
        <v>1449</v>
      </c>
      <c r="I902" s="21" t="s">
        <v>1872</v>
      </c>
      <c r="J902" s="21"/>
      <c r="K902" s="24">
        <v>20</v>
      </c>
      <c r="L902" s="24">
        <v>120</v>
      </c>
      <c r="M902" s="23">
        <v>2</v>
      </c>
      <c r="N902" s="23"/>
      <c r="O902" s="23"/>
      <c r="P902" s="23"/>
      <c r="Q902" s="23"/>
      <c r="R902" s="23">
        <v>3</v>
      </c>
      <c r="S902" s="23"/>
      <c r="T902" s="23"/>
      <c r="U902" s="23">
        <v>2</v>
      </c>
      <c r="V902" s="23"/>
      <c r="W902" s="23"/>
      <c r="X902" s="23"/>
      <c r="Y902" s="23">
        <v>6</v>
      </c>
      <c r="Z902" s="23"/>
      <c r="AA902" s="23">
        <v>7</v>
      </c>
      <c r="AB902" s="23"/>
      <c r="AC902" s="23"/>
      <c r="AD902" s="23"/>
      <c r="AE902" s="23"/>
      <c r="AF902" s="23"/>
      <c r="AG902" s="23"/>
      <c r="AH902" s="23"/>
      <c r="AI902" s="23"/>
      <c r="AJ902" s="23"/>
      <c r="AK902" s="23">
        <v>20</v>
      </c>
      <c r="AL902" s="23"/>
      <c r="AM902" s="23"/>
      <c r="AN902" s="23"/>
      <c r="AO902" s="23">
        <v>4</v>
      </c>
      <c r="AP902" s="23">
        <v>6</v>
      </c>
      <c r="AQ902" s="23"/>
      <c r="AR902" s="23">
        <v>10</v>
      </c>
      <c r="AS902" s="23"/>
      <c r="AT902" s="23"/>
      <c r="AU902" s="14" t="str">
        <f>HYPERLINK("http://www.openstreetmap.org/?mlat=33.3536&amp;mlon=44.3199&amp;zoom=12#map=12/33.3536/44.3199","Maplink1")</f>
        <v>Maplink1</v>
      </c>
      <c r="AV902" s="14" t="str">
        <f>HYPERLINK("https://www.google.iq/maps/search/+33.3536,44.3199/@33.3536,44.3199,14z?hl=en","Maplink2")</f>
        <v>Maplink2</v>
      </c>
      <c r="AW902" s="14" t="str">
        <f>HYPERLINK("http://www.bing.com/maps/?lvl=14&amp;sty=h&amp;cp=33.3536~44.3199&amp;sp=point.33.3536_44.3199_Al Hurriyah-Mahala 436","Maplink3")</f>
        <v>Maplink3</v>
      </c>
    </row>
    <row r="903" spans="1:49" ht="15" customHeight="1" x14ac:dyDescent="0.25">
      <c r="A903" s="21">
        <v>24752</v>
      </c>
      <c r="B903" s="22" t="s">
        <v>11</v>
      </c>
      <c r="C903" s="22" t="s">
        <v>1865</v>
      </c>
      <c r="D903" s="22" t="s">
        <v>8476</v>
      </c>
      <c r="E903" s="22" t="s">
        <v>7764</v>
      </c>
      <c r="F903" s="22">
        <v>33.349806619799999</v>
      </c>
      <c r="G903" s="22">
        <v>44.321055700999999</v>
      </c>
      <c r="H903" s="21" t="s">
        <v>1449</v>
      </c>
      <c r="I903" s="21" t="s">
        <v>1872</v>
      </c>
      <c r="J903" s="21"/>
      <c r="K903" s="24">
        <v>73</v>
      </c>
      <c r="L903" s="24">
        <v>438</v>
      </c>
      <c r="M903" s="23">
        <v>19</v>
      </c>
      <c r="N903" s="23"/>
      <c r="O903" s="23"/>
      <c r="P903" s="23"/>
      <c r="Q903" s="23"/>
      <c r="R903" s="23">
        <v>8</v>
      </c>
      <c r="S903" s="23"/>
      <c r="T903" s="23"/>
      <c r="U903" s="23"/>
      <c r="V903" s="23"/>
      <c r="W903" s="23"/>
      <c r="X903" s="23"/>
      <c r="Y903" s="23">
        <v>30</v>
      </c>
      <c r="Z903" s="23"/>
      <c r="AA903" s="23">
        <v>16</v>
      </c>
      <c r="AB903" s="23"/>
      <c r="AC903" s="23"/>
      <c r="AD903" s="23"/>
      <c r="AE903" s="23"/>
      <c r="AF903" s="23">
        <v>22</v>
      </c>
      <c r="AG903" s="23"/>
      <c r="AH903" s="23"/>
      <c r="AI903" s="23"/>
      <c r="AJ903" s="23"/>
      <c r="AK903" s="23">
        <v>51</v>
      </c>
      <c r="AL903" s="23"/>
      <c r="AM903" s="23"/>
      <c r="AN903" s="23"/>
      <c r="AO903" s="23"/>
      <c r="AP903" s="23">
        <v>25</v>
      </c>
      <c r="AQ903" s="23">
        <v>12</v>
      </c>
      <c r="AR903" s="23">
        <v>26</v>
      </c>
      <c r="AS903" s="23">
        <v>10</v>
      </c>
      <c r="AT903" s="23"/>
      <c r="AU903" s="14" t="str">
        <f>HYPERLINK("http://www.openstreetmap.org/?mlat=33.3543&amp;mlon=44.3197&amp;zoom=12#map=12/33.3543/44.3197","Maplink1")</f>
        <v>Maplink1</v>
      </c>
      <c r="AV903" s="14" t="str">
        <f>HYPERLINK("https://www.google.iq/maps/search/+33.3543,44.3197/@33.3543,44.3197,14z?hl=en","Maplink2")</f>
        <v>Maplink2</v>
      </c>
      <c r="AW903" s="14" t="str">
        <f>HYPERLINK("http://www.bing.com/maps/?lvl=14&amp;sty=h&amp;cp=33.3543~44.3197&amp;sp=point.33.3543_44.3197_Al Hurriyah-Mahala 424","Maplink3")</f>
        <v>Maplink3</v>
      </c>
    </row>
    <row r="904" spans="1:49" ht="15" customHeight="1" x14ac:dyDescent="0.25">
      <c r="A904" s="21">
        <v>28397</v>
      </c>
      <c r="B904" s="22" t="s">
        <v>11</v>
      </c>
      <c r="C904" s="22" t="s">
        <v>1865</v>
      </c>
      <c r="D904" s="22" t="s">
        <v>7407</v>
      </c>
      <c r="E904" s="22" t="s">
        <v>1866</v>
      </c>
      <c r="F904" s="22">
        <v>33.567219999999999</v>
      </c>
      <c r="G904" s="22">
        <v>44.177579999999999</v>
      </c>
      <c r="H904" s="21"/>
      <c r="I904" s="21"/>
      <c r="J904" s="21"/>
      <c r="K904" s="24">
        <v>7</v>
      </c>
      <c r="L904" s="24">
        <v>42</v>
      </c>
      <c r="M904" s="23">
        <v>7</v>
      </c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>
        <v>2</v>
      </c>
      <c r="AG904" s="23"/>
      <c r="AH904" s="23"/>
      <c r="AI904" s="23"/>
      <c r="AJ904" s="23"/>
      <c r="AK904" s="23">
        <v>5</v>
      </c>
      <c r="AL904" s="23"/>
      <c r="AM904" s="23"/>
      <c r="AN904" s="23"/>
      <c r="AO904" s="23"/>
      <c r="AP904" s="23"/>
      <c r="AQ904" s="23"/>
      <c r="AR904" s="23">
        <v>5</v>
      </c>
      <c r="AS904" s="23">
        <v>2</v>
      </c>
      <c r="AT904" s="23"/>
      <c r="AU904" s="14" t="str">
        <f>HYPERLINK("http://www.openstreetmap.org/?mlat=33.5082&amp;mlon=44.2366&amp;zoom=12#map=12/33.5082/44.2366","Maplink1")</f>
        <v>Maplink1</v>
      </c>
      <c r="AV904" s="14" t="str">
        <f>HYPERLINK("https://www.google.iq/maps/search/+33.5082,44.2366/@33.5082,44.2366,14z?hl=en","Maplink2")</f>
        <v>Maplink2</v>
      </c>
      <c r="AW904" s="14" t="str">
        <f>HYPERLINK("http://www.bing.com/maps/?lvl=14&amp;sty=h&amp;cp=33.5082~44.2366&amp;sp=point.33.5082_44.2366_Al Angaa","Maplink3")</f>
        <v>Maplink3</v>
      </c>
    </row>
    <row r="905" spans="1:49" ht="15" customHeight="1" x14ac:dyDescent="0.25">
      <c r="A905" s="21">
        <v>25177</v>
      </c>
      <c r="B905" s="22" t="s">
        <v>11</v>
      </c>
      <c r="C905" s="22" t="s">
        <v>1865</v>
      </c>
      <c r="D905" s="22" t="s">
        <v>8477</v>
      </c>
      <c r="E905" s="22" t="s">
        <v>8478</v>
      </c>
      <c r="F905" s="22">
        <v>33.458276046400002</v>
      </c>
      <c r="G905" s="22">
        <v>44.255357747399998</v>
      </c>
      <c r="H905" s="21" t="s">
        <v>1449</v>
      </c>
      <c r="I905" s="21" t="s">
        <v>1872</v>
      </c>
      <c r="J905" s="21"/>
      <c r="K905" s="24">
        <v>5</v>
      </c>
      <c r="L905" s="24">
        <v>30</v>
      </c>
      <c r="M905" s="23">
        <v>5</v>
      </c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>
        <v>5</v>
      </c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>
        <v>5</v>
      </c>
      <c r="AT905" s="23"/>
      <c r="AU905" s="14" t="str">
        <f>HYPERLINK("http://www.openstreetmap.org/?mlat=33.4763&amp;mlon=44.2414&amp;zoom=12#map=12/33.4763/44.2414","Maplink1")</f>
        <v>Maplink1</v>
      </c>
      <c r="AV905" s="14" t="str">
        <f>HYPERLINK("https://www.google.iq/maps/search/+33.4763,44.2414/@33.4763,44.2414,14z?hl=en","Maplink2")</f>
        <v>Maplink2</v>
      </c>
      <c r="AW905" s="14" t="str">
        <f>HYPERLINK("http://www.bing.com/maps/?lvl=14&amp;sty=h&amp;cp=33.4763~44.2414&amp;sp=point.33.4763_44.2414_Al Wafa Village","Maplink3")</f>
        <v>Maplink3</v>
      </c>
    </row>
    <row r="906" spans="1:49" ht="15" customHeight="1" x14ac:dyDescent="0.25">
      <c r="A906" s="21">
        <v>25198</v>
      </c>
      <c r="B906" s="22" t="s">
        <v>11</v>
      </c>
      <c r="C906" s="22" t="s">
        <v>1865</v>
      </c>
      <c r="D906" s="22" t="s">
        <v>1881</v>
      </c>
      <c r="E906" s="22" t="s">
        <v>1882</v>
      </c>
      <c r="F906" s="22">
        <v>33.518763952900002</v>
      </c>
      <c r="G906" s="22">
        <v>44.233166762099998</v>
      </c>
      <c r="H906" s="21" t="s">
        <v>1449</v>
      </c>
      <c r="I906" s="21" t="s">
        <v>1872</v>
      </c>
      <c r="J906" s="21"/>
      <c r="K906" s="24">
        <v>179</v>
      </c>
      <c r="L906" s="24">
        <v>1074</v>
      </c>
      <c r="M906" s="23">
        <v>176</v>
      </c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>
        <v>3</v>
      </c>
      <c r="AB906" s="23"/>
      <c r="AC906" s="23"/>
      <c r="AD906" s="23"/>
      <c r="AE906" s="23"/>
      <c r="AF906" s="23">
        <v>64</v>
      </c>
      <c r="AG906" s="23"/>
      <c r="AH906" s="23"/>
      <c r="AI906" s="23"/>
      <c r="AJ906" s="23"/>
      <c r="AK906" s="23">
        <v>115</v>
      </c>
      <c r="AL906" s="23"/>
      <c r="AM906" s="23"/>
      <c r="AN906" s="23"/>
      <c r="AO906" s="23"/>
      <c r="AP906" s="23"/>
      <c r="AQ906" s="23">
        <v>20</v>
      </c>
      <c r="AR906" s="23">
        <v>20</v>
      </c>
      <c r="AS906" s="23">
        <v>134</v>
      </c>
      <c r="AT906" s="23">
        <v>5</v>
      </c>
      <c r="AU906" s="14" t="str">
        <f>HYPERLINK("http://www.openstreetmap.org/?mlat=33.5082&amp;mlon=44.2366&amp;zoom=12#map=12/33.5082/44.2366","Maplink1")</f>
        <v>Maplink1</v>
      </c>
      <c r="AV906" s="14" t="str">
        <f>HYPERLINK("https://www.google.iq/maps/search/+33.5082,44.2366/@33.5082,44.2366,14z?hl=en","Maplink2")</f>
        <v>Maplink2</v>
      </c>
      <c r="AW906" s="14" t="str">
        <f>HYPERLINK("http://www.bing.com/maps/?lvl=14&amp;sty=h&amp;cp=33.5082~44.2366&amp;sp=point.33.5082_44.2366_Al Malahma (Al Sekak) Village","Maplink3")</f>
        <v>Maplink3</v>
      </c>
    </row>
    <row r="907" spans="1:49" ht="15" customHeight="1" x14ac:dyDescent="0.25">
      <c r="A907" s="21">
        <v>25191</v>
      </c>
      <c r="B907" s="22" t="s">
        <v>11</v>
      </c>
      <c r="C907" s="22" t="s">
        <v>1865</v>
      </c>
      <c r="D907" s="22" t="s">
        <v>8479</v>
      </c>
      <c r="E907" s="22" t="s">
        <v>1894</v>
      </c>
      <c r="F907" s="22">
        <v>33.479080000000003</v>
      </c>
      <c r="G907" s="22">
        <v>44.262050000000002</v>
      </c>
      <c r="H907" s="21" t="s">
        <v>1449</v>
      </c>
      <c r="I907" s="21" t="s">
        <v>1872</v>
      </c>
      <c r="J907" s="21"/>
      <c r="K907" s="24">
        <v>21</v>
      </c>
      <c r="L907" s="24">
        <v>126</v>
      </c>
      <c r="M907" s="23">
        <v>21</v>
      </c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>
        <v>21</v>
      </c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>
        <v>10</v>
      </c>
      <c r="AS907" s="23">
        <v>11</v>
      </c>
      <c r="AT907" s="23"/>
      <c r="AU907" s="14" t="str">
        <f>HYPERLINK("http://www.openstreetmap.org/?mlat=33.5103&amp;mlon=44.2021&amp;zoom=12#map=12/33.5103/44.2021","Maplink1")</f>
        <v>Maplink1</v>
      </c>
      <c r="AV907" s="14" t="str">
        <f>HYPERLINK("https://www.google.iq/maps/search/+33.5103,44.2021/@33.5103,44.2021,14z?hl=en","Maplink2")</f>
        <v>Maplink2</v>
      </c>
      <c r="AW907" s="14" t="str">
        <f>HYPERLINK("http://www.bing.com/maps/?lvl=14&amp;sty=h&amp;cp=33.5103~44.2021&amp;sp=point.33.5103_44.2021_Al Taji Al Jadeed-Al Rafedain","Maplink3")</f>
        <v>Maplink3</v>
      </c>
    </row>
    <row r="908" spans="1:49" ht="15" customHeight="1" x14ac:dyDescent="0.25">
      <c r="A908" s="21">
        <v>25200</v>
      </c>
      <c r="B908" s="22" t="s">
        <v>11</v>
      </c>
      <c r="C908" s="22" t="s">
        <v>1865</v>
      </c>
      <c r="D908" s="22" t="s">
        <v>8480</v>
      </c>
      <c r="E908" s="22" t="s">
        <v>8481</v>
      </c>
      <c r="F908" s="22">
        <v>33.352339999999998</v>
      </c>
      <c r="G908" s="22">
        <v>44.33587</v>
      </c>
      <c r="H908" s="21" t="s">
        <v>1449</v>
      </c>
      <c r="I908" s="21" t="s">
        <v>1872</v>
      </c>
      <c r="J908" s="21"/>
      <c r="K908" s="24">
        <v>188</v>
      </c>
      <c r="L908" s="24">
        <v>1128</v>
      </c>
      <c r="M908" s="23">
        <v>155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>
        <v>8</v>
      </c>
      <c r="Z908" s="23"/>
      <c r="AA908" s="23">
        <v>25</v>
      </c>
      <c r="AB908" s="23"/>
      <c r="AC908" s="23"/>
      <c r="AD908" s="23"/>
      <c r="AE908" s="23"/>
      <c r="AF908" s="23">
        <v>61</v>
      </c>
      <c r="AG908" s="23"/>
      <c r="AH908" s="23"/>
      <c r="AI908" s="23"/>
      <c r="AJ908" s="23"/>
      <c r="AK908" s="23">
        <v>127</v>
      </c>
      <c r="AL908" s="23"/>
      <c r="AM908" s="23"/>
      <c r="AN908" s="23"/>
      <c r="AO908" s="23">
        <v>23</v>
      </c>
      <c r="AP908" s="23">
        <v>5</v>
      </c>
      <c r="AQ908" s="23">
        <v>23</v>
      </c>
      <c r="AR908" s="23">
        <v>72</v>
      </c>
      <c r="AS908" s="23">
        <v>63</v>
      </c>
      <c r="AT908" s="23">
        <v>2</v>
      </c>
      <c r="AU908" s="14" t="str">
        <f>HYPERLINK("http://www.openstreetmap.org/?mlat=33.3613&amp;mlon=44.3162&amp;zoom=12#map=12/33.3613/44.3162","Maplink1")</f>
        <v>Maplink1</v>
      </c>
      <c r="AV908" s="14" t="str">
        <f>HYPERLINK("https://www.google.iq/maps/search/+33.3613,44.3162/@33.3613,44.3162,14z?hl=en","Maplink2")</f>
        <v>Maplink2</v>
      </c>
      <c r="AW908" s="14" t="str">
        <f>HYPERLINK("http://www.bing.com/maps/?lvl=14&amp;sty=h&amp;cp=33.3613~44.3162&amp;sp=point.33.3613_44.3162_Al Hurriyah-Mahala 412","Maplink3")</f>
        <v>Maplink3</v>
      </c>
    </row>
    <row r="909" spans="1:49" ht="15" customHeight="1" x14ac:dyDescent="0.25">
      <c r="A909" s="21">
        <v>25718</v>
      </c>
      <c r="B909" s="22" t="s">
        <v>11</v>
      </c>
      <c r="C909" s="22" t="s">
        <v>1865</v>
      </c>
      <c r="D909" s="22" t="s">
        <v>1883</v>
      </c>
      <c r="E909" s="22" t="s">
        <v>7769</v>
      </c>
      <c r="F909" s="22">
        <v>33.343447269899997</v>
      </c>
      <c r="G909" s="22">
        <v>44.338840507</v>
      </c>
      <c r="H909" s="21" t="s">
        <v>1449</v>
      </c>
      <c r="I909" s="21" t="s">
        <v>1872</v>
      </c>
      <c r="J909" s="21"/>
      <c r="K909" s="24">
        <v>133</v>
      </c>
      <c r="L909" s="24">
        <v>798</v>
      </c>
      <c r="M909" s="23">
        <v>98</v>
      </c>
      <c r="N909" s="23"/>
      <c r="O909" s="23"/>
      <c r="P909" s="23"/>
      <c r="Q909" s="23"/>
      <c r="R909" s="23">
        <v>3</v>
      </c>
      <c r="S909" s="23"/>
      <c r="T909" s="23"/>
      <c r="U909" s="23"/>
      <c r="V909" s="23"/>
      <c r="W909" s="23"/>
      <c r="X909" s="23"/>
      <c r="Y909" s="23">
        <v>14</v>
      </c>
      <c r="Z909" s="23"/>
      <c r="AA909" s="23">
        <v>18</v>
      </c>
      <c r="AB909" s="23"/>
      <c r="AC909" s="23"/>
      <c r="AD909" s="23"/>
      <c r="AE909" s="23"/>
      <c r="AF909" s="23">
        <v>57</v>
      </c>
      <c r="AG909" s="23"/>
      <c r="AH909" s="23"/>
      <c r="AI909" s="23"/>
      <c r="AJ909" s="23"/>
      <c r="AK909" s="23">
        <v>76</v>
      </c>
      <c r="AL909" s="23"/>
      <c r="AM909" s="23"/>
      <c r="AN909" s="23"/>
      <c r="AO909" s="23">
        <v>18</v>
      </c>
      <c r="AP909" s="23">
        <v>7</v>
      </c>
      <c r="AQ909" s="23">
        <v>5</v>
      </c>
      <c r="AR909" s="23">
        <v>45</v>
      </c>
      <c r="AS909" s="23">
        <v>58</v>
      </c>
      <c r="AT909" s="23"/>
      <c r="AU909" s="14" t="str">
        <f>HYPERLINK("http://www.openstreetmap.org/?mlat=33.3447&amp;mlon=44.337&amp;zoom=12#map=12/33.3447/44.337","Maplink1")</f>
        <v>Maplink1</v>
      </c>
      <c r="AV909" s="14" t="str">
        <f>HYPERLINK("https://www.google.iq/maps/search/+33.3447,44.337/@33.3447,44.337,14z?hl=en","Maplink2")</f>
        <v>Maplink2</v>
      </c>
      <c r="AW909" s="14" t="str">
        <f>HYPERLINK("http://www.bing.com/maps/?lvl=14&amp;sty=h&amp;cp=33.3447~44.337&amp;sp=point.33.3447_44.337_Al Salam-404","Maplink3")</f>
        <v>Maplink3</v>
      </c>
    </row>
    <row r="910" spans="1:49" ht="15" customHeight="1" x14ac:dyDescent="0.25">
      <c r="A910" s="21">
        <v>25717</v>
      </c>
      <c r="B910" s="22" t="s">
        <v>11</v>
      </c>
      <c r="C910" s="22" t="s">
        <v>1865</v>
      </c>
      <c r="D910" s="22" t="s">
        <v>1884</v>
      </c>
      <c r="E910" s="22" t="s">
        <v>7770</v>
      </c>
      <c r="F910" s="22">
        <v>33.347910423800002</v>
      </c>
      <c r="G910" s="22">
        <v>44.336066516099997</v>
      </c>
      <c r="H910" s="21" t="s">
        <v>1449</v>
      </c>
      <c r="I910" s="21" t="s">
        <v>1872</v>
      </c>
      <c r="J910" s="21"/>
      <c r="K910" s="24">
        <v>29</v>
      </c>
      <c r="L910" s="24">
        <v>174</v>
      </c>
      <c r="M910" s="23">
        <v>27</v>
      </c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>
        <v>2</v>
      </c>
      <c r="Z910" s="23"/>
      <c r="AA910" s="23"/>
      <c r="AB910" s="23"/>
      <c r="AC910" s="23"/>
      <c r="AD910" s="23"/>
      <c r="AE910" s="23"/>
      <c r="AF910" s="23">
        <v>12</v>
      </c>
      <c r="AG910" s="23"/>
      <c r="AH910" s="23"/>
      <c r="AI910" s="23"/>
      <c r="AJ910" s="23"/>
      <c r="AK910" s="23">
        <v>17</v>
      </c>
      <c r="AL910" s="23"/>
      <c r="AM910" s="23"/>
      <c r="AN910" s="23"/>
      <c r="AO910" s="23">
        <v>8</v>
      </c>
      <c r="AP910" s="23">
        <v>6</v>
      </c>
      <c r="AQ910" s="23"/>
      <c r="AR910" s="23">
        <v>11</v>
      </c>
      <c r="AS910" s="23">
        <v>4</v>
      </c>
      <c r="AT910" s="23"/>
      <c r="AU910" s="14" t="str">
        <f>HYPERLINK("http://www.openstreetmap.org/?mlat=33.3493&amp;mlon=44.3355&amp;zoom=12#map=12/33.3493/44.3355","Maplink1")</f>
        <v>Maplink1</v>
      </c>
      <c r="AV910" s="14" t="str">
        <f>HYPERLINK("https://www.google.iq/maps/search/+33.3493,44.3355/@33.3493,44.3355,14z?hl=en","Maplink2")</f>
        <v>Maplink2</v>
      </c>
      <c r="AW910" s="14" t="str">
        <f>HYPERLINK("http://www.bing.com/maps/?lvl=14&amp;sty=h&amp;cp=33.3493~44.3355&amp;sp=point.33.3493_44.3355_Al Salam-406","Maplink3")</f>
        <v>Maplink3</v>
      </c>
    </row>
    <row r="911" spans="1:49" ht="15" customHeight="1" x14ac:dyDescent="0.25">
      <c r="A911" s="21">
        <v>25719</v>
      </c>
      <c r="B911" s="22" t="s">
        <v>11</v>
      </c>
      <c r="C911" s="22" t="s">
        <v>1865</v>
      </c>
      <c r="D911" s="22" t="s">
        <v>1885</v>
      </c>
      <c r="E911" s="22" t="s">
        <v>7771</v>
      </c>
      <c r="F911" s="22">
        <v>33.347538518699999</v>
      </c>
      <c r="G911" s="22">
        <v>44.3410617113</v>
      </c>
      <c r="H911" s="21" t="s">
        <v>1449</v>
      </c>
      <c r="I911" s="21" t="s">
        <v>1872</v>
      </c>
      <c r="J911" s="21"/>
      <c r="K911" s="24">
        <v>81</v>
      </c>
      <c r="L911" s="24">
        <v>486</v>
      </c>
      <c r="M911" s="23">
        <v>65</v>
      </c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>
        <v>1</v>
      </c>
      <c r="Z911" s="23"/>
      <c r="AA911" s="23">
        <v>15</v>
      </c>
      <c r="AB911" s="23"/>
      <c r="AC911" s="23"/>
      <c r="AD911" s="23"/>
      <c r="AE911" s="23"/>
      <c r="AF911" s="23">
        <v>25</v>
      </c>
      <c r="AG911" s="23"/>
      <c r="AH911" s="23"/>
      <c r="AI911" s="23"/>
      <c r="AJ911" s="23"/>
      <c r="AK911" s="23">
        <v>56</v>
      </c>
      <c r="AL911" s="23"/>
      <c r="AM911" s="23"/>
      <c r="AN911" s="23"/>
      <c r="AO911" s="23"/>
      <c r="AP911" s="23">
        <v>6</v>
      </c>
      <c r="AQ911" s="23">
        <v>11</v>
      </c>
      <c r="AR911" s="23">
        <v>33</v>
      </c>
      <c r="AS911" s="23">
        <v>31</v>
      </c>
      <c r="AT911" s="23"/>
      <c r="AU911" s="14" t="str">
        <f>HYPERLINK("http://www.openstreetmap.org/?mlat=33.3503&amp;mlon=44.4334&amp;zoom=12#map=12/33.3503/44.4334","Maplink1")</f>
        <v>Maplink1</v>
      </c>
      <c r="AV911" s="14" t="str">
        <f>HYPERLINK("https://www.google.iq/maps/search/+33.3503,44.4334/@33.3503,44.4334,14z?hl=en","Maplink2")</f>
        <v>Maplink2</v>
      </c>
      <c r="AW911" s="14" t="str">
        <f>HYPERLINK("http://www.bing.com/maps/?lvl=14&amp;sty=h&amp;cp=33.3503~44.4334&amp;sp=point.33.3503_44.4334_Al Salam-410","Maplink3")</f>
        <v>Maplink3</v>
      </c>
    </row>
    <row r="912" spans="1:49" ht="15" customHeight="1" x14ac:dyDescent="0.25">
      <c r="A912" s="21">
        <v>25199</v>
      </c>
      <c r="B912" s="22" t="s">
        <v>11</v>
      </c>
      <c r="C912" s="22" t="s">
        <v>1865</v>
      </c>
      <c r="D912" s="22" t="s">
        <v>1886</v>
      </c>
      <c r="E912" s="22" t="s">
        <v>1887</v>
      </c>
      <c r="F912" s="22">
        <v>33.506620091400002</v>
      </c>
      <c r="G912" s="22">
        <v>44.2406581133</v>
      </c>
      <c r="H912" s="21" t="s">
        <v>1449</v>
      </c>
      <c r="I912" s="21" t="s">
        <v>1872</v>
      </c>
      <c r="J912" s="21"/>
      <c r="K912" s="24">
        <v>62</v>
      </c>
      <c r="L912" s="24">
        <v>372</v>
      </c>
      <c r="M912" s="23">
        <v>62</v>
      </c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>
        <v>20</v>
      </c>
      <c r="AG912" s="23"/>
      <c r="AH912" s="23"/>
      <c r="AI912" s="23"/>
      <c r="AJ912" s="23"/>
      <c r="AK912" s="23">
        <v>42</v>
      </c>
      <c r="AL912" s="23"/>
      <c r="AM912" s="23"/>
      <c r="AN912" s="23"/>
      <c r="AO912" s="23"/>
      <c r="AP912" s="23"/>
      <c r="AQ912" s="23"/>
      <c r="AR912" s="23">
        <v>10</v>
      </c>
      <c r="AS912" s="23">
        <v>52</v>
      </c>
      <c r="AT912" s="23"/>
      <c r="AU912" s="14" t="str">
        <f>HYPERLINK("http://www.openstreetmap.org/?mlat=33.5082&amp;mlon=44.2366&amp;zoom=12#map=12/33.5082/44.2366","Maplink1")</f>
        <v>Maplink1</v>
      </c>
      <c r="AV912" s="14" t="str">
        <f>HYPERLINK("https://www.google.iq/maps/search/+33.5082,44.2366/@33.5082,44.2366,14z?hl=en","Maplink2")</f>
        <v>Maplink2</v>
      </c>
      <c r="AW912" s="14" t="str">
        <f>HYPERLINK("http://www.bing.com/maps/?lvl=14&amp;sty=h&amp;cp=33.5082~44.2366&amp;sp=point.33.5082_44.2366_Al Salehen Village","Maplink3")</f>
        <v>Maplink3</v>
      </c>
    </row>
    <row r="913" spans="1:49" ht="15" customHeight="1" x14ac:dyDescent="0.25">
      <c r="A913" s="21">
        <v>27249</v>
      </c>
      <c r="B913" s="22" t="s">
        <v>11</v>
      </c>
      <c r="C913" s="22" t="s">
        <v>1865</v>
      </c>
      <c r="D913" s="22" t="s">
        <v>1888</v>
      </c>
      <c r="E913" s="22" t="s">
        <v>1889</v>
      </c>
      <c r="F913" s="22">
        <v>33.5032</v>
      </c>
      <c r="G913" s="22">
        <v>44.302</v>
      </c>
      <c r="H913" s="21" t="s">
        <v>1449</v>
      </c>
      <c r="I913" s="21" t="s">
        <v>1872</v>
      </c>
      <c r="J913" s="21"/>
      <c r="K913" s="24">
        <v>71</v>
      </c>
      <c r="L913" s="24">
        <v>426</v>
      </c>
      <c r="M913" s="23">
        <v>57</v>
      </c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>
        <v>14</v>
      </c>
      <c r="AB913" s="23"/>
      <c r="AC913" s="23"/>
      <c r="AD913" s="23"/>
      <c r="AE913" s="23"/>
      <c r="AF913" s="23">
        <v>23</v>
      </c>
      <c r="AG913" s="23"/>
      <c r="AH913" s="23"/>
      <c r="AI913" s="23"/>
      <c r="AJ913" s="23"/>
      <c r="AK913" s="23">
        <v>48</v>
      </c>
      <c r="AL913" s="23"/>
      <c r="AM913" s="23"/>
      <c r="AN913" s="23"/>
      <c r="AO913" s="23"/>
      <c r="AP913" s="23"/>
      <c r="AQ913" s="23"/>
      <c r="AR913" s="23">
        <v>25</v>
      </c>
      <c r="AS913" s="23">
        <v>41</v>
      </c>
      <c r="AT913" s="23">
        <v>5</v>
      </c>
      <c r="AU913" s="14" t="str">
        <f>HYPERLINK("http://www.openstreetmap.org/?mlat=33.4763&amp;mlon=44.2414&amp;zoom=12#map=12/33.4763/44.2414","Maplink1")</f>
        <v>Maplink1</v>
      </c>
      <c r="AV913" s="14" t="str">
        <f>HYPERLINK("https://www.google.iq/maps/search/+33.4763,44.2414/@33.4763,44.2414,14z?hl=en","Maplink2")</f>
        <v>Maplink2</v>
      </c>
      <c r="AW913" s="14" t="str">
        <f>HYPERLINK("http://www.bing.com/maps/?lvl=14&amp;sty=h&amp;cp=33.4763~44.2414&amp;sp=point.33.4763_44.2414_Al Shehaa Village","Maplink3")</f>
        <v>Maplink3</v>
      </c>
    </row>
    <row r="914" spans="1:49" ht="15" customHeight="1" x14ac:dyDescent="0.25">
      <c r="A914" s="21">
        <v>27309</v>
      </c>
      <c r="B914" s="22" t="s">
        <v>11</v>
      </c>
      <c r="C914" s="22" t="s">
        <v>1865</v>
      </c>
      <c r="D914" s="22" t="s">
        <v>7408</v>
      </c>
      <c r="E914" s="22" t="s">
        <v>1890</v>
      </c>
      <c r="F914" s="22">
        <v>33.461199999999998</v>
      </c>
      <c r="G914" s="22">
        <v>44.2301</v>
      </c>
      <c r="H914" s="21" t="s">
        <v>1449</v>
      </c>
      <c r="I914" s="21" t="s">
        <v>1872</v>
      </c>
      <c r="J914" s="21"/>
      <c r="K914" s="24">
        <v>44</v>
      </c>
      <c r="L914" s="24">
        <v>264</v>
      </c>
      <c r="M914" s="23">
        <v>38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>
        <v>6</v>
      </c>
      <c r="AB914" s="23"/>
      <c r="AC914" s="23"/>
      <c r="AD914" s="23"/>
      <c r="AE914" s="23"/>
      <c r="AF914" s="23">
        <v>24</v>
      </c>
      <c r="AG914" s="23"/>
      <c r="AH914" s="23"/>
      <c r="AI914" s="23"/>
      <c r="AJ914" s="23"/>
      <c r="AK914" s="23">
        <v>20</v>
      </c>
      <c r="AL914" s="23"/>
      <c r="AM914" s="23"/>
      <c r="AN914" s="23"/>
      <c r="AO914" s="23"/>
      <c r="AP914" s="23"/>
      <c r="AQ914" s="23"/>
      <c r="AR914" s="23">
        <v>6</v>
      </c>
      <c r="AS914" s="23">
        <v>34</v>
      </c>
      <c r="AT914" s="23">
        <v>4</v>
      </c>
      <c r="AU914" s="14" t="str">
        <f>HYPERLINK("http://www.openstreetmap.org/?mlat=33.4763&amp;mlon=44.2414&amp;zoom=12#map=12/33.4763/44.2414","Maplink1")</f>
        <v>Maplink1</v>
      </c>
      <c r="AV914" s="14" t="str">
        <f>HYPERLINK("https://www.google.iq/maps/search/+33.4763,44.2414/@33.4763,44.2414,14z?hl=en","Maplink2")</f>
        <v>Maplink2</v>
      </c>
      <c r="AW914" s="14" t="str">
        <f>HYPERLINK("http://www.bing.com/maps/?lvl=14&amp;sty=h&amp;cp=33.4763~44.2414&amp;sp=point.33.4763_44.2414_Al Sheik Amir  Village","Maplink3")</f>
        <v>Maplink3</v>
      </c>
    </row>
    <row r="915" spans="1:49" ht="15" customHeight="1" x14ac:dyDescent="0.25">
      <c r="A915" s="21">
        <v>25197</v>
      </c>
      <c r="B915" s="22" t="s">
        <v>11</v>
      </c>
      <c r="C915" s="22" t="s">
        <v>1865</v>
      </c>
      <c r="D915" s="22" t="s">
        <v>8482</v>
      </c>
      <c r="E915" s="22" t="s">
        <v>1895</v>
      </c>
      <c r="F915" s="22">
        <v>33.477660873700003</v>
      </c>
      <c r="G915" s="22">
        <v>44.266676285000003</v>
      </c>
      <c r="H915" s="21" t="s">
        <v>1449</v>
      </c>
      <c r="I915" s="21" t="s">
        <v>1872</v>
      </c>
      <c r="J915" s="21"/>
      <c r="K915" s="24">
        <v>2</v>
      </c>
      <c r="L915" s="24">
        <v>12</v>
      </c>
      <c r="M915" s="23">
        <v>2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>
        <v>2</v>
      </c>
      <c r="AL915" s="23"/>
      <c r="AM915" s="23"/>
      <c r="AN915" s="23"/>
      <c r="AO915" s="23"/>
      <c r="AP915" s="23"/>
      <c r="AQ915" s="23"/>
      <c r="AR915" s="23">
        <v>2</v>
      </c>
      <c r="AS915" s="23"/>
      <c r="AT915" s="23"/>
      <c r="AU915" s="14" t="str">
        <f>HYPERLINK("http://www.openstreetmap.org/?mlat=33.5103&amp;mlon=44.2021&amp;zoom=12#map=12/33.5103/44.2021","Maplink1")</f>
        <v>Maplink1</v>
      </c>
      <c r="AV915" s="14" t="str">
        <f>HYPERLINK("https://www.google.iq/maps/search/+33.5103,44.2021/@33.5103,44.2021,14z?hl=en","Maplink2")</f>
        <v>Maplink2</v>
      </c>
      <c r="AW915" s="14" t="str">
        <f>HYPERLINK("http://www.bing.com/maps/?lvl=14&amp;sty=h&amp;cp=33.5103~44.2021&amp;sp=point.33.5103_44.2021_Al Taji Al Jadeed-Al Suwaed","Maplink3")</f>
        <v>Maplink3</v>
      </c>
    </row>
    <row r="916" spans="1:49" ht="15" customHeight="1" x14ac:dyDescent="0.25">
      <c r="A916" s="21">
        <v>24501</v>
      </c>
      <c r="B916" s="22" t="s">
        <v>11</v>
      </c>
      <c r="C916" s="22" t="s">
        <v>1865</v>
      </c>
      <c r="D916" s="22" t="s">
        <v>1905</v>
      </c>
      <c r="E916" s="22" t="s">
        <v>1906</v>
      </c>
      <c r="F916" s="22">
        <v>33.350487942800001</v>
      </c>
      <c r="G916" s="22">
        <v>44.358462542300003</v>
      </c>
      <c r="H916" s="21" t="s">
        <v>1449</v>
      </c>
      <c r="I916" s="21" t="s">
        <v>1872</v>
      </c>
      <c r="J916" s="21"/>
      <c r="K916" s="24">
        <v>30</v>
      </c>
      <c r="L916" s="24">
        <v>180</v>
      </c>
      <c r="M916" s="23">
        <v>17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>
        <v>13</v>
      </c>
      <c r="Z916" s="23"/>
      <c r="AA916" s="23"/>
      <c r="AB916" s="23"/>
      <c r="AC916" s="23"/>
      <c r="AD916" s="23"/>
      <c r="AE916" s="23"/>
      <c r="AF916" s="23">
        <v>13</v>
      </c>
      <c r="AG916" s="23"/>
      <c r="AH916" s="23"/>
      <c r="AI916" s="23"/>
      <c r="AJ916" s="23"/>
      <c r="AK916" s="23">
        <v>17</v>
      </c>
      <c r="AL916" s="23"/>
      <c r="AM916" s="23"/>
      <c r="AN916" s="23"/>
      <c r="AO916" s="23"/>
      <c r="AP916" s="23">
        <v>14</v>
      </c>
      <c r="AQ916" s="23"/>
      <c r="AR916" s="23">
        <v>13</v>
      </c>
      <c r="AS916" s="23">
        <v>3</v>
      </c>
      <c r="AT916" s="23"/>
      <c r="AU916" s="14" t="str">
        <f>HYPERLINK("http://www.openstreetmap.org/?mlat=33.3523&amp;mlon=44.34&amp;zoom=12#map=12/33.3523/44.34","Maplink1")</f>
        <v>Maplink1</v>
      </c>
      <c r="AV916" s="14" t="str">
        <f>HYPERLINK("https://www.google.iq/maps/search/+33.3523,44.34/@33.3523,44.34,14z?hl=en","Maplink2")</f>
        <v>Maplink2</v>
      </c>
      <c r="AW916" s="14" t="str">
        <f>HYPERLINK("http://www.bing.com/maps/?lvl=14&amp;sty=h&amp;cp=33.3523~44.34&amp;sp=point.33.3523_44.34_Al-Shalchiya","Maplink3")</f>
        <v>Maplink3</v>
      </c>
    </row>
    <row r="917" spans="1:49" ht="15" customHeight="1" x14ac:dyDescent="0.25">
      <c r="A917" s="21">
        <v>23508</v>
      </c>
      <c r="B917" s="22" t="s">
        <v>11</v>
      </c>
      <c r="C917" s="22" t="s">
        <v>1865</v>
      </c>
      <c r="D917" s="22" t="s">
        <v>1907</v>
      </c>
      <c r="E917" s="22" t="s">
        <v>1908</v>
      </c>
      <c r="F917" s="22">
        <v>33.509390000000003</v>
      </c>
      <c r="G917" s="22">
        <v>44.304259999999999</v>
      </c>
      <c r="H917" s="21" t="s">
        <v>1449</v>
      </c>
      <c r="I917" s="21" t="s">
        <v>1872</v>
      </c>
      <c r="J917" s="21" t="s">
        <v>1909</v>
      </c>
      <c r="K917" s="24">
        <v>80</v>
      </c>
      <c r="L917" s="24">
        <v>480</v>
      </c>
      <c r="M917" s="23">
        <v>72</v>
      </c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>
        <v>8</v>
      </c>
      <c r="AB917" s="23"/>
      <c r="AC917" s="23"/>
      <c r="AD917" s="23"/>
      <c r="AE917" s="23"/>
      <c r="AF917" s="23">
        <v>40</v>
      </c>
      <c r="AG917" s="23"/>
      <c r="AH917" s="23"/>
      <c r="AI917" s="23"/>
      <c r="AJ917" s="23"/>
      <c r="AK917" s="23">
        <v>40</v>
      </c>
      <c r="AL917" s="23"/>
      <c r="AM917" s="23"/>
      <c r="AN917" s="23"/>
      <c r="AO917" s="23"/>
      <c r="AP917" s="23"/>
      <c r="AQ917" s="23"/>
      <c r="AR917" s="23">
        <v>27</v>
      </c>
      <c r="AS917" s="23">
        <v>45</v>
      </c>
      <c r="AT917" s="23">
        <v>8</v>
      </c>
      <c r="AU917" s="14" t="str">
        <f>HYPERLINK("http://www.openstreetmap.org/?mlat=33.4763&amp;mlon=44.2414&amp;zoom=12#map=12/33.4763/44.2414","Maplink1")</f>
        <v>Maplink1</v>
      </c>
      <c r="AV917" s="14" t="str">
        <f>HYPERLINK("https://www.google.iq/maps/search/+33.4763,44.2414/@33.4763,44.2414,14z?hl=en","Maplink2")</f>
        <v>Maplink2</v>
      </c>
      <c r="AW917" s="14" t="str">
        <f>HYPERLINK("http://www.bing.com/maps/?lvl=14&amp;sty=h&amp;cp=33.4763~44.2414&amp;sp=point.33.4763_44.2414_Albo Rkeaba Village","Maplink3")</f>
        <v>Maplink3</v>
      </c>
    </row>
    <row r="918" spans="1:49" ht="15" customHeight="1" x14ac:dyDescent="0.25">
      <c r="A918" s="21">
        <v>27250</v>
      </c>
      <c r="B918" s="22" t="s">
        <v>11</v>
      </c>
      <c r="C918" s="22" t="s">
        <v>1865</v>
      </c>
      <c r="D918" s="22" t="s">
        <v>1910</v>
      </c>
      <c r="E918" s="22" t="s">
        <v>1911</v>
      </c>
      <c r="F918" s="22">
        <v>33.520249999999997</v>
      </c>
      <c r="G918" s="22">
        <v>44.204239999999999</v>
      </c>
      <c r="H918" s="21" t="s">
        <v>1449</v>
      </c>
      <c r="I918" s="21" t="s">
        <v>1872</v>
      </c>
      <c r="J918" s="21"/>
      <c r="K918" s="24">
        <v>66</v>
      </c>
      <c r="L918" s="24">
        <v>396</v>
      </c>
      <c r="M918" s="23">
        <v>40</v>
      </c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>
        <v>26</v>
      </c>
      <c r="AB918" s="23"/>
      <c r="AC918" s="23"/>
      <c r="AD918" s="23"/>
      <c r="AE918" s="23"/>
      <c r="AF918" s="23">
        <v>46</v>
      </c>
      <c r="AG918" s="23"/>
      <c r="AH918" s="23"/>
      <c r="AI918" s="23"/>
      <c r="AJ918" s="23"/>
      <c r="AK918" s="23">
        <v>20</v>
      </c>
      <c r="AL918" s="23"/>
      <c r="AM918" s="23"/>
      <c r="AN918" s="23"/>
      <c r="AO918" s="23"/>
      <c r="AP918" s="23"/>
      <c r="AQ918" s="23"/>
      <c r="AR918" s="23">
        <v>26</v>
      </c>
      <c r="AS918" s="23">
        <v>40</v>
      </c>
      <c r="AT918" s="23"/>
      <c r="AU918" s="14" t="str">
        <f>HYPERLINK("http://www.openstreetmap.org/?mlat=33.4763&amp;mlon=44.2414&amp;zoom=12#map=12/33.4763/44.2414","Maplink1")</f>
        <v>Maplink1</v>
      </c>
      <c r="AV918" s="14" t="str">
        <f>HYPERLINK("https://www.google.iq/maps/search/+33.4763,44.2414/@33.4763,44.2414,14z?hl=en","Maplink2")</f>
        <v>Maplink2</v>
      </c>
      <c r="AW918" s="14" t="str">
        <f>HYPERLINK("http://www.bing.com/maps/?lvl=14&amp;sty=h&amp;cp=33.4763~44.2414&amp;sp=point.33.4763_44.2414_Albo Sabah Village","Maplink3")</f>
        <v>Maplink3</v>
      </c>
    </row>
    <row r="919" spans="1:49" ht="15" customHeight="1" x14ac:dyDescent="0.25">
      <c r="A919" s="21">
        <v>25192</v>
      </c>
      <c r="B919" s="22" t="s">
        <v>11</v>
      </c>
      <c r="C919" s="22" t="s">
        <v>1865</v>
      </c>
      <c r="D919" s="22" t="s">
        <v>8483</v>
      </c>
      <c r="E919" s="22" t="s">
        <v>1896</v>
      </c>
      <c r="F919" s="22">
        <v>33.546500000000002</v>
      </c>
      <c r="G919" s="22">
        <v>44.195259999999998</v>
      </c>
      <c r="H919" s="21" t="s">
        <v>1449</v>
      </c>
      <c r="I919" s="21" t="s">
        <v>1872</v>
      </c>
      <c r="J919" s="21"/>
      <c r="K919" s="24">
        <v>24</v>
      </c>
      <c r="L919" s="24">
        <v>144</v>
      </c>
      <c r="M919" s="23">
        <v>24</v>
      </c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>
        <v>24</v>
      </c>
      <c r="AG919" s="23"/>
      <c r="AH919" s="23"/>
      <c r="AI919" s="23"/>
      <c r="AJ919" s="23"/>
      <c r="AK919" s="23"/>
      <c r="AL919" s="23"/>
      <c r="AM919" s="23"/>
      <c r="AN919" s="23"/>
      <c r="AO919" s="23">
        <v>14</v>
      </c>
      <c r="AP919" s="23"/>
      <c r="AQ919" s="23"/>
      <c r="AR919" s="23"/>
      <c r="AS919" s="23">
        <v>10</v>
      </c>
      <c r="AT919" s="23"/>
      <c r="AU919" s="14" t="str">
        <f>HYPERLINK("http://www.openstreetmap.org/?mlat=33.5103&amp;mlon=44.2021&amp;zoom=12#map=12/33.5103/44.2021","Maplink1")</f>
        <v>Maplink1</v>
      </c>
      <c r="AV919" s="14" t="str">
        <f>HYPERLINK("https://www.google.iq/maps/search/+33.5103,44.2021/@33.5103,44.2021,14z?hl=en","Maplink2")</f>
        <v>Maplink2</v>
      </c>
      <c r="AW919" s="14" t="str">
        <f>HYPERLINK("http://www.bing.com/maps/?lvl=14&amp;sty=h&amp;cp=33.5103~44.2021&amp;sp=point.33.5103_44.2021_Al Taji Al Jadeed-Albu Aied","Maplink3")</f>
        <v>Maplink3</v>
      </c>
    </row>
    <row r="920" spans="1:49" ht="15" customHeight="1" x14ac:dyDescent="0.25">
      <c r="A920" s="21">
        <v>25176</v>
      </c>
      <c r="B920" s="22" t="s">
        <v>11</v>
      </c>
      <c r="C920" s="22" t="s">
        <v>1865</v>
      </c>
      <c r="D920" s="22" t="s">
        <v>1912</v>
      </c>
      <c r="E920" s="22" t="s">
        <v>1913</v>
      </c>
      <c r="F920" s="22">
        <v>33.471509078799997</v>
      </c>
      <c r="G920" s="22">
        <v>44.233356008999998</v>
      </c>
      <c r="H920" s="21" t="s">
        <v>1449</v>
      </c>
      <c r="I920" s="21" t="s">
        <v>1872</v>
      </c>
      <c r="J920" s="21"/>
      <c r="K920" s="24">
        <v>15</v>
      </c>
      <c r="L920" s="24">
        <v>90</v>
      </c>
      <c r="M920" s="23">
        <v>8</v>
      </c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>
        <v>7</v>
      </c>
      <c r="AB920" s="23"/>
      <c r="AC920" s="23"/>
      <c r="AD920" s="23"/>
      <c r="AE920" s="23"/>
      <c r="AF920" s="23">
        <v>15</v>
      </c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>
        <v>8</v>
      </c>
      <c r="AT920" s="23">
        <v>7</v>
      </c>
      <c r="AU920" s="14" t="str">
        <f>HYPERLINK("http://www.openstreetmap.org/?mlat=33.4763&amp;mlon=44.2414&amp;zoom=12#map=12/33.4763/44.2414","Maplink1")</f>
        <v>Maplink1</v>
      </c>
      <c r="AV920" s="14" t="str">
        <f>HYPERLINK("https://www.google.iq/maps/search/+33.4763,44.2414/@33.4763,44.2414,14z?hl=en","Maplink2")</f>
        <v>Maplink2</v>
      </c>
      <c r="AW920" s="14" t="str">
        <f>HYPERLINK("http://www.bing.com/maps/?lvl=14&amp;sty=h&amp;cp=33.4763~44.2414&amp;sp=point.33.4763_44.2414_Albu Dawod Village","Maplink3")</f>
        <v>Maplink3</v>
      </c>
    </row>
    <row r="921" spans="1:49" ht="15" customHeight="1" x14ac:dyDescent="0.25">
      <c r="A921" s="21">
        <v>25174</v>
      </c>
      <c r="B921" s="22" t="s">
        <v>11</v>
      </c>
      <c r="C921" s="22" t="s">
        <v>1865</v>
      </c>
      <c r="D921" s="22" t="s">
        <v>1914</v>
      </c>
      <c r="E921" s="22" t="s">
        <v>1915</v>
      </c>
      <c r="F921" s="22">
        <v>33.460099999999997</v>
      </c>
      <c r="G921" s="22">
        <v>44.251800000000003</v>
      </c>
      <c r="H921" s="21" t="s">
        <v>1449</v>
      </c>
      <c r="I921" s="21" t="s">
        <v>1872</v>
      </c>
      <c r="J921" s="21"/>
      <c r="K921" s="24">
        <v>30</v>
      </c>
      <c r="L921" s="24">
        <v>180</v>
      </c>
      <c r="M921" s="23">
        <v>27</v>
      </c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>
        <v>3</v>
      </c>
      <c r="AB921" s="23"/>
      <c r="AC921" s="23"/>
      <c r="AD921" s="23"/>
      <c r="AE921" s="23"/>
      <c r="AF921" s="23">
        <v>20</v>
      </c>
      <c r="AG921" s="23"/>
      <c r="AH921" s="23"/>
      <c r="AI921" s="23"/>
      <c r="AJ921" s="23"/>
      <c r="AK921" s="23">
        <v>10</v>
      </c>
      <c r="AL921" s="23"/>
      <c r="AM921" s="23"/>
      <c r="AN921" s="23"/>
      <c r="AO921" s="23">
        <v>10</v>
      </c>
      <c r="AP921" s="23"/>
      <c r="AQ921" s="23"/>
      <c r="AR921" s="23">
        <v>5</v>
      </c>
      <c r="AS921" s="23">
        <v>15</v>
      </c>
      <c r="AT921" s="23"/>
      <c r="AU921" s="14" t="str">
        <f>HYPERLINK("http://www.openstreetmap.org/?mlat=33.4763&amp;mlon=44.2414&amp;zoom=12#map=12/33.4763/44.2414","Maplink1")</f>
        <v>Maplink1</v>
      </c>
      <c r="AV921" s="14" t="str">
        <f>HYPERLINK("https://www.google.iq/maps/search/+33.4763,44.2414/@33.4763,44.2414,14z?hl=en","Maplink2")</f>
        <v>Maplink2</v>
      </c>
      <c r="AW921" s="14" t="str">
        <f>HYPERLINK("http://www.bing.com/maps/?lvl=14&amp;sty=h&amp;cp=33.4763~44.2414&amp;sp=point.33.4763_44.2414_Ali Al Hamad Village","Maplink3")</f>
        <v>Maplink3</v>
      </c>
    </row>
    <row r="922" spans="1:49" ht="15" customHeight="1" x14ac:dyDescent="0.25">
      <c r="A922" s="21">
        <v>23282</v>
      </c>
      <c r="B922" s="22" t="s">
        <v>11</v>
      </c>
      <c r="C922" s="22" t="s">
        <v>1865</v>
      </c>
      <c r="D922" s="22" t="s">
        <v>8484</v>
      </c>
      <c r="E922" s="22" t="s">
        <v>1877</v>
      </c>
      <c r="F922" s="22">
        <v>33.492480436400001</v>
      </c>
      <c r="G922" s="22">
        <v>44.237549295500003</v>
      </c>
      <c r="H922" s="21" t="s">
        <v>1449</v>
      </c>
      <c r="I922" s="21" t="s">
        <v>1872</v>
      </c>
      <c r="J922" s="21" t="s">
        <v>1878</v>
      </c>
      <c r="K922" s="24">
        <v>88</v>
      </c>
      <c r="L922" s="24">
        <v>528</v>
      </c>
      <c r="M922" s="23">
        <v>71</v>
      </c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>
        <v>17</v>
      </c>
      <c r="AB922" s="23"/>
      <c r="AC922" s="23"/>
      <c r="AD922" s="23"/>
      <c r="AE922" s="23"/>
      <c r="AF922" s="23">
        <v>51</v>
      </c>
      <c r="AG922" s="23"/>
      <c r="AH922" s="23"/>
      <c r="AI922" s="23"/>
      <c r="AJ922" s="23"/>
      <c r="AK922" s="23">
        <v>37</v>
      </c>
      <c r="AL922" s="23"/>
      <c r="AM922" s="23"/>
      <c r="AN922" s="23"/>
      <c r="AO922" s="23"/>
      <c r="AP922" s="23"/>
      <c r="AQ922" s="23"/>
      <c r="AR922" s="23">
        <v>35</v>
      </c>
      <c r="AS922" s="23">
        <v>51</v>
      </c>
      <c r="AT922" s="23">
        <v>2</v>
      </c>
      <c r="AU922" s="14" t="str">
        <f>HYPERLINK("http://www.openstreetmap.org/?mlat=33.4932&amp;mlon=44.2424&amp;zoom=12#map=12/33.4932/44.2424","Maplink1")</f>
        <v>Maplink1</v>
      </c>
      <c r="AV922" s="14" t="str">
        <f>HYPERLINK("https://www.google.iq/maps/search/+33.4932,44.2424/@33.4932,44.2424,14z?hl=en","Maplink2")</f>
        <v>Maplink2</v>
      </c>
      <c r="AW922" s="14" t="str">
        <f>HYPERLINK("http://www.bing.com/maps/?lvl=14&amp;sty=h&amp;cp=33.4932~44.2424&amp;sp=point.33.4932_44.2424_Al Atiya village","Maplink3")</f>
        <v>Maplink3</v>
      </c>
    </row>
    <row r="923" spans="1:49" ht="15" customHeight="1" x14ac:dyDescent="0.25">
      <c r="A923" s="21">
        <v>25185</v>
      </c>
      <c r="B923" s="22" t="s">
        <v>11</v>
      </c>
      <c r="C923" s="22" t="s">
        <v>1865</v>
      </c>
      <c r="D923" s="22" t="s">
        <v>8485</v>
      </c>
      <c r="E923" s="22" t="s">
        <v>1897</v>
      </c>
      <c r="F923" s="22">
        <v>33.547606805500003</v>
      </c>
      <c r="G923" s="22">
        <v>44.195852102099998</v>
      </c>
      <c r="H923" s="21" t="s">
        <v>1449</v>
      </c>
      <c r="I923" s="21" t="s">
        <v>1872</v>
      </c>
      <c r="J923" s="21"/>
      <c r="K923" s="24">
        <v>310</v>
      </c>
      <c r="L923" s="24">
        <v>1860</v>
      </c>
      <c r="M923" s="23">
        <v>310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>
        <v>158</v>
      </c>
      <c r="AG923" s="23"/>
      <c r="AH923" s="23"/>
      <c r="AI923" s="23"/>
      <c r="AJ923" s="23"/>
      <c r="AK923" s="23">
        <v>152</v>
      </c>
      <c r="AL923" s="23"/>
      <c r="AM923" s="23"/>
      <c r="AN923" s="23"/>
      <c r="AO923" s="23">
        <v>75</v>
      </c>
      <c r="AP923" s="23"/>
      <c r="AQ923" s="23"/>
      <c r="AR923" s="23">
        <v>78</v>
      </c>
      <c r="AS923" s="23">
        <v>151</v>
      </c>
      <c r="AT923" s="23">
        <v>6</v>
      </c>
      <c r="AU923" s="14" t="str">
        <f>HYPERLINK("http://www.openstreetmap.org/?mlat=33.5103&amp;mlon=44.2021&amp;zoom=12#map=12/33.5103/44.2021","Maplink1")</f>
        <v>Maplink1</v>
      </c>
      <c r="AV923" s="14" t="str">
        <f>HYPERLINK("https://www.google.iq/maps/search/+33.5103,44.2021/@33.5103,44.2021,14z?hl=en","Maplink2")</f>
        <v>Maplink2</v>
      </c>
      <c r="AW923" s="14" t="str">
        <f>HYPERLINK("http://www.bing.com/maps/?lvl=14&amp;sty=h&amp;cp=33.5103~44.2021&amp;sp=point.33.5103_44.2021_Al Taji Al Jadeed-Awad Al Hussain","Maplink3")</f>
        <v>Maplink3</v>
      </c>
    </row>
    <row r="924" spans="1:49" ht="15" customHeight="1" x14ac:dyDescent="0.25">
      <c r="A924" s="21">
        <v>25188</v>
      </c>
      <c r="B924" s="22" t="s">
        <v>11</v>
      </c>
      <c r="C924" s="22" t="s">
        <v>1865</v>
      </c>
      <c r="D924" s="22" t="s">
        <v>8486</v>
      </c>
      <c r="E924" s="22" t="s">
        <v>1898</v>
      </c>
      <c r="F924" s="22">
        <v>33.522163137100002</v>
      </c>
      <c r="G924" s="22">
        <v>44.2072996833</v>
      </c>
      <c r="H924" s="21" t="s">
        <v>1449</v>
      </c>
      <c r="I924" s="21" t="s">
        <v>1872</v>
      </c>
      <c r="J924" s="21"/>
      <c r="K924" s="24">
        <v>50</v>
      </c>
      <c r="L924" s="24">
        <v>300</v>
      </c>
      <c r="M924" s="23">
        <v>50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>
        <v>20</v>
      </c>
      <c r="AG924" s="23"/>
      <c r="AH924" s="23"/>
      <c r="AI924" s="23"/>
      <c r="AJ924" s="23"/>
      <c r="AK924" s="23">
        <v>30</v>
      </c>
      <c r="AL924" s="23"/>
      <c r="AM924" s="23"/>
      <c r="AN924" s="23"/>
      <c r="AO924" s="23">
        <v>20</v>
      </c>
      <c r="AP924" s="23"/>
      <c r="AQ924" s="23">
        <v>5</v>
      </c>
      <c r="AR924" s="23">
        <v>23</v>
      </c>
      <c r="AS924" s="23">
        <v>2</v>
      </c>
      <c r="AT924" s="23"/>
      <c r="AU924" s="14" t="str">
        <f>HYPERLINK("http://www.openstreetmap.org/?mlat=33.5103&amp;mlon=44.2021&amp;zoom=12#map=12/33.5103/44.2021","Maplink1")</f>
        <v>Maplink1</v>
      </c>
      <c r="AV924" s="14" t="str">
        <f>HYPERLINK("https://www.google.iq/maps/search/+33.5103,44.2021/@33.5103,44.2021,14z?hl=en","Maplink2")</f>
        <v>Maplink2</v>
      </c>
      <c r="AW924" s="14" t="str">
        <f>HYPERLINK("http://www.bing.com/maps/?lvl=14&amp;sty=h&amp;cp=33.5103~44.2021&amp;sp=point.33.5103_44.2021_Al Taji Al Jadeed-Dheeb Al Dhari","Maplink3")</f>
        <v>Maplink3</v>
      </c>
    </row>
    <row r="925" spans="1:49" ht="15" customHeight="1" x14ac:dyDescent="0.25">
      <c r="A925" s="21">
        <v>25182</v>
      </c>
      <c r="B925" s="22" t="s">
        <v>11</v>
      </c>
      <c r="C925" s="22" t="s">
        <v>1865</v>
      </c>
      <c r="D925" s="22" t="s">
        <v>8487</v>
      </c>
      <c r="E925" s="22" t="s">
        <v>1899</v>
      </c>
      <c r="F925" s="22">
        <v>33.477780000000003</v>
      </c>
      <c r="G925" s="22">
        <v>44.267470000000003</v>
      </c>
      <c r="H925" s="21" t="s">
        <v>1449</v>
      </c>
      <c r="I925" s="21" t="s">
        <v>1872</v>
      </c>
      <c r="J925" s="21"/>
      <c r="K925" s="24">
        <v>135</v>
      </c>
      <c r="L925" s="24">
        <v>810</v>
      </c>
      <c r="M925" s="23">
        <v>130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>
        <v>5</v>
      </c>
      <c r="AB925" s="23"/>
      <c r="AC925" s="23"/>
      <c r="AD925" s="23"/>
      <c r="AE925" s="23"/>
      <c r="AF925" s="23">
        <v>77</v>
      </c>
      <c r="AG925" s="23"/>
      <c r="AH925" s="23"/>
      <c r="AI925" s="23"/>
      <c r="AJ925" s="23"/>
      <c r="AK925" s="23">
        <v>58</v>
      </c>
      <c r="AL925" s="23"/>
      <c r="AM925" s="23"/>
      <c r="AN925" s="23"/>
      <c r="AO925" s="23"/>
      <c r="AP925" s="23"/>
      <c r="AQ925" s="23"/>
      <c r="AR925" s="23">
        <v>61</v>
      </c>
      <c r="AS925" s="23">
        <v>70</v>
      </c>
      <c r="AT925" s="23">
        <v>4</v>
      </c>
      <c r="AU925" s="14" t="str">
        <f>HYPERLINK("http://www.openstreetmap.org/?mlat=33.5103&amp;mlon=44.2021&amp;zoom=12#map=12/33.5103/44.2021","Maplink1")</f>
        <v>Maplink1</v>
      </c>
      <c r="AV925" s="14" t="str">
        <f>HYPERLINK("https://www.google.iq/maps/search/+33.5103,44.2021/@33.5103,44.2021,14z?hl=en","Maplink2")</f>
        <v>Maplink2</v>
      </c>
      <c r="AW925" s="14" t="str">
        <f>HYPERLINK("http://www.bing.com/maps/?lvl=14&amp;sty=h&amp;cp=33.5103~44.2021&amp;sp=point.33.5103_44.2021_Al Taji Al Jadeed-Fahad Al Fadhel","Maplink3")</f>
        <v>Maplink3</v>
      </c>
    </row>
    <row r="926" spans="1:49" ht="15" customHeight="1" x14ac:dyDescent="0.25">
      <c r="A926" s="21">
        <v>25195</v>
      </c>
      <c r="B926" s="22" t="s">
        <v>11</v>
      </c>
      <c r="C926" s="22" t="s">
        <v>1865</v>
      </c>
      <c r="D926" s="22" t="s">
        <v>8488</v>
      </c>
      <c r="E926" s="22" t="s">
        <v>1900</v>
      </c>
      <c r="F926" s="22">
        <v>33.5456</v>
      </c>
      <c r="G926" s="22">
        <v>44.195300000000003</v>
      </c>
      <c r="H926" s="21" t="s">
        <v>1449</v>
      </c>
      <c r="I926" s="21" t="s">
        <v>1872</v>
      </c>
      <c r="J926" s="21"/>
      <c r="K926" s="24">
        <v>95</v>
      </c>
      <c r="L926" s="24">
        <v>570</v>
      </c>
      <c r="M926" s="23">
        <v>95</v>
      </c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>
        <v>70</v>
      </c>
      <c r="AG926" s="23"/>
      <c r="AH926" s="23"/>
      <c r="AI926" s="23"/>
      <c r="AJ926" s="23"/>
      <c r="AK926" s="23">
        <v>25</v>
      </c>
      <c r="AL926" s="23"/>
      <c r="AM926" s="23"/>
      <c r="AN926" s="23"/>
      <c r="AO926" s="23">
        <v>95</v>
      </c>
      <c r="AP926" s="23"/>
      <c r="AQ926" s="23"/>
      <c r="AR926" s="23"/>
      <c r="AS926" s="23"/>
      <c r="AT926" s="23"/>
      <c r="AU926" s="14" t="str">
        <f>HYPERLINK("http://www.openstreetmap.org/?mlat=33.5103&amp;mlon=44.2021&amp;zoom=12#map=12/33.5103/44.2021","Maplink1")</f>
        <v>Maplink1</v>
      </c>
      <c r="AV926" s="14" t="str">
        <f>HYPERLINK("https://www.google.iq/maps/search/+33.5103,44.2021/@33.5103,44.2021,14z?hl=en","Maplink2")</f>
        <v>Maplink2</v>
      </c>
      <c r="AW926" s="14" t="str">
        <f>HYPERLINK("http://www.bing.com/maps/?lvl=14&amp;sty=h&amp;cp=33.5103~44.2021&amp;sp=point.33.5103_44.2021_Al Taji Al Jadeed-Faisal Abbas","Maplink3")</f>
        <v>Maplink3</v>
      </c>
    </row>
    <row r="927" spans="1:49" ht="15" customHeight="1" x14ac:dyDescent="0.25">
      <c r="A927" s="21">
        <v>28405</v>
      </c>
      <c r="B927" s="22" t="s">
        <v>11</v>
      </c>
      <c r="C927" s="22" t="s">
        <v>1865</v>
      </c>
      <c r="D927" s="22" t="s">
        <v>1916</v>
      </c>
      <c r="E927" s="22" t="s">
        <v>1917</v>
      </c>
      <c r="F927" s="22">
        <v>33.566549999999999</v>
      </c>
      <c r="G927" s="22">
        <v>44.175260000000002</v>
      </c>
      <c r="H927" s="21"/>
      <c r="I927" s="21"/>
      <c r="J927" s="21"/>
      <c r="K927" s="24">
        <v>48</v>
      </c>
      <c r="L927" s="24">
        <v>288</v>
      </c>
      <c r="M927" s="23">
        <v>48</v>
      </c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>
        <v>23</v>
      </c>
      <c r="AG927" s="23"/>
      <c r="AH927" s="23"/>
      <c r="AI927" s="23"/>
      <c r="AJ927" s="23"/>
      <c r="AK927" s="23">
        <v>25</v>
      </c>
      <c r="AL927" s="23"/>
      <c r="AM927" s="23"/>
      <c r="AN927" s="23"/>
      <c r="AO927" s="23"/>
      <c r="AP927" s="23"/>
      <c r="AQ927" s="23"/>
      <c r="AR927" s="23">
        <v>20</v>
      </c>
      <c r="AS927" s="23">
        <v>5</v>
      </c>
      <c r="AT927" s="23">
        <v>23</v>
      </c>
      <c r="AU927" s="14" t="str">
        <f>HYPERLINK("http://www.openstreetmap.org/?mlat=33.4981&amp;mlon=44.2561&amp;zoom=12#map=12/33.4981/44.2561","Maplink1")</f>
        <v>Maplink1</v>
      </c>
      <c r="AV927" s="14" t="str">
        <f>HYPERLINK("https://www.google.iq/maps/search/+33.4981,44.2561/@33.4981,44.2561,14z?hl=en","Maplink2")</f>
        <v>Maplink2</v>
      </c>
      <c r="AW927" s="14" t="str">
        <f>HYPERLINK("http://www.bing.com/maps/?lvl=14&amp;sty=h&amp;cp=33.4981~44.2561&amp;sp=point.33.4981_44.2561_Al Angaa","Maplink3")</f>
        <v>Maplink3</v>
      </c>
    </row>
    <row r="928" spans="1:49" ht="15" customHeight="1" x14ac:dyDescent="0.25">
      <c r="A928" s="21">
        <v>23641</v>
      </c>
      <c r="B928" s="22" t="s">
        <v>11</v>
      </c>
      <c r="C928" s="22" t="s">
        <v>1865</v>
      </c>
      <c r="D928" s="22" t="s">
        <v>1918</v>
      </c>
      <c r="E928" s="22" t="s">
        <v>129</v>
      </c>
      <c r="F928" s="22">
        <v>33.463006702400001</v>
      </c>
      <c r="G928" s="22">
        <v>44.236731144700002</v>
      </c>
      <c r="H928" s="21" t="s">
        <v>1449</v>
      </c>
      <c r="I928" s="21" t="s">
        <v>1872</v>
      </c>
      <c r="J928" s="21" t="s">
        <v>1919</v>
      </c>
      <c r="K928" s="24">
        <v>80</v>
      </c>
      <c r="L928" s="24">
        <v>480</v>
      </c>
      <c r="M928" s="23">
        <v>62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>
        <v>2</v>
      </c>
      <c r="Z928" s="23"/>
      <c r="AA928" s="23">
        <v>16</v>
      </c>
      <c r="AB928" s="23"/>
      <c r="AC928" s="23"/>
      <c r="AD928" s="23"/>
      <c r="AE928" s="23"/>
      <c r="AF928" s="23">
        <v>22</v>
      </c>
      <c r="AG928" s="23"/>
      <c r="AH928" s="23"/>
      <c r="AI928" s="23"/>
      <c r="AJ928" s="23"/>
      <c r="AK928" s="23">
        <v>58</v>
      </c>
      <c r="AL928" s="23"/>
      <c r="AM928" s="23"/>
      <c r="AN928" s="23"/>
      <c r="AO928" s="23">
        <v>8</v>
      </c>
      <c r="AP928" s="23">
        <v>2</v>
      </c>
      <c r="AQ928" s="23">
        <v>16</v>
      </c>
      <c r="AR928" s="23">
        <v>4</v>
      </c>
      <c r="AS928" s="23">
        <v>40</v>
      </c>
      <c r="AT928" s="23">
        <v>10</v>
      </c>
      <c r="AU928" s="14" t="str">
        <f>HYPERLINK("http://www.openstreetmap.org/?mlat=33.4678&amp;mlon=44.2622&amp;zoom=12#map=12/33.4678/44.2622","Maplink1")</f>
        <v>Maplink1</v>
      </c>
      <c r="AV928" s="14" t="str">
        <f>HYPERLINK("https://www.google.iq/maps/search/+33.4678,44.2622/@33.4678,44.2622,14z?hl=en","Maplink2")</f>
        <v>Maplink2</v>
      </c>
      <c r="AW928" s="14" t="str">
        <f>HYPERLINK("http://www.bing.com/maps/?lvl=14&amp;sty=h&amp;cp=33.4678~44.2622&amp;sp=point.33.4678_44.2622_Hay Al Shuhada","Maplink3")</f>
        <v>Maplink3</v>
      </c>
    </row>
    <row r="929" spans="1:49" ht="15" customHeight="1" x14ac:dyDescent="0.25">
      <c r="A929" s="21">
        <v>27310</v>
      </c>
      <c r="B929" s="22" t="s">
        <v>11</v>
      </c>
      <c r="C929" s="22" t="s">
        <v>1865</v>
      </c>
      <c r="D929" s="22" t="s">
        <v>1920</v>
      </c>
      <c r="E929" s="22" t="s">
        <v>1921</v>
      </c>
      <c r="F929" s="22">
        <v>33.475506375400002</v>
      </c>
      <c r="G929" s="22">
        <v>44.2412366517</v>
      </c>
      <c r="H929" s="21" t="s">
        <v>1449</v>
      </c>
      <c r="I929" s="21" t="s">
        <v>1872</v>
      </c>
      <c r="J929" s="21"/>
      <c r="K929" s="24">
        <v>24</v>
      </c>
      <c r="L929" s="24">
        <v>144</v>
      </c>
      <c r="M929" s="23">
        <v>24</v>
      </c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>
        <v>24</v>
      </c>
      <c r="AL929" s="23"/>
      <c r="AM929" s="23"/>
      <c r="AN929" s="23"/>
      <c r="AO929" s="23"/>
      <c r="AP929" s="23"/>
      <c r="AQ929" s="23"/>
      <c r="AR929" s="23"/>
      <c r="AS929" s="23">
        <v>24</v>
      </c>
      <c r="AT929" s="23"/>
      <c r="AU929" s="14" t="str">
        <f>HYPERLINK("http://www.openstreetmap.org/?mlat=33.4708&amp;mlon=44.2447&amp;zoom=12#map=12/33.4708/44.2447","Maplink1")</f>
        <v>Maplink1</v>
      </c>
      <c r="AV929" s="14" t="str">
        <f>HYPERLINK("https://www.google.iq/maps/search/+33.4708,44.2447/@33.4708,44.2447,14z?hl=en","Maplink2")</f>
        <v>Maplink2</v>
      </c>
      <c r="AW929" s="14" t="str">
        <f>HYPERLINK("http://www.bing.com/maps/?lvl=14&amp;sty=h&amp;cp=33.4708~44.2447&amp;sp=point.33.4708_44.2447_Hay Al Tasneea","Maplink3")</f>
        <v>Maplink3</v>
      </c>
    </row>
    <row r="930" spans="1:49" ht="15" customHeight="1" x14ac:dyDescent="0.25">
      <c r="A930" s="21">
        <v>23581</v>
      </c>
      <c r="B930" s="22" t="s">
        <v>11</v>
      </c>
      <c r="C930" s="22" t="s">
        <v>1865</v>
      </c>
      <c r="D930" s="22" t="s">
        <v>1922</v>
      </c>
      <c r="E930" s="22" t="s">
        <v>1923</v>
      </c>
      <c r="F930" s="22">
        <v>33.471400000000003</v>
      </c>
      <c r="G930" s="22">
        <v>44.233499999999999</v>
      </c>
      <c r="H930" s="21" t="s">
        <v>1449</v>
      </c>
      <c r="I930" s="21" t="s">
        <v>1872</v>
      </c>
      <c r="J930" s="21" t="s">
        <v>1924</v>
      </c>
      <c r="K930" s="24">
        <v>85</v>
      </c>
      <c r="L930" s="24">
        <v>510</v>
      </c>
      <c r="M930" s="23">
        <v>82</v>
      </c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>
        <v>3</v>
      </c>
      <c r="AB930" s="23"/>
      <c r="AC930" s="23"/>
      <c r="AD930" s="23"/>
      <c r="AE930" s="23"/>
      <c r="AF930" s="23">
        <v>40</v>
      </c>
      <c r="AG930" s="23"/>
      <c r="AH930" s="23"/>
      <c r="AI930" s="23"/>
      <c r="AJ930" s="23"/>
      <c r="AK930" s="23">
        <v>45</v>
      </c>
      <c r="AL930" s="23"/>
      <c r="AM930" s="23"/>
      <c r="AN930" s="23"/>
      <c r="AO930" s="23"/>
      <c r="AP930" s="23"/>
      <c r="AQ930" s="23">
        <v>13</v>
      </c>
      <c r="AR930" s="23">
        <v>8</v>
      </c>
      <c r="AS930" s="23">
        <v>64</v>
      </c>
      <c r="AT930" s="23"/>
      <c r="AU930" s="14" t="str">
        <f>HYPERLINK("http://www.openstreetmap.org/?mlat=33.5103&amp;mlon=44.2021&amp;zoom=12#map=12/33.5103/44.2021","Maplink1")</f>
        <v>Maplink1</v>
      </c>
      <c r="AV930" s="14" t="str">
        <f>HYPERLINK("https://www.google.iq/maps/search/+33.5103,44.2021/@33.5103,44.2021,14z?hl=en","Maplink2")</f>
        <v>Maplink2</v>
      </c>
      <c r="AW930" s="14" t="str">
        <f>HYPERLINK("http://www.bing.com/maps/?lvl=14&amp;sty=h&amp;cp=33.5103~44.2021&amp;sp=point.33.5103_44.2021_Hay Hasan AlAskari","Maplink3")</f>
        <v>Maplink3</v>
      </c>
    </row>
    <row r="931" spans="1:49" ht="15" customHeight="1" x14ac:dyDescent="0.25">
      <c r="A931" s="21">
        <v>21695</v>
      </c>
      <c r="B931" s="22" t="s">
        <v>11</v>
      </c>
      <c r="C931" s="22" t="s">
        <v>1865</v>
      </c>
      <c r="D931" s="22" t="s">
        <v>8489</v>
      </c>
      <c r="E931" s="22" t="s">
        <v>1925</v>
      </c>
      <c r="F931" s="22">
        <v>33.565440000000002</v>
      </c>
      <c r="G931" s="22">
        <v>44.179589999999997</v>
      </c>
      <c r="H931" s="21" t="s">
        <v>1449</v>
      </c>
      <c r="I931" s="21" t="s">
        <v>1872</v>
      </c>
      <c r="J931" s="21" t="s">
        <v>1926</v>
      </c>
      <c r="K931" s="24">
        <v>6</v>
      </c>
      <c r="L931" s="24">
        <v>36</v>
      </c>
      <c r="M931" s="23">
        <v>6</v>
      </c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>
        <v>6</v>
      </c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>
        <v>6</v>
      </c>
      <c r="AS931" s="23"/>
      <c r="AT931" s="23"/>
      <c r="AU931" s="14" t="str">
        <f>HYPERLINK("http://www.openstreetmap.org/?mlat=33.4916&amp;mlon=44.2235&amp;zoom=12#map=12/33.4916/44.2235","Maplink1")</f>
        <v>Maplink1</v>
      </c>
      <c r="AV931" s="14" t="str">
        <f>HYPERLINK("https://www.google.iq/maps/search/+33.4916,44.2235/@33.4916,44.2235,14z?hl=en","Maplink2")</f>
        <v>Maplink2</v>
      </c>
      <c r="AW931" s="14" t="str">
        <f>HYPERLINK("http://www.bing.com/maps/?lvl=14&amp;sty=h&amp;cp=33.4916~44.2235&amp;sp=point.33.4916_44.2235_Ibrahim Al Juayfis","Maplink3")</f>
        <v>Maplink3</v>
      </c>
    </row>
    <row r="932" spans="1:49" ht="15" customHeight="1" x14ac:dyDescent="0.25">
      <c r="A932" s="21">
        <v>7285</v>
      </c>
      <c r="B932" s="22" t="s">
        <v>11</v>
      </c>
      <c r="C932" s="22" t="s">
        <v>1865</v>
      </c>
      <c r="D932" s="22" t="s">
        <v>8490</v>
      </c>
      <c r="E932" s="22" t="s">
        <v>8491</v>
      </c>
      <c r="F932" s="22">
        <v>33.373650200699998</v>
      </c>
      <c r="G932" s="22">
        <v>44.297046074599997</v>
      </c>
      <c r="H932" s="21" t="s">
        <v>1449</v>
      </c>
      <c r="I932" s="21" t="s">
        <v>1872</v>
      </c>
      <c r="J932" s="21" t="s">
        <v>1976</v>
      </c>
      <c r="K932" s="24">
        <v>28</v>
      </c>
      <c r="L932" s="24">
        <v>168</v>
      </c>
      <c r="M932" s="23">
        <v>10</v>
      </c>
      <c r="N932" s="23"/>
      <c r="O932" s="23"/>
      <c r="P932" s="23"/>
      <c r="Q932" s="23"/>
      <c r="R932" s="23"/>
      <c r="S932" s="23"/>
      <c r="T932" s="23"/>
      <c r="U932" s="23">
        <v>1</v>
      </c>
      <c r="V932" s="23"/>
      <c r="W932" s="23"/>
      <c r="X932" s="23"/>
      <c r="Y932" s="23">
        <v>11</v>
      </c>
      <c r="Z932" s="23"/>
      <c r="AA932" s="23">
        <v>6</v>
      </c>
      <c r="AB932" s="23"/>
      <c r="AC932" s="23"/>
      <c r="AD932" s="23"/>
      <c r="AE932" s="23"/>
      <c r="AF932" s="23"/>
      <c r="AG932" s="23">
        <v>5</v>
      </c>
      <c r="AH932" s="23"/>
      <c r="AI932" s="23"/>
      <c r="AJ932" s="23"/>
      <c r="AK932" s="23">
        <v>23</v>
      </c>
      <c r="AL932" s="23"/>
      <c r="AM932" s="23"/>
      <c r="AN932" s="23"/>
      <c r="AO932" s="23"/>
      <c r="AP932" s="23"/>
      <c r="AQ932" s="23">
        <v>9</v>
      </c>
      <c r="AR932" s="23">
        <v>14</v>
      </c>
      <c r="AS932" s="23">
        <v>5</v>
      </c>
      <c r="AT932" s="23"/>
      <c r="AU932" s="14" t="str">
        <f>HYPERLINK("http://www.openstreetmap.org/?mlat=33.37&amp;mlon=44.33&amp;zoom=12#map=12/33.37/44.33","Maplink1")</f>
        <v>Maplink1</v>
      </c>
      <c r="AV932" s="14" t="str">
        <f>HYPERLINK("https://www.google.iq/maps/search/+33.37,44.33/@33.37,44.33,14z?hl=en","Maplink2")</f>
        <v>Maplink2</v>
      </c>
      <c r="AW932" s="14" t="str">
        <f>HYPERLINK("http://www.bing.com/maps/?lvl=14&amp;sty=h&amp;cp=33.37~44.33&amp;sp=point.33.37_44.33_Zahra","Maplink3")</f>
        <v>Maplink3</v>
      </c>
    </row>
    <row r="933" spans="1:49" ht="15" customHeight="1" x14ac:dyDescent="0.25">
      <c r="A933" s="21">
        <v>27407</v>
      </c>
      <c r="B933" s="22" t="s">
        <v>11</v>
      </c>
      <c r="C933" s="22" t="s">
        <v>1865</v>
      </c>
      <c r="D933" s="22" t="s">
        <v>7409</v>
      </c>
      <c r="E933" s="22" t="s">
        <v>7772</v>
      </c>
      <c r="F933" s="22">
        <v>33.375281821900003</v>
      </c>
      <c r="G933" s="22">
        <v>44.300975594699999</v>
      </c>
      <c r="H933" s="21" t="s">
        <v>1449</v>
      </c>
      <c r="I933" s="21" t="s">
        <v>1872</v>
      </c>
      <c r="J933" s="21"/>
      <c r="K933" s="24">
        <v>108</v>
      </c>
      <c r="L933" s="24">
        <v>648</v>
      </c>
      <c r="M933" s="23">
        <v>21</v>
      </c>
      <c r="N933" s="23"/>
      <c r="O933" s="23"/>
      <c r="P933" s="23"/>
      <c r="Q933" s="23"/>
      <c r="R933" s="23"/>
      <c r="S933" s="23"/>
      <c r="T933" s="23"/>
      <c r="U933" s="23">
        <v>9</v>
      </c>
      <c r="V933" s="23"/>
      <c r="W933" s="23"/>
      <c r="X933" s="23"/>
      <c r="Y933" s="23">
        <v>22</v>
      </c>
      <c r="Z933" s="23"/>
      <c r="AA933" s="23">
        <v>56</v>
      </c>
      <c r="AB933" s="23"/>
      <c r="AC933" s="23"/>
      <c r="AD933" s="23"/>
      <c r="AE933" s="23"/>
      <c r="AF933" s="23">
        <v>32</v>
      </c>
      <c r="AG933" s="23"/>
      <c r="AH933" s="23"/>
      <c r="AI933" s="23"/>
      <c r="AJ933" s="23"/>
      <c r="AK933" s="23">
        <v>76</v>
      </c>
      <c r="AL933" s="23"/>
      <c r="AM933" s="23"/>
      <c r="AN933" s="23"/>
      <c r="AO933" s="23"/>
      <c r="AP933" s="23">
        <v>30</v>
      </c>
      <c r="AQ933" s="23"/>
      <c r="AR933" s="23">
        <v>68</v>
      </c>
      <c r="AS933" s="23">
        <v>10</v>
      </c>
      <c r="AT933" s="23"/>
      <c r="AU933" s="14" t="str">
        <f>HYPERLINK("http://www.openstreetmap.org/?mlat=33.3751&amp;mlon=44.3106&amp;zoom=12#map=12/33.3751/44.3106","Maplink1")</f>
        <v>Maplink1</v>
      </c>
      <c r="AV933" s="14" t="str">
        <f>HYPERLINK("https://www.google.iq/maps/search/+33.3751,44.3106/@33.3751,44.3106,14z?hl=en","Maplink2")</f>
        <v>Maplink2</v>
      </c>
      <c r="AW933" s="14" t="str">
        <f>HYPERLINK("http://www.bing.com/maps/?lvl=14&amp;sty=h&amp;cp=33.3751~44.3106&amp;sp=point.33.3751_44.3106_Jakook - 440","Maplink3")</f>
        <v>Maplink3</v>
      </c>
    </row>
    <row r="934" spans="1:49" ht="15" customHeight="1" x14ac:dyDescent="0.25">
      <c r="A934" s="21">
        <v>27408</v>
      </c>
      <c r="B934" s="22" t="s">
        <v>11</v>
      </c>
      <c r="C934" s="22" t="s">
        <v>1865</v>
      </c>
      <c r="D934" s="22" t="s">
        <v>7410</v>
      </c>
      <c r="E934" s="22" t="s">
        <v>7773</v>
      </c>
      <c r="F934" s="22">
        <v>33.381261262099997</v>
      </c>
      <c r="G934" s="22">
        <v>44.312461400399997</v>
      </c>
      <c r="H934" s="21" t="s">
        <v>1449</v>
      </c>
      <c r="I934" s="21" t="s">
        <v>1872</v>
      </c>
      <c r="J934" s="21"/>
      <c r="K934" s="24">
        <v>23</v>
      </c>
      <c r="L934" s="24">
        <v>138</v>
      </c>
      <c r="M934" s="23">
        <v>13</v>
      </c>
      <c r="N934" s="23"/>
      <c r="O934" s="23"/>
      <c r="P934" s="23"/>
      <c r="Q934" s="23"/>
      <c r="R934" s="23"/>
      <c r="S934" s="23"/>
      <c r="T934" s="23"/>
      <c r="U934" s="23">
        <v>2</v>
      </c>
      <c r="V934" s="23"/>
      <c r="W934" s="23"/>
      <c r="X934" s="23"/>
      <c r="Y934" s="23">
        <v>8</v>
      </c>
      <c r="Z934" s="23"/>
      <c r="AA934" s="23"/>
      <c r="AB934" s="23"/>
      <c r="AC934" s="23"/>
      <c r="AD934" s="23"/>
      <c r="AE934" s="23"/>
      <c r="AF934" s="23">
        <v>11</v>
      </c>
      <c r="AG934" s="23"/>
      <c r="AH934" s="23"/>
      <c r="AI934" s="23"/>
      <c r="AJ934" s="23"/>
      <c r="AK934" s="23">
        <v>12</v>
      </c>
      <c r="AL934" s="23"/>
      <c r="AM934" s="23"/>
      <c r="AN934" s="23"/>
      <c r="AO934" s="23"/>
      <c r="AP934" s="23">
        <v>7</v>
      </c>
      <c r="AQ934" s="23"/>
      <c r="AR934" s="23">
        <v>10</v>
      </c>
      <c r="AS934" s="23">
        <v>5</v>
      </c>
      <c r="AT934" s="23">
        <v>1</v>
      </c>
      <c r="AU934" s="14" t="str">
        <f>HYPERLINK("http://www.openstreetmap.org/?mlat=33.3751&amp;mlon=44.3106&amp;zoom=12#map=12/33.3751/44.3106","Maplink1")</f>
        <v>Maplink1</v>
      </c>
      <c r="AV934" s="14" t="str">
        <f>HYPERLINK("https://www.google.iq/maps/search/+33.3751,44.3106/@33.3751,44.3106,14z?hl=en","Maplink2")</f>
        <v>Maplink2</v>
      </c>
      <c r="AW934" s="14" t="str">
        <f>HYPERLINK("http://www.bing.com/maps/?lvl=14&amp;sty=h&amp;cp=33.3751~44.3106&amp;sp=point.33.3751_44.3106_Jakook - 442","Maplink3")</f>
        <v>Maplink3</v>
      </c>
    </row>
    <row r="935" spans="1:49" ht="15" customHeight="1" x14ac:dyDescent="0.25">
      <c r="A935" s="21">
        <v>20784</v>
      </c>
      <c r="B935" s="22" t="s">
        <v>11</v>
      </c>
      <c r="C935" s="22" t="s">
        <v>1865</v>
      </c>
      <c r="D935" s="22" t="s">
        <v>1927</v>
      </c>
      <c r="E935" s="22" t="s">
        <v>1928</v>
      </c>
      <c r="F935" s="22">
        <v>33.500383516600003</v>
      </c>
      <c r="G935" s="22">
        <v>44.267849170399998</v>
      </c>
      <c r="H935" s="21" t="s">
        <v>1449</v>
      </c>
      <c r="I935" s="21" t="s">
        <v>1872</v>
      </c>
      <c r="J935" s="21" t="s">
        <v>1929</v>
      </c>
      <c r="K935" s="24">
        <v>128</v>
      </c>
      <c r="L935" s="24">
        <v>768</v>
      </c>
      <c r="M935" s="23">
        <v>128</v>
      </c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>
        <v>40</v>
      </c>
      <c r="AG935" s="23"/>
      <c r="AH935" s="23"/>
      <c r="AI935" s="23"/>
      <c r="AJ935" s="23"/>
      <c r="AK935" s="23">
        <v>88</v>
      </c>
      <c r="AL935" s="23"/>
      <c r="AM935" s="23"/>
      <c r="AN935" s="23"/>
      <c r="AO935" s="23"/>
      <c r="AP935" s="23"/>
      <c r="AQ935" s="23"/>
      <c r="AR935" s="23">
        <v>75</v>
      </c>
      <c r="AS935" s="23">
        <v>21</v>
      </c>
      <c r="AT935" s="23">
        <v>32</v>
      </c>
      <c r="AU935" s="14" t="str">
        <f>HYPERLINK("http://www.openstreetmap.org/?mlat=33.4912&amp;mlon=44.272&amp;zoom=12#map=12/33.4912/44.272","Maplink1")</f>
        <v>Maplink1</v>
      </c>
      <c r="AV935" s="14" t="str">
        <f>HYPERLINK("https://www.google.iq/maps/search/+33.4912,44.272/@33.4912,44.272,14z?hl=en","Maplink2")</f>
        <v>Maplink2</v>
      </c>
      <c r="AW935" s="14" t="str">
        <f>HYPERLINK("http://www.bing.com/maps/?lvl=14&amp;sty=h&amp;cp=33.4912~44.272&amp;sp=point.33.4912_44.272_Jurf Al Milah","Maplink3")</f>
        <v>Maplink3</v>
      </c>
    </row>
    <row r="936" spans="1:49" ht="15" customHeight="1" x14ac:dyDescent="0.25">
      <c r="A936" s="21">
        <v>27377</v>
      </c>
      <c r="B936" s="22" t="s">
        <v>11</v>
      </c>
      <c r="C936" s="22" t="s">
        <v>1865</v>
      </c>
      <c r="D936" s="22" t="s">
        <v>1930</v>
      </c>
      <c r="E936" s="22" t="s">
        <v>1931</v>
      </c>
      <c r="F936" s="22">
        <v>33.462400000000002</v>
      </c>
      <c r="G936" s="22">
        <v>44.235100000000003</v>
      </c>
      <c r="H936" s="21" t="s">
        <v>1449</v>
      </c>
      <c r="I936" s="21" t="s">
        <v>1872</v>
      </c>
      <c r="J936" s="21"/>
      <c r="K936" s="24">
        <v>42</v>
      </c>
      <c r="L936" s="24">
        <v>252</v>
      </c>
      <c r="M936" s="23">
        <v>34</v>
      </c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>
        <v>8</v>
      </c>
      <c r="AB936" s="23"/>
      <c r="AC936" s="23"/>
      <c r="AD936" s="23"/>
      <c r="AE936" s="23"/>
      <c r="AF936" s="23">
        <v>21</v>
      </c>
      <c r="AG936" s="23"/>
      <c r="AH936" s="23"/>
      <c r="AI936" s="23"/>
      <c r="AJ936" s="23"/>
      <c r="AK936" s="23">
        <v>21</v>
      </c>
      <c r="AL936" s="23"/>
      <c r="AM936" s="23"/>
      <c r="AN936" s="23"/>
      <c r="AO936" s="23"/>
      <c r="AP936" s="23"/>
      <c r="AQ936" s="23"/>
      <c r="AR936" s="23">
        <v>28</v>
      </c>
      <c r="AS936" s="23">
        <v>14</v>
      </c>
      <c r="AT936" s="23"/>
      <c r="AU936" s="14" t="str">
        <f>HYPERLINK("http://www.openstreetmap.org/?mlat=33.4763&amp;mlon=44.2414&amp;zoom=12#map=12/33.4763/44.2414","Maplink1")</f>
        <v>Maplink1</v>
      </c>
      <c r="AV936" s="14" t="str">
        <f>HYPERLINK("https://www.google.iq/maps/search/+33.4763,44.2414/@33.4763,44.2414,14z?hl=en","Maplink2")</f>
        <v>Maplink2</v>
      </c>
      <c r="AW936" s="14" t="str">
        <f>HYPERLINK("http://www.bing.com/maps/?lvl=14&amp;sty=h&amp;cp=33.4763~44.2414&amp;sp=point.33.4763_44.2414_Kasar Al Ali Village","Maplink3")</f>
        <v>Maplink3</v>
      </c>
    </row>
    <row r="937" spans="1:49" ht="15" customHeight="1" x14ac:dyDescent="0.25">
      <c r="A937" s="21">
        <v>25173</v>
      </c>
      <c r="B937" s="22" t="s">
        <v>11</v>
      </c>
      <c r="C937" s="22" t="s">
        <v>1865</v>
      </c>
      <c r="D937" s="22" t="s">
        <v>1932</v>
      </c>
      <c r="E937" s="22" t="s">
        <v>1933</v>
      </c>
      <c r="F937" s="22">
        <v>33.4629935317</v>
      </c>
      <c r="G937" s="22">
        <v>44.218980868800003</v>
      </c>
      <c r="H937" s="21" t="s">
        <v>1449</v>
      </c>
      <c r="I937" s="21" t="s">
        <v>1872</v>
      </c>
      <c r="J937" s="21"/>
      <c r="K937" s="24">
        <v>68</v>
      </c>
      <c r="L937" s="24">
        <v>408</v>
      </c>
      <c r="M937" s="23">
        <v>68</v>
      </c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>
        <v>23</v>
      </c>
      <c r="AG937" s="23"/>
      <c r="AH937" s="23"/>
      <c r="AI937" s="23"/>
      <c r="AJ937" s="23"/>
      <c r="AK937" s="23">
        <v>45</v>
      </c>
      <c r="AL937" s="23"/>
      <c r="AM937" s="23"/>
      <c r="AN937" s="23"/>
      <c r="AO937" s="23"/>
      <c r="AP937" s="23"/>
      <c r="AQ937" s="23"/>
      <c r="AR937" s="23"/>
      <c r="AS937" s="23">
        <v>68</v>
      </c>
      <c r="AT937" s="23"/>
      <c r="AU937" s="14" t="str">
        <f>HYPERLINK("http://www.openstreetmap.org/?mlat=33.4763&amp;mlon=44.2414&amp;zoom=12#map=12/33.4763/44.2414","Maplink1")</f>
        <v>Maplink1</v>
      </c>
      <c r="AV937" s="14" t="str">
        <f>HYPERLINK("https://www.google.iq/maps/search/+33.4763,44.2414/@33.4763,44.2414,14z?hl=en","Maplink2")</f>
        <v>Maplink2</v>
      </c>
      <c r="AW937" s="14" t="str">
        <f>HYPERLINK("http://www.bing.com/maps/?lvl=14&amp;sty=h&amp;cp=33.4763~44.2414&amp;sp=point.33.4763_44.2414_Khalaf Jredhi Village","Maplink3")</f>
        <v>Maplink3</v>
      </c>
    </row>
    <row r="938" spans="1:49" ht="15" customHeight="1" x14ac:dyDescent="0.25">
      <c r="A938" s="21">
        <v>25172</v>
      </c>
      <c r="B938" s="22" t="s">
        <v>11</v>
      </c>
      <c r="C938" s="22" t="s">
        <v>1865</v>
      </c>
      <c r="D938" s="22" t="s">
        <v>1934</v>
      </c>
      <c r="E938" s="22" t="s">
        <v>1935</v>
      </c>
      <c r="F938" s="22">
        <v>33.461580482400002</v>
      </c>
      <c r="G938" s="22">
        <v>44.231428698899997</v>
      </c>
      <c r="H938" s="21" t="s">
        <v>1449</v>
      </c>
      <c r="I938" s="21" t="s">
        <v>1872</v>
      </c>
      <c r="J938" s="21"/>
      <c r="K938" s="24">
        <v>100</v>
      </c>
      <c r="L938" s="24">
        <v>600</v>
      </c>
      <c r="M938" s="23">
        <v>97</v>
      </c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>
        <v>3</v>
      </c>
      <c r="AB938" s="23"/>
      <c r="AC938" s="23"/>
      <c r="AD938" s="23"/>
      <c r="AE938" s="23"/>
      <c r="AF938" s="23">
        <v>47</v>
      </c>
      <c r="AG938" s="23"/>
      <c r="AH938" s="23"/>
      <c r="AI938" s="23"/>
      <c r="AJ938" s="23"/>
      <c r="AK938" s="23">
        <v>53</v>
      </c>
      <c r="AL938" s="23"/>
      <c r="AM938" s="23"/>
      <c r="AN938" s="23"/>
      <c r="AO938" s="23"/>
      <c r="AP938" s="23"/>
      <c r="AQ938" s="23">
        <v>7</v>
      </c>
      <c r="AR938" s="23"/>
      <c r="AS938" s="23">
        <v>83</v>
      </c>
      <c r="AT938" s="23">
        <v>10</v>
      </c>
      <c r="AU938" s="14" t="str">
        <f>HYPERLINK("http://www.openstreetmap.org/?mlat=33.4763&amp;mlon=44.2414&amp;zoom=12#map=12/33.4763/44.2414","Maplink1")</f>
        <v>Maplink1</v>
      </c>
      <c r="AV938" s="14" t="str">
        <f>HYPERLINK("https://www.google.iq/maps/search/+33.4763,44.2414/@33.4763,44.2414,14z?hl=en","Maplink2")</f>
        <v>Maplink2</v>
      </c>
      <c r="AW938" s="14" t="str">
        <f>HYPERLINK("http://www.bing.com/maps/?lvl=14&amp;sty=h&amp;cp=33.4763~44.2414&amp;sp=point.33.4763_44.2414_Mulla Mukhlef Village","Maplink3")</f>
        <v>Maplink3</v>
      </c>
    </row>
    <row r="939" spans="1:49" ht="15" customHeight="1" x14ac:dyDescent="0.25">
      <c r="A939" s="21">
        <v>25189</v>
      </c>
      <c r="B939" s="22" t="s">
        <v>11</v>
      </c>
      <c r="C939" s="22" t="s">
        <v>1865</v>
      </c>
      <c r="D939" s="22" t="s">
        <v>8492</v>
      </c>
      <c r="E939" s="22" t="s">
        <v>1901</v>
      </c>
      <c r="F939" s="22">
        <v>33.494680000000002</v>
      </c>
      <c r="G939" s="22">
        <v>44.27657</v>
      </c>
      <c r="H939" s="21" t="s">
        <v>1449</v>
      </c>
      <c r="I939" s="21" t="s">
        <v>1872</v>
      </c>
      <c r="J939" s="21"/>
      <c r="K939" s="24">
        <v>34</v>
      </c>
      <c r="L939" s="24">
        <v>204</v>
      </c>
      <c r="M939" s="23">
        <v>34</v>
      </c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>
        <v>21</v>
      </c>
      <c r="AG939" s="23"/>
      <c r="AH939" s="23"/>
      <c r="AI939" s="23"/>
      <c r="AJ939" s="23"/>
      <c r="AK939" s="23">
        <v>13</v>
      </c>
      <c r="AL939" s="23"/>
      <c r="AM939" s="23"/>
      <c r="AN939" s="23"/>
      <c r="AO939" s="23"/>
      <c r="AP939" s="23"/>
      <c r="AQ939" s="23"/>
      <c r="AR939" s="23"/>
      <c r="AS939" s="23">
        <v>30</v>
      </c>
      <c r="AT939" s="23">
        <v>4</v>
      </c>
      <c r="AU939" s="14" t="str">
        <f>HYPERLINK("http://www.openstreetmap.org/?mlat=33.5103&amp;mlon=44.2021&amp;zoom=12#map=12/33.5103/44.2021","Maplink1")</f>
        <v>Maplink1</v>
      </c>
      <c r="AV939" s="14" t="str">
        <f>HYPERLINK("https://www.google.iq/maps/search/+33.5103,44.2021/@33.5103,44.2021,14z?hl=en","Maplink2")</f>
        <v>Maplink2</v>
      </c>
      <c r="AW939" s="14" t="str">
        <f>HYPERLINK("http://www.bing.com/maps/?lvl=14&amp;sty=h&amp;cp=33.5103~44.2021&amp;sp=point.33.5103_44.2021_Al Taji Al Jadeed-Naif Al Hassan","Maplink3")</f>
        <v>Maplink3</v>
      </c>
    </row>
    <row r="940" spans="1:49" ht="15" customHeight="1" x14ac:dyDescent="0.25">
      <c r="A940" s="21">
        <v>25194</v>
      </c>
      <c r="B940" s="22" t="s">
        <v>11</v>
      </c>
      <c r="C940" s="22" t="s">
        <v>1865</v>
      </c>
      <c r="D940" s="22" t="s">
        <v>8493</v>
      </c>
      <c r="E940" s="22" t="s">
        <v>1902</v>
      </c>
      <c r="F940" s="22">
        <v>33.469499999999996</v>
      </c>
      <c r="G940" s="22">
        <v>44.198399999999999</v>
      </c>
      <c r="H940" s="21" t="s">
        <v>1449</v>
      </c>
      <c r="I940" s="21" t="s">
        <v>1872</v>
      </c>
      <c r="J940" s="21"/>
      <c r="K940" s="24">
        <v>46</v>
      </c>
      <c r="L940" s="24">
        <v>276</v>
      </c>
      <c r="M940" s="23">
        <v>46</v>
      </c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>
        <v>6</v>
      </c>
      <c r="AG940" s="23"/>
      <c r="AH940" s="23"/>
      <c r="AI940" s="23"/>
      <c r="AJ940" s="23"/>
      <c r="AK940" s="23">
        <v>40</v>
      </c>
      <c r="AL940" s="23"/>
      <c r="AM940" s="23"/>
      <c r="AN940" s="23"/>
      <c r="AO940" s="23">
        <v>30</v>
      </c>
      <c r="AP940" s="23"/>
      <c r="AQ940" s="23"/>
      <c r="AR940" s="23">
        <v>10</v>
      </c>
      <c r="AS940" s="23">
        <v>6</v>
      </c>
      <c r="AT940" s="23"/>
      <c r="AU940" s="14" t="str">
        <f>HYPERLINK("http://www.openstreetmap.org/?mlat=33.5103&amp;mlon=44.2021&amp;zoom=12#map=12/33.5103/44.2021","Maplink1")</f>
        <v>Maplink1</v>
      </c>
      <c r="AV940" s="14" t="str">
        <f>HYPERLINK("https://www.google.iq/maps/search/+33.5103,44.2021/@33.5103,44.2021,14z?hl=en","Maplink2")</f>
        <v>Maplink2</v>
      </c>
      <c r="AW940" s="14" t="str">
        <f>HYPERLINK("http://www.bing.com/maps/?lvl=14&amp;sty=h&amp;cp=33.5103~44.2021&amp;sp=point.33.5103_44.2021_Al Taji Al Jadeed-Najah Al Suhail","Maplink3")</f>
        <v>Maplink3</v>
      </c>
    </row>
    <row r="941" spans="1:49" ht="15" customHeight="1" x14ac:dyDescent="0.25">
      <c r="A941" s="21">
        <v>7642</v>
      </c>
      <c r="B941" s="22" t="s">
        <v>11</v>
      </c>
      <c r="C941" s="22" t="s">
        <v>1865</v>
      </c>
      <c r="D941" s="22" t="s">
        <v>1936</v>
      </c>
      <c r="E941" s="22" t="s">
        <v>1937</v>
      </c>
      <c r="F941" s="22">
        <v>33.510671154299999</v>
      </c>
      <c r="G941" s="22">
        <v>44.233034878300003</v>
      </c>
      <c r="H941" s="21" t="s">
        <v>1449</v>
      </c>
      <c r="I941" s="21" t="s">
        <v>1872</v>
      </c>
      <c r="J941" s="21" t="s">
        <v>1938</v>
      </c>
      <c r="K941" s="24">
        <v>73</v>
      </c>
      <c r="L941" s="24">
        <v>438</v>
      </c>
      <c r="M941" s="23">
        <v>73</v>
      </c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>
        <v>17</v>
      </c>
      <c r="AG941" s="23"/>
      <c r="AH941" s="23"/>
      <c r="AI941" s="23"/>
      <c r="AJ941" s="23"/>
      <c r="AK941" s="23">
        <v>56</v>
      </c>
      <c r="AL941" s="23"/>
      <c r="AM941" s="23"/>
      <c r="AN941" s="23"/>
      <c r="AO941" s="23"/>
      <c r="AP941" s="23"/>
      <c r="AQ941" s="23"/>
      <c r="AR941" s="23">
        <v>19</v>
      </c>
      <c r="AS941" s="23">
        <v>46</v>
      </c>
      <c r="AT941" s="23">
        <v>8</v>
      </c>
      <c r="AU941" s="14" t="str">
        <f>HYPERLINK("http://www.openstreetmap.org/?mlat=33.4981&amp;mlon=44.2561&amp;zoom=12#map=12/33.4981/44.2561","Maplink1")</f>
        <v>Maplink1</v>
      </c>
      <c r="AV941" s="14" t="str">
        <f>HYPERLINK("https://www.google.iq/maps/search/+33.4981,44.2561/@33.4981,44.2561,14z?hl=en","Maplink2")</f>
        <v>Maplink2</v>
      </c>
      <c r="AW941" s="14" t="str">
        <f>HYPERLINK("http://www.bing.com/maps/?lvl=14&amp;sty=h&amp;cp=33.4981~44.2561&amp;sp=point.33.4981_44.2561_Naji al rahal village","Maplink3")</f>
        <v>Maplink3</v>
      </c>
    </row>
    <row r="942" spans="1:49" ht="15" customHeight="1" x14ac:dyDescent="0.25">
      <c r="A942" s="21">
        <v>25178</v>
      </c>
      <c r="B942" s="22" t="s">
        <v>11</v>
      </c>
      <c r="C942" s="22" t="s">
        <v>1865</v>
      </c>
      <c r="D942" s="22" t="s">
        <v>1939</v>
      </c>
      <c r="E942" s="22" t="s">
        <v>1940</v>
      </c>
      <c r="F942" s="22">
        <v>33.464100000000002</v>
      </c>
      <c r="G942" s="22">
        <v>44.198700000000002</v>
      </c>
      <c r="H942" s="21" t="s">
        <v>1449</v>
      </c>
      <c r="I942" s="21" t="s">
        <v>1872</v>
      </c>
      <c r="J942" s="21"/>
      <c r="K942" s="24">
        <v>3</v>
      </c>
      <c r="L942" s="24">
        <v>18</v>
      </c>
      <c r="M942" s="23">
        <v>3</v>
      </c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>
        <v>3</v>
      </c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>
        <v>3</v>
      </c>
      <c r="AT942" s="23"/>
      <c r="AU942" s="14" t="str">
        <f>HYPERLINK("http://www.openstreetmap.org/?mlat=33.4763&amp;mlon=44.2414&amp;zoom=12#map=12/33.4763/44.2414","Maplink1")</f>
        <v>Maplink1</v>
      </c>
      <c r="AV942" s="14" t="str">
        <f>HYPERLINK("https://www.google.iq/maps/search/+33.4763,44.2414/@33.4763,44.2414,14z?hl=en","Maplink2")</f>
        <v>Maplink2</v>
      </c>
      <c r="AW942" s="14" t="str">
        <f>HYPERLINK("http://www.bing.com/maps/?lvl=14&amp;sty=h&amp;cp=33.4763~44.2414&amp;sp=point.33.4763_44.2414_Nesaif Al Zegam Village","Maplink3")</f>
        <v>Maplink3</v>
      </c>
    </row>
    <row r="943" spans="1:49" ht="15" customHeight="1" x14ac:dyDescent="0.25">
      <c r="A943" s="21">
        <v>28399</v>
      </c>
      <c r="B943" s="22" t="s">
        <v>11</v>
      </c>
      <c r="C943" s="22" t="s">
        <v>1865</v>
      </c>
      <c r="D943" s="22" t="s">
        <v>7411</v>
      </c>
      <c r="E943" s="22" t="s">
        <v>7774</v>
      </c>
      <c r="F943" s="22">
        <v>33.440864807899999</v>
      </c>
      <c r="G943" s="22">
        <v>44.269825676499998</v>
      </c>
      <c r="H943" s="21"/>
      <c r="I943" s="21"/>
      <c r="J943" s="21"/>
      <c r="K943" s="24">
        <v>80</v>
      </c>
      <c r="L943" s="24">
        <v>480</v>
      </c>
      <c r="M943" s="23">
        <v>60</v>
      </c>
      <c r="N943" s="23"/>
      <c r="O943" s="23">
        <v>6</v>
      </c>
      <c r="P943" s="23"/>
      <c r="Q943" s="23"/>
      <c r="R943" s="23"/>
      <c r="S943" s="23"/>
      <c r="T943" s="23"/>
      <c r="U943" s="23"/>
      <c r="V943" s="23"/>
      <c r="W943" s="23"/>
      <c r="X943" s="23"/>
      <c r="Y943" s="23">
        <v>4</v>
      </c>
      <c r="Z943" s="23"/>
      <c r="AA943" s="23">
        <v>10</v>
      </c>
      <c r="AB943" s="23"/>
      <c r="AC943" s="23"/>
      <c r="AD943" s="23"/>
      <c r="AE943" s="23"/>
      <c r="AF943" s="23">
        <v>26</v>
      </c>
      <c r="AG943" s="23"/>
      <c r="AH943" s="23"/>
      <c r="AI943" s="23"/>
      <c r="AJ943" s="23"/>
      <c r="AK943" s="23">
        <v>54</v>
      </c>
      <c r="AL943" s="23"/>
      <c r="AM943" s="23"/>
      <c r="AN943" s="23"/>
      <c r="AO943" s="23"/>
      <c r="AP943" s="23">
        <v>10</v>
      </c>
      <c r="AQ943" s="23">
        <v>11</v>
      </c>
      <c r="AR943" s="23">
        <v>19</v>
      </c>
      <c r="AS943" s="23">
        <v>40</v>
      </c>
      <c r="AT943" s="23"/>
      <c r="AU943" s="14" t="str">
        <f>HYPERLINK("http://www.openstreetmap.org/?mlat=33.4457&amp;mlon=44.253&amp;zoom=12#map=12/33.4457/44.253","Maplink1")</f>
        <v>Maplink1</v>
      </c>
      <c r="AV943" s="14" t="str">
        <f>HYPERLINK("https://www.google.iq/maps/search/+33.4457,44.253/@33.4457,44.253,14z?hl=en","Maplink2")</f>
        <v>Maplink2</v>
      </c>
      <c r="AW943" s="14" t="str">
        <f>HYPERLINK("http://www.bing.com/maps/?lvl=14&amp;sty=h&amp;cp=33.4457~44.253&amp;sp=point.33.4457_44.253_Al Angaa","Maplink3")</f>
        <v>Maplink3</v>
      </c>
    </row>
    <row r="944" spans="1:49" ht="15" customHeight="1" x14ac:dyDescent="0.25">
      <c r="A944" s="21">
        <v>28402</v>
      </c>
      <c r="B944" s="22" t="s">
        <v>11</v>
      </c>
      <c r="C944" s="22" t="s">
        <v>1865</v>
      </c>
      <c r="D944" s="22" t="s">
        <v>7412</v>
      </c>
      <c r="E944" s="22" t="s">
        <v>1941</v>
      </c>
      <c r="F944" s="22">
        <v>33.418696182799998</v>
      </c>
      <c r="G944" s="22">
        <v>44.307417757800003</v>
      </c>
      <c r="H944" s="21"/>
      <c r="I944" s="21"/>
      <c r="J944" s="21"/>
      <c r="K944" s="24">
        <v>97</v>
      </c>
      <c r="L944" s="24">
        <v>582</v>
      </c>
      <c r="M944" s="23">
        <v>52</v>
      </c>
      <c r="N944" s="23"/>
      <c r="O944" s="23">
        <v>16</v>
      </c>
      <c r="P944" s="23"/>
      <c r="Q944" s="23"/>
      <c r="R944" s="23">
        <v>3</v>
      </c>
      <c r="S944" s="23"/>
      <c r="T944" s="23"/>
      <c r="U944" s="23"/>
      <c r="V944" s="23"/>
      <c r="W944" s="23"/>
      <c r="X944" s="23"/>
      <c r="Y944" s="23">
        <v>8</v>
      </c>
      <c r="Z944" s="23"/>
      <c r="AA944" s="23">
        <v>18</v>
      </c>
      <c r="AB944" s="23"/>
      <c r="AC944" s="23"/>
      <c r="AD944" s="23"/>
      <c r="AE944" s="23"/>
      <c r="AF944" s="23">
        <v>46</v>
      </c>
      <c r="AG944" s="23"/>
      <c r="AH944" s="23"/>
      <c r="AI944" s="23"/>
      <c r="AJ944" s="23"/>
      <c r="AK944" s="23">
        <v>51</v>
      </c>
      <c r="AL944" s="23"/>
      <c r="AM944" s="23"/>
      <c r="AN944" s="23"/>
      <c r="AO944" s="23"/>
      <c r="AP944" s="23">
        <v>5</v>
      </c>
      <c r="AQ944" s="23">
        <v>19</v>
      </c>
      <c r="AR944" s="23">
        <v>38</v>
      </c>
      <c r="AS944" s="23">
        <v>35</v>
      </c>
      <c r="AT944" s="23"/>
      <c r="AU944" s="14" t="str">
        <f>HYPERLINK("http://www.openstreetmap.org/?mlat=33.4457&amp;mlon=44.253&amp;zoom=12#map=12/33.4457/44.253","Maplink1")</f>
        <v>Maplink1</v>
      </c>
      <c r="AV944" s="14" t="str">
        <f>HYPERLINK("https://www.google.iq/maps/search/+33.4457,44.253/@33.4457,44.253,14z?hl=en","Maplink2")</f>
        <v>Maplink2</v>
      </c>
      <c r="AW944" s="14" t="str">
        <f>HYPERLINK("http://www.bing.com/maps/?lvl=14&amp;sty=h&amp;cp=33.4457~44.253&amp;sp=point.33.4457_44.253_Al Angaa","Maplink3")</f>
        <v>Maplink3</v>
      </c>
    </row>
    <row r="945" spans="1:49" ht="15" customHeight="1" x14ac:dyDescent="0.25">
      <c r="A945" s="21">
        <v>28400</v>
      </c>
      <c r="B945" s="22" t="s">
        <v>11</v>
      </c>
      <c r="C945" s="22" t="s">
        <v>1865</v>
      </c>
      <c r="D945" s="22" t="s">
        <v>7413</v>
      </c>
      <c r="E945" s="22" t="s">
        <v>1942</v>
      </c>
      <c r="F945" s="22">
        <v>33.4309201827</v>
      </c>
      <c r="G945" s="22">
        <v>44.277259334900002</v>
      </c>
      <c r="H945" s="21"/>
      <c r="I945" s="21"/>
      <c r="J945" s="21"/>
      <c r="K945" s="24">
        <v>115</v>
      </c>
      <c r="L945" s="24">
        <v>690</v>
      </c>
      <c r="M945" s="23">
        <v>77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>
        <v>2</v>
      </c>
      <c r="Z945" s="23"/>
      <c r="AA945" s="23">
        <v>36</v>
      </c>
      <c r="AB945" s="23"/>
      <c r="AC945" s="23"/>
      <c r="AD945" s="23"/>
      <c r="AE945" s="23"/>
      <c r="AF945" s="23">
        <v>20</v>
      </c>
      <c r="AG945" s="23"/>
      <c r="AH945" s="23"/>
      <c r="AI945" s="23"/>
      <c r="AJ945" s="23"/>
      <c r="AK945" s="23">
        <v>95</v>
      </c>
      <c r="AL945" s="23"/>
      <c r="AM945" s="23"/>
      <c r="AN945" s="23"/>
      <c r="AO945" s="23"/>
      <c r="AP945" s="23"/>
      <c r="AQ945" s="23">
        <v>12</v>
      </c>
      <c r="AR945" s="23">
        <v>26</v>
      </c>
      <c r="AS945" s="23">
        <v>77</v>
      </c>
      <c r="AT945" s="23"/>
      <c r="AU945" s="14" t="str">
        <f>HYPERLINK("http://www.openstreetmap.org/?mlat=33.4457&amp;mlon=44.253&amp;zoom=12#map=12/33.4457/44.253","Maplink1")</f>
        <v>Maplink1</v>
      </c>
      <c r="AV945" s="14" t="str">
        <f>HYPERLINK("https://www.google.iq/maps/search/+33.4457,44.253/@33.4457,44.253,14z?hl=en","Maplink2")</f>
        <v>Maplink2</v>
      </c>
      <c r="AW945" s="14" t="str">
        <f>HYPERLINK("http://www.bing.com/maps/?lvl=14&amp;sty=h&amp;cp=33.4457~44.253&amp;sp=point.33.4457_44.253_Al Angaa","Maplink3")</f>
        <v>Maplink3</v>
      </c>
    </row>
    <row r="946" spans="1:49" ht="15" customHeight="1" x14ac:dyDescent="0.25">
      <c r="A946" s="21">
        <v>28401</v>
      </c>
      <c r="B946" s="22" t="s">
        <v>11</v>
      </c>
      <c r="C946" s="22" t="s">
        <v>1865</v>
      </c>
      <c r="D946" s="22" t="s">
        <v>7414</v>
      </c>
      <c r="E946" s="22" t="s">
        <v>1943</v>
      </c>
      <c r="F946" s="22">
        <v>33.403735617199999</v>
      </c>
      <c r="G946" s="22">
        <v>44.3004153483</v>
      </c>
      <c r="H946" s="21"/>
      <c r="I946" s="21"/>
      <c r="J946" s="21"/>
      <c r="K946" s="24">
        <v>170</v>
      </c>
      <c r="L946" s="24">
        <v>1020</v>
      </c>
      <c r="M946" s="23">
        <v>73</v>
      </c>
      <c r="N946" s="23"/>
      <c r="O946" s="23"/>
      <c r="P946" s="23"/>
      <c r="Q946" s="23"/>
      <c r="R946" s="23"/>
      <c r="S946" s="23"/>
      <c r="T946" s="23"/>
      <c r="U946" s="23">
        <v>4</v>
      </c>
      <c r="V946" s="23"/>
      <c r="W946" s="23"/>
      <c r="X946" s="23"/>
      <c r="Y946" s="23">
        <v>17</v>
      </c>
      <c r="Z946" s="23"/>
      <c r="AA946" s="23">
        <v>76</v>
      </c>
      <c r="AB946" s="23"/>
      <c r="AC946" s="23"/>
      <c r="AD946" s="23"/>
      <c r="AE946" s="23"/>
      <c r="AF946" s="23">
        <v>70</v>
      </c>
      <c r="AG946" s="23"/>
      <c r="AH946" s="23"/>
      <c r="AI946" s="23"/>
      <c r="AJ946" s="23"/>
      <c r="AK946" s="23">
        <v>100</v>
      </c>
      <c r="AL946" s="23"/>
      <c r="AM946" s="23"/>
      <c r="AN946" s="23"/>
      <c r="AO946" s="23"/>
      <c r="AP946" s="23">
        <v>27</v>
      </c>
      <c r="AQ946" s="23">
        <v>8</v>
      </c>
      <c r="AR946" s="23">
        <v>64</v>
      </c>
      <c r="AS946" s="23">
        <v>65</v>
      </c>
      <c r="AT946" s="23">
        <v>6</v>
      </c>
      <c r="AU946" s="14" t="str">
        <f>HYPERLINK("http://www.openstreetmap.org/?mlat=33.4457&amp;mlon=44.253&amp;zoom=12#map=12/33.4457/44.253","Maplink1")</f>
        <v>Maplink1</v>
      </c>
      <c r="AV946" s="14" t="str">
        <f>HYPERLINK("https://www.google.iq/maps/search/+33.4457,44.253/@33.4457,44.253,14z?hl=en","Maplink2")</f>
        <v>Maplink2</v>
      </c>
      <c r="AW946" s="14" t="str">
        <f>HYPERLINK("http://www.bing.com/maps/?lvl=14&amp;sty=h&amp;cp=33.4457~44.253&amp;sp=point.33.4457_44.253_Al Angaa","Maplink3")</f>
        <v>Maplink3</v>
      </c>
    </row>
    <row r="947" spans="1:49" ht="15" customHeight="1" x14ac:dyDescent="0.25">
      <c r="A947" s="21">
        <v>25183</v>
      </c>
      <c r="B947" s="22" t="s">
        <v>11</v>
      </c>
      <c r="C947" s="22" t="s">
        <v>1865</v>
      </c>
      <c r="D947" s="22" t="s">
        <v>8494</v>
      </c>
      <c r="E947" s="22" t="s">
        <v>1903</v>
      </c>
      <c r="F947" s="22">
        <v>33.522669999999998</v>
      </c>
      <c r="G947" s="22">
        <v>44.205329999999996</v>
      </c>
      <c r="H947" s="21" t="s">
        <v>1449</v>
      </c>
      <c r="I947" s="21" t="s">
        <v>1872</v>
      </c>
      <c r="J947" s="21"/>
      <c r="K947" s="24">
        <v>75</v>
      </c>
      <c r="L947" s="24">
        <v>450</v>
      </c>
      <c r="M947" s="23">
        <v>75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>
        <v>30</v>
      </c>
      <c r="AG947" s="23"/>
      <c r="AH947" s="23"/>
      <c r="AI947" s="23"/>
      <c r="AJ947" s="23"/>
      <c r="AK947" s="23">
        <v>45</v>
      </c>
      <c r="AL947" s="23"/>
      <c r="AM947" s="23"/>
      <c r="AN947" s="23"/>
      <c r="AO947" s="23"/>
      <c r="AP947" s="23"/>
      <c r="AQ947" s="23">
        <v>30</v>
      </c>
      <c r="AR947" s="23"/>
      <c r="AS947" s="23">
        <v>45</v>
      </c>
      <c r="AT947" s="23"/>
      <c r="AU947" s="14" t="str">
        <f>HYPERLINK("http://www.openstreetmap.org/?mlat=33.5103&amp;mlon=44.2021&amp;zoom=12#map=12/33.5103/44.2021","Maplink1")</f>
        <v>Maplink1</v>
      </c>
      <c r="AV947" s="14" t="str">
        <f>HYPERLINK("https://www.google.iq/maps/search/+33.5103,44.2021/@33.5103,44.2021,14z?hl=en","Maplink2")</f>
        <v>Maplink2</v>
      </c>
      <c r="AW947" s="14" t="str">
        <f>HYPERLINK("http://www.bing.com/maps/?lvl=14&amp;sty=h&amp;cp=33.5103~44.2021&amp;sp=point.33.5103_44.2021_Al Taji Al Jadeed-Rezaige Al Badaa","Maplink3")</f>
        <v>Maplink3</v>
      </c>
    </row>
    <row r="948" spans="1:49" ht="15" customHeight="1" x14ac:dyDescent="0.25">
      <c r="A948" s="21">
        <v>26043</v>
      </c>
      <c r="B948" s="22" t="s">
        <v>11</v>
      </c>
      <c r="C948" s="22" t="s">
        <v>1865</v>
      </c>
      <c r="D948" s="22" t="s">
        <v>1944</v>
      </c>
      <c r="E948" s="22" t="s">
        <v>7775</v>
      </c>
      <c r="F948" s="22">
        <v>33.436736041300001</v>
      </c>
      <c r="G948" s="22">
        <v>44.242720294100003</v>
      </c>
      <c r="H948" s="21" t="s">
        <v>1449</v>
      </c>
      <c r="I948" s="21" t="s">
        <v>1872</v>
      </c>
      <c r="J948" s="21"/>
      <c r="K948" s="24">
        <v>100</v>
      </c>
      <c r="L948" s="24">
        <v>600</v>
      </c>
      <c r="M948" s="23">
        <v>12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>
        <v>30</v>
      </c>
      <c r="Z948" s="23"/>
      <c r="AA948" s="23">
        <v>58</v>
      </c>
      <c r="AB948" s="23"/>
      <c r="AC948" s="23"/>
      <c r="AD948" s="23"/>
      <c r="AE948" s="23"/>
      <c r="AF948" s="23">
        <v>100</v>
      </c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>
        <v>82</v>
      </c>
      <c r="AT948" s="23">
        <v>18</v>
      </c>
      <c r="AU948" s="14" t="str">
        <f>HYPERLINK("http://www.openstreetmap.org/?mlat=33.4454&amp;mlon=44.191&amp;zoom=12#map=12/33.4454/44.191","Maplink1")</f>
        <v>Maplink1</v>
      </c>
      <c r="AV948" s="14" t="str">
        <f>HYPERLINK("https://www.google.iq/maps/search/+33.4454,44.191/@33.4454,44.191,14z?hl=en","Maplink2")</f>
        <v>Maplink2</v>
      </c>
      <c r="AW948" s="14" t="str">
        <f>HYPERLINK("http://www.bing.com/maps/?lvl=14&amp;sty=h&amp;cp=33.4454~44.191&amp;sp=point.33.4454_44.191_Sabea Al Buor (Al Basam)","Maplink3")</f>
        <v>Maplink3</v>
      </c>
    </row>
    <row r="949" spans="1:49" ht="15" customHeight="1" x14ac:dyDescent="0.25">
      <c r="A949" s="21">
        <v>25167</v>
      </c>
      <c r="B949" s="22" t="s">
        <v>11</v>
      </c>
      <c r="C949" s="22" t="s">
        <v>1865</v>
      </c>
      <c r="D949" s="22" t="s">
        <v>8495</v>
      </c>
      <c r="E949" s="22" t="s">
        <v>7776</v>
      </c>
      <c r="F949" s="22">
        <v>33.464363991200003</v>
      </c>
      <c r="G949" s="22">
        <v>44.167395318799997</v>
      </c>
      <c r="H949" s="21" t="s">
        <v>1449</v>
      </c>
      <c r="I949" s="21" t="s">
        <v>1872</v>
      </c>
      <c r="J949" s="21"/>
      <c r="K949" s="24">
        <v>23</v>
      </c>
      <c r="L949" s="24">
        <v>138</v>
      </c>
      <c r="M949" s="23">
        <v>23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>
        <v>16</v>
      </c>
      <c r="AG949" s="23"/>
      <c r="AH949" s="23"/>
      <c r="AI949" s="23"/>
      <c r="AJ949" s="23"/>
      <c r="AK949" s="23">
        <v>7</v>
      </c>
      <c r="AL949" s="23"/>
      <c r="AM949" s="23"/>
      <c r="AN949" s="23"/>
      <c r="AO949" s="23">
        <v>16</v>
      </c>
      <c r="AP949" s="23"/>
      <c r="AQ949" s="23"/>
      <c r="AR949" s="23"/>
      <c r="AS949" s="23">
        <v>7</v>
      </c>
      <c r="AT949" s="23"/>
      <c r="AU949" s="14" t="str">
        <f>HYPERLINK("http://www.openstreetmap.org/?mlat=33.4595&amp;mlon=44.1556&amp;zoom=12#map=12/33.4595/44.1556","Maplink1")</f>
        <v>Maplink1</v>
      </c>
      <c r="AV949" s="14" t="str">
        <f>HYPERLINK("https://www.google.iq/maps/search/+33.4595,44.1556/@33.4595,44.1556,14z?hl=en","Maplink2")</f>
        <v>Maplink2</v>
      </c>
      <c r="AW949" s="14" t="str">
        <f>HYPERLINK("http://www.bing.com/maps/?lvl=14&amp;sty=h&amp;cp=33.4595~44.1556&amp;sp=point.33.4595_44.1556_Sabea Al Buor-11000","Maplink3")</f>
        <v>Maplink3</v>
      </c>
    </row>
    <row r="950" spans="1:49" ht="15" customHeight="1" x14ac:dyDescent="0.25">
      <c r="A950" s="21">
        <v>22541</v>
      </c>
      <c r="B950" s="22" t="s">
        <v>11</v>
      </c>
      <c r="C950" s="22" t="s">
        <v>1865</v>
      </c>
      <c r="D950" s="22" t="s">
        <v>8496</v>
      </c>
      <c r="E950" s="22" t="s">
        <v>8497</v>
      </c>
      <c r="F950" s="22">
        <v>33.474299999999999</v>
      </c>
      <c r="G950" s="22">
        <v>44.241799999999998</v>
      </c>
      <c r="H950" s="21" t="s">
        <v>1449</v>
      </c>
      <c r="I950" s="21" t="s">
        <v>1872</v>
      </c>
      <c r="J950" s="21" t="s">
        <v>1956</v>
      </c>
      <c r="K950" s="24">
        <v>62</v>
      </c>
      <c r="L950" s="24">
        <v>372</v>
      </c>
      <c r="M950" s="23">
        <v>62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>
        <v>14</v>
      </c>
      <c r="AG950" s="23"/>
      <c r="AH950" s="23"/>
      <c r="AI950" s="23"/>
      <c r="AJ950" s="23"/>
      <c r="AK950" s="23">
        <v>48</v>
      </c>
      <c r="AL950" s="23"/>
      <c r="AM950" s="23"/>
      <c r="AN950" s="23"/>
      <c r="AO950" s="23"/>
      <c r="AP950" s="23"/>
      <c r="AQ950" s="23">
        <v>30</v>
      </c>
      <c r="AR950" s="23">
        <v>6</v>
      </c>
      <c r="AS950" s="23">
        <v>23</v>
      </c>
      <c r="AT950" s="23">
        <v>3</v>
      </c>
      <c r="AU950" s="14" t="str">
        <f>HYPERLINK("http://www.openstreetmap.org/?mlat=33.4616&amp;mlon=44.1679&amp;zoom=12#map=12/33.4616/44.1679","Maplink1")</f>
        <v>Maplink1</v>
      </c>
      <c r="AV950" s="14" t="str">
        <f>HYPERLINK("https://www.google.iq/maps/search/+33.4616,44.1679/@33.4616,44.1679,14z?hl=en","Maplink2")</f>
        <v>Maplink2</v>
      </c>
      <c r="AW950" s="14" t="str">
        <f>HYPERLINK("http://www.bing.com/maps/?lvl=14&amp;sty=h&amp;cp=33.4616~44.1679&amp;sp=point.33.4616_44.1679_Sabi Al Bur-12000","Maplink3")</f>
        <v>Maplink3</v>
      </c>
    </row>
    <row r="951" spans="1:49" ht="15" customHeight="1" x14ac:dyDescent="0.25">
      <c r="A951" s="21">
        <v>25160</v>
      </c>
      <c r="B951" s="22" t="s">
        <v>11</v>
      </c>
      <c r="C951" s="22" t="s">
        <v>1865</v>
      </c>
      <c r="D951" s="22" t="s">
        <v>8498</v>
      </c>
      <c r="E951" s="22" t="s">
        <v>7777</v>
      </c>
      <c r="F951" s="22">
        <v>33.491100000000003</v>
      </c>
      <c r="G951" s="22">
        <v>44.201700000000002</v>
      </c>
      <c r="H951" s="21" t="s">
        <v>1449</v>
      </c>
      <c r="I951" s="21" t="s">
        <v>1872</v>
      </c>
      <c r="J951" s="21"/>
      <c r="K951" s="24">
        <v>22</v>
      </c>
      <c r="L951" s="24">
        <v>132</v>
      </c>
      <c r="M951" s="23">
        <v>22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>
        <v>2</v>
      </c>
      <c r="AG951" s="23"/>
      <c r="AH951" s="23"/>
      <c r="AI951" s="23"/>
      <c r="AJ951" s="23"/>
      <c r="AK951" s="23">
        <v>20</v>
      </c>
      <c r="AL951" s="23"/>
      <c r="AM951" s="23"/>
      <c r="AN951" s="23"/>
      <c r="AO951" s="23"/>
      <c r="AP951" s="23"/>
      <c r="AQ951" s="23">
        <v>10</v>
      </c>
      <c r="AR951" s="23">
        <v>12</v>
      </c>
      <c r="AS951" s="23"/>
      <c r="AT951" s="23"/>
      <c r="AU951" s="14" t="str">
        <f>HYPERLINK("http://www.openstreetmap.org/?mlat=33.4595&amp;mlon=44.1556&amp;zoom=12#map=12/33.4595/44.1556","Maplink1")</f>
        <v>Maplink1</v>
      </c>
      <c r="AV951" s="14" t="str">
        <f>HYPERLINK("https://www.google.iq/maps/search/+33.4595,44.1556/@33.4595,44.1556,14z?hl=en","Maplink2")</f>
        <v>Maplink2</v>
      </c>
      <c r="AW951" s="14" t="str">
        <f>HYPERLINK("http://www.bing.com/maps/?lvl=14&amp;sty=h&amp;cp=33.4595~44.1556&amp;sp=point.33.4595_44.1556_Sabea Al Buor-3000","Maplink3")</f>
        <v>Maplink3</v>
      </c>
    </row>
    <row r="952" spans="1:49" ht="15" customHeight="1" x14ac:dyDescent="0.25">
      <c r="A952" s="21">
        <v>25163</v>
      </c>
      <c r="B952" s="22" t="s">
        <v>11</v>
      </c>
      <c r="C952" s="22" t="s">
        <v>1865</v>
      </c>
      <c r="D952" s="22" t="s">
        <v>8499</v>
      </c>
      <c r="E952" s="22" t="s">
        <v>7778</v>
      </c>
      <c r="F952" s="22">
        <v>33.450786260400001</v>
      </c>
      <c r="G952" s="22">
        <v>44.150446758699999</v>
      </c>
      <c r="H952" s="21" t="s">
        <v>1449</v>
      </c>
      <c r="I952" s="21" t="s">
        <v>1872</v>
      </c>
      <c r="J952" s="21"/>
      <c r="K952" s="24">
        <v>23</v>
      </c>
      <c r="L952" s="24">
        <v>138</v>
      </c>
      <c r="M952" s="23">
        <v>23</v>
      </c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>
        <v>23</v>
      </c>
      <c r="AL952" s="23"/>
      <c r="AM952" s="23"/>
      <c r="AN952" s="23"/>
      <c r="AO952" s="23">
        <v>18</v>
      </c>
      <c r="AP952" s="23"/>
      <c r="AQ952" s="23"/>
      <c r="AR952" s="23"/>
      <c r="AS952" s="23">
        <v>5</v>
      </c>
      <c r="AT952" s="23"/>
      <c r="AU952" s="14" t="str">
        <f>HYPERLINK("http://www.openstreetmap.org/?mlat=33.4594&amp;mlon=44.1556&amp;zoom=12#map=12/33.4594/44.1556","Maplink1")</f>
        <v>Maplink1</v>
      </c>
      <c r="AV952" s="14" t="str">
        <f>HYPERLINK("https://www.google.iq/maps/search/+33.4594,44.1556/@33.4594,44.1556,14z?hl=en","Maplink2")</f>
        <v>Maplink2</v>
      </c>
      <c r="AW952" s="14" t="str">
        <f>HYPERLINK("http://www.bing.com/maps/?lvl=14&amp;sty=h&amp;cp=33.4594~44.1556&amp;sp=point.33.4594_44.1556_Sabea Al Buor-7000","Maplink3")</f>
        <v>Maplink3</v>
      </c>
    </row>
    <row r="953" spans="1:49" ht="15" customHeight="1" x14ac:dyDescent="0.25">
      <c r="A953" s="21">
        <v>25165</v>
      </c>
      <c r="B953" s="22" t="s">
        <v>11</v>
      </c>
      <c r="C953" s="22" t="s">
        <v>1865</v>
      </c>
      <c r="D953" s="22" t="s">
        <v>8500</v>
      </c>
      <c r="E953" s="22" t="s">
        <v>7779</v>
      </c>
      <c r="F953" s="22">
        <v>33.480699999999999</v>
      </c>
      <c r="G953" s="22">
        <v>44.2622</v>
      </c>
      <c r="H953" s="21" t="s">
        <v>1449</v>
      </c>
      <c r="I953" s="21" t="s">
        <v>1872</v>
      </c>
      <c r="J953" s="21"/>
      <c r="K953" s="24">
        <v>41</v>
      </c>
      <c r="L953" s="24">
        <v>246</v>
      </c>
      <c r="M953" s="23">
        <v>41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>
        <v>17</v>
      </c>
      <c r="AG953" s="23"/>
      <c r="AH953" s="23"/>
      <c r="AI953" s="23"/>
      <c r="AJ953" s="23"/>
      <c r="AK953" s="23">
        <v>24</v>
      </c>
      <c r="AL953" s="23"/>
      <c r="AM953" s="23"/>
      <c r="AN953" s="23"/>
      <c r="AO953" s="23"/>
      <c r="AP953" s="23"/>
      <c r="AQ953" s="23"/>
      <c r="AR953" s="23">
        <v>13</v>
      </c>
      <c r="AS953" s="23">
        <v>28</v>
      </c>
      <c r="AT953" s="23"/>
      <c r="AU953" s="14" t="str">
        <f>HYPERLINK("http://www.openstreetmap.org/?mlat=33.4595&amp;mlon=44.1556&amp;zoom=12#map=12/33.4595/44.1556","Maplink1")</f>
        <v>Maplink1</v>
      </c>
      <c r="AV953" s="14" t="str">
        <f>HYPERLINK("https://www.google.iq/maps/search/+33.4595,44.1556/@33.4595,44.1556,14z?hl=en","Maplink2")</f>
        <v>Maplink2</v>
      </c>
      <c r="AW953" s="14" t="str">
        <f>HYPERLINK("http://www.bing.com/maps/?lvl=14&amp;sty=h&amp;cp=33.4595~44.1556&amp;sp=point.33.4595_44.1556_Sabea Al Buor-9000","Maplink3")</f>
        <v>Maplink3</v>
      </c>
    </row>
    <row r="954" spans="1:49" ht="15" customHeight="1" x14ac:dyDescent="0.25">
      <c r="A954" s="21">
        <v>25158</v>
      </c>
      <c r="B954" s="22" t="s">
        <v>11</v>
      </c>
      <c r="C954" s="22" t="s">
        <v>1865</v>
      </c>
      <c r="D954" s="22" t="s">
        <v>1945</v>
      </c>
      <c r="E954" s="22" t="s">
        <v>8501</v>
      </c>
      <c r="F954" s="22">
        <v>33.4690563602</v>
      </c>
      <c r="G954" s="22">
        <v>44.153729896900003</v>
      </c>
      <c r="H954" s="21" t="s">
        <v>1449</v>
      </c>
      <c r="I954" s="21" t="s">
        <v>1872</v>
      </c>
      <c r="J954" s="21"/>
      <c r="K954" s="24">
        <v>18</v>
      </c>
      <c r="L954" s="24">
        <v>108</v>
      </c>
      <c r="M954" s="23">
        <v>18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>
        <v>18</v>
      </c>
      <c r="AL954" s="23"/>
      <c r="AM954" s="23"/>
      <c r="AN954" s="23"/>
      <c r="AO954" s="23">
        <v>12</v>
      </c>
      <c r="AP954" s="23"/>
      <c r="AQ954" s="23"/>
      <c r="AR954" s="23"/>
      <c r="AS954" s="23">
        <v>6</v>
      </c>
      <c r="AT954" s="23"/>
      <c r="AU954" s="14" t="str">
        <f>HYPERLINK("http://www.openstreetmap.org/?mlat=33.4595&amp;mlon=44.1556&amp;zoom=12#map=12/33.4595/44.1556","Maplink1")</f>
        <v>Maplink1</v>
      </c>
      <c r="AV954" s="14" t="str">
        <f>HYPERLINK("https://www.google.iq/maps/search/+33.4595,44.1556/@33.4595,44.1556,14z?hl=en","Maplink2")</f>
        <v>Maplink2</v>
      </c>
      <c r="AW954" s="14" t="str">
        <f>HYPERLINK("http://www.bing.com/maps/?lvl=14&amp;sty=h&amp;cp=33.4595~44.1556&amp;sp=point.33.4595_44.1556_Sabea Al Buor-1000","Maplink3")</f>
        <v>Maplink3</v>
      </c>
    </row>
    <row r="955" spans="1:49" ht="15" customHeight="1" x14ac:dyDescent="0.25">
      <c r="A955" s="21">
        <v>22611</v>
      </c>
      <c r="B955" s="22" t="s">
        <v>11</v>
      </c>
      <c r="C955" s="22" t="s">
        <v>1865</v>
      </c>
      <c r="D955" s="22" t="s">
        <v>8502</v>
      </c>
      <c r="E955" s="22" t="s">
        <v>8503</v>
      </c>
      <c r="F955" s="22">
        <v>33.460302046499997</v>
      </c>
      <c r="G955" s="22">
        <v>44.166876889000001</v>
      </c>
      <c r="H955" s="21" t="s">
        <v>1449</v>
      </c>
      <c r="I955" s="21" t="s">
        <v>1872</v>
      </c>
      <c r="J955" s="21" t="s">
        <v>1955</v>
      </c>
      <c r="K955" s="24">
        <v>95</v>
      </c>
      <c r="L955" s="24">
        <v>570</v>
      </c>
      <c r="M955" s="23">
        <v>75</v>
      </c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>
        <v>20</v>
      </c>
      <c r="AB955" s="23"/>
      <c r="AC955" s="23"/>
      <c r="AD955" s="23"/>
      <c r="AE955" s="23"/>
      <c r="AF955" s="23">
        <v>20</v>
      </c>
      <c r="AG955" s="23"/>
      <c r="AH955" s="23"/>
      <c r="AI955" s="23"/>
      <c r="AJ955" s="23"/>
      <c r="AK955" s="23">
        <v>75</v>
      </c>
      <c r="AL955" s="23"/>
      <c r="AM955" s="23"/>
      <c r="AN955" s="23"/>
      <c r="AO955" s="23"/>
      <c r="AP955" s="23">
        <v>13</v>
      </c>
      <c r="AQ955" s="23"/>
      <c r="AR955" s="23"/>
      <c r="AS955" s="23">
        <v>57</v>
      </c>
      <c r="AT955" s="23">
        <v>25</v>
      </c>
      <c r="AU955" s="14" t="str">
        <f>HYPERLINK("http://www.openstreetmap.org/?mlat=33.463&amp;mlon=44.163&amp;zoom=12#map=12/33.463/44.163","Maplink1")</f>
        <v>Maplink1</v>
      </c>
      <c r="AV955" s="14" t="str">
        <f>HYPERLINK("https://www.google.iq/maps/search/+33.463,44.163/@33.463,44.163,14z?hl=en","Maplink2")</f>
        <v>Maplink2</v>
      </c>
      <c r="AW955" s="14" t="str">
        <f>HYPERLINK("http://www.bing.com/maps/?lvl=14&amp;sty=h&amp;cp=33.463~44.163&amp;sp=point.33.463_44.163_Sabi Al Bur (13000)","Maplink3")</f>
        <v>Maplink3</v>
      </c>
    </row>
    <row r="956" spans="1:49" ht="15" customHeight="1" x14ac:dyDescent="0.25">
      <c r="A956" s="21">
        <v>25168</v>
      </c>
      <c r="B956" s="22" t="s">
        <v>11</v>
      </c>
      <c r="C956" s="22" t="s">
        <v>1865</v>
      </c>
      <c r="D956" s="22" t="s">
        <v>1946</v>
      </c>
      <c r="E956" s="22" t="s">
        <v>7780</v>
      </c>
      <c r="F956" s="22">
        <v>33.466989301600002</v>
      </c>
      <c r="G956" s="22">
        <v>44.170490136600002</v>
      </c>
      <c r="H956" s="21" t="s">
        <v>1449</v>
      </c>
      <c r="I956" s="21" t="s">
        <v>1872</v>
      </c>
      <c r="J956" s="21"/>
      <c r="K956" s="24">
        <v>87</v>
      </c>
      <c r="L956" s="24">
        <v>522</v>
      </c>
      <c r="M956" s="23">
        <v>80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>
        <v>7</v>
      </c>
      <c r="AB956" s="23"/>
      <c r="AC956" s="23"/>
      <c r="AD956" s="23"/>
      <c r="AE956" s="23"/>
      <c r="AF956" s="23">
        <v>22</v>
      </c>
      <c r="AG956" s="23"/>
      <c r="AH956" s="23"/>
      <c r="AI956" s="23"/>
      <c r="AJ956" s="23"/>
      <c r="AK956" s="23">
        <v>65</v>
      </c>
      <c r="AL956" s="23"/>
      <c r="AM956" s="23"/>
      <c r="AN956" s="23"/>
      <c r="AO956" s="23"/>
      <c r="AP956" s="23"/>
      <c r="AQ956" s="23"/>
      <c r="AR956" s="23">
        <v>53</v>
      </c>
      <c r="AS956" s="23">
        <v>22</v>
      </c>
      <c r="AT956" s="23">
        <v>12</v>
      </c>
      <c r="AU956" s="14" t="str">
        <f t="shared" ref="AU956:AU962" si="2">HYPERLINK("http://www.openstreetmap.org/?mlat=33.4595&amp;mlon=44.1556&amp;zoom=12#map=12/33.4595/44.1556","Maplink1")</f>
        <v>Maplink1</v>
      </c>
      <c r="AV956" s="14" t="str">
        <f t="shared" ref="AV956:AV962" si="3">HYPERLINK("https://www.google.iq/maps/search/+33.4595,44.1556/@33.4595,44.1556,14z?hl=en","Maplink2")</f>
        <v>Maplink2</v>
      </c>
      <c r="AW956" s="14" t="str">
        <f>HYPERLINK("http://www.bing.com/maps/?lvl=14&amp;sty=h&amp;cp=33.4595~44.1556&amp;sp=point.33.4595_44.1556_Sabea Al Buor-14000","Maplink3")</f>
        <v>Maplink3</v>
      </c>
    </row>
    <row r="957" spans="1:49" ht="15" customHeight="1" x14ac:dyDescent="0.25">
      <c r="A957" s="21">
        <v>25169</v>
      </c>
      <c r="B957" s="22" t="s">
        <v>11</v>
      </c>
      <c r="C957" s="22" t="s">
        <v>1865</v>
      </c>
      <c r="D957" s="22" t="s">
        <v>1947</v>
      </c>
      <c r="E957" s="22" t="s">
        <v>1948</v>
      </c>
      <c r="F957" s="22">
        <v>33.469581998499997</v>
      </c>
      <c r="G957" s="22">
        <v>44.1665814435</v>
      </c>
      <c r="H957" s="21" t="s">
        <v>1449</v>
      </c>
      <c r="I957" s="21" t="s">
        <v>1872</v>
      </c>
      <c r="J957" s="21"/>
      <c r="K957" s="24">
        <v>24</v>
      </c>
      <c r="L957" s="24">
        <v>144</v>
      </c>
      <c r="M957" s="23">
        <v>24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>
        <v>4</v>
      </c>
      <c r="AG957" s="23"/>
      <c r="AH957" s="23"/>
      <c r="AI957" s="23"/>
      <c r="AJ957" s="23"/>
      <c r="AK957" s="23">
        <v>20</v>
      </c>
      <c r="AL957" s="23"/>
      <c r="AM957" s="23"/>
      <c r="AN957" s="23"/>
      <c r="AO957" s="23"/>
      <c r="AP957" s="23"/>
      <c r="AQ957" s="23"/>
      <c r="AR957" s="23"/>
      <c r="AS957" s="23">
        <v>24</v>
      </c>
      <c r="AT957" s="23"/>
      <c r="AU957" s="14" t="str">
        <f t="shared" si="2"/>
        <v>Maplink1</v>
      </c>
      <c r="AV957" s="14" t="str">
        <f t="shared" si="3"/>
        <v>Maplink2</v>
      </c>
      <c r="AW957" s="14" t="str">
        <f>HYPERLINK("http://www.bing.com/maps/?lvl=14&amp;sty=h&amp;cp=33.4595~44.1556&amp;sp=point.33.4595_44.1556_Sabea Al Buor-15000","Maplink3")</f>
        <v>Maplink3</v>
      </c>
    </row>
    <row r="958" spans="1:49" ht="15" customHeight="1" x14ac:dyDescent="0.25">
      <c r="A958" s="21">
        <v>25326</v>
      </c>
      <c r="B958" s="22" t="s">
        <v>11</v>
      </c>
      <c r="C958" s="22" t="s">
        <v>1865</v>
      </c>
      <c r="D958" s="22" t="s">
        <v>1949</v>
      </c>
      <c r="E958" s="22" t="s">
        <v>7781</v>
      </c>
      <c r="F958" s="22">
        <v>33.461878776200003</v>
      </c>
      <c r="G958" s="22">
        <v>44.1718839961</v>
      </c>
      <c r="H958" s="21" t="s">
        <v>1449</v>
      </c>
      <c r="I958" s="21" t="s">
        <v>1872</v>
      </c>
      <c r="J958" s="21"/>
      <c r="K958" s="24">
        <v>16</v>
      </c>
      <c r="L958" s="24">
        <v>96</v>
      </c>
      <c r="M958" s="23">
        <v>16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>
        <v>12</v>
      </c>
      <c r="AG958" s="23"/>
      <c r="AH958" s="23"/>
      <c r="AI958" s="23"/>
      <c r="AJ958" s="23"/>
      <c r="AK958" s="23">
        <v>4</v>
      </c>
      <c r="AL958" s="23"/>
      <c r="AM958" s="23"/>
      <c r="AN958" s="23"/>
      <c r="AO958" s="23"/>
      <c r="AP958" s="23"/>
      <c r="AQ958" s="23"/>
      <c r="AR958" s="23"/>
      <c r="AS958" s="23">
        <v>16</v>
      </c>
      <c r="AT958" s="23"/>
      <c r="AU958" s="14" t="str">
        <f t="shared" si="2"/>
        <v>Maplink1</v>
      </c>
      <c r="AV958" s="14" t="str">
        <f t="shared" si="3"/>
        <v>Maplink2</v>
      </c>
      <c r="AW958" s="14" t="str">
        <f>HYPERLINK("http://www.bing.com/maps/?lvl=14&amp;sty=h&amp;cp=33.4595~44.1556&amp;sp=point.33.4595_44.1556_Sabea Al Buor-16000","Maplink3")</f>
        <v>Maplink3</v>
      </c>
    </row>
    <row r="959" spans="1:49" ht="15" customHeight="1" x14ac:dyDescent="0.25">
      <c r="A959" s="21">
        <v>25159</v>
      </c>
      <c r="B959" s="22" t="s">
        <v>11</v>
      </c>
      <c r="C959" s="22" t="s">
        <v>1865</v>
      </c>
      <c r="D959" s="22" t="s">
        <v>1950</v>
      </c>
      <c r="E959" s="22" t="s">
        <v>7782</v>
      </c>
      <c r="F959" s="22">
        <v>33.470561153399998</v>
      </c>
      <c r="G959" s="22">
        <v>44.147758328899997</v>
      </c>
      <c r="H959" s="21" t="s">
        <v>1449</v>
      </c>
      <c r="I959" s="21" t="s">
        <v>1872</v>
      </c>
      <c r="J959" s="21"/>
      <c r="K959" s="24">
        <v>22</v>
      </c>
      <c r="L959" s="24">
        <v>132</v>
      </c>
      <c r="M959" s="23">
        <v>12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>
        <v>10</v>
      </c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>
        <v>22</v>
      </c>
      <c r="AL959" s="23"/>
      <c r="AM959" s="23"/>
      <c r="AN959" s="23"/>
      <c r="AO959" s="23"/>
      <c r="AP959" s="23">
        <v>22</v>
      </c>
      <c r="AQ959" s="23"/>
      <c r="AR959" s="23"/>
      <c r="AS959" s="23"/>
      <c r="AT959" s="23"/>
      <c r="AU959" s="14" t="str">
        <f t="shared" si="2"/>
        <v>Maplink1</v>
      </c>
      <c r="AV959" s="14" t="str">
        <f t="shared" si="3"/>
        <v>Maplink2</v>
      </c>
      <c r="AW959" s="14" t="str">
        <f>HYPERLINK("http://www.bing.com/maps/?lvl=14&amp;sty=h&amp;cp=33.4595~44.1556&amp;sp=point.33.4595_44.1556_Sabea Al Buor-2000","Maplink3")</f>
        <v>Maplink3</v>
      </c>
    </row>
    <row r="960" spans="1:49" ht="15" customHeight="1" x14ac:dyDescent="0.25">
      <c r="A960" s="21">
        <v>23329</v>
      </c>
      <c r="B960" s="22" t="s">
        <v>11</v>
      </c>
      <c r="C960" s="22" t="s">
        <v>1865</v>
      </c>
      <c r="D960" s="22" t="s">
        <v>1951</v>
      </c>
      <c r="E960" s="22" t="s">
        <v>7783</v>
      </c>
      <c r="F960" s="22">
        <v>33.471301658199998</v>
      </c>
      <c r="G960" s="22">
        <v>44.147623751399998</v>
      </c>
      <c r="H960" s="21" t="s">
        <v>1449</v>
      </c>
      <c r="I960" s="21" t="s">
        <v>1872</v>
      </c>
      <c r="J960" s="21" t="s">
        <v>1952</v>
      </c>
      <c r="K960" s="24">
        <v>38</v>
      </c>
      <c r="L960" s="24">
        <v>228</v>
      </c>
      <c r="M960" s="23">
        <v>31</v>
      </c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>
        <v>7</v>
      </c>
      <c r="AB960" s="23"/>
      <c r="AC960" s="23"/>
      <c r="AD960" s="23"/>
      <c r="AE960" s="23"/>
      <c r="AF960" s="23">
        <v>30</v>
      </c>
      <c r="AG960" s="23"/>
      <c r="AH960" s="23"/>
      <c r="AI960" s="23"/>
      <c r="AJ960" s="23"/>
      <c r="AK960" s="23">
        <v>8</v>
      </c>
      <c r="AL960" s="23"/>
      <c r="AM960" s="23"/>
      <c r="AN960" s="23"/>
      <c r="AO960" s="23"/>
      <c r="AP960" s="23"/>
      <c r="AQ960" s="23"/>
      <c r="AR960" s="23">
        <v>7</v>
      </c>
      <c r="AS960" s="23">
        <v>23</v>
      </c>
      <c r="AT960" s="23">
        <v>8</v>
      </c>
      <c r="AU960" s="14" t="str">
        <f t="shared" si="2"/>
        <v>Maplink1</v>
      </c>
      <c r="AV960" s="14" t="str">
        <f t="shared" si="3"/>
        <v>Maplink2</v>
      </c>
      <c r="AW960" s="14" t="str">
        <f>HYPERLINK("http://www.bing.com/maps/?lvl=14&amp;sty=h&amp;cp=33.4595~44.1556&amp;sp=point.33.4595_44.1556_Sabea Al Buor-5000","Maplink3")</f>
        <v>Maplink3</v>
      </c>
    </row>
    <row r="961" spans="1:49" ht="15" customHeight="1" x14ac:dyDescent="0.25">
      <c r="A961" s="21">
        <v>25162</v>
      </c>
      <c r="B961" s="22" t="s">
        <v>11</v>
      </c>
      <c r="C961" s="22" t="s">
        <v>1865</v>
      </c>
      <c r="D961" s="22" t="s">
        <v>1953</v>
      </c>
      <c r="E961" s="22" t="s">
        <v>7784</v>
      </c>
      <c r="F961" s="22">
        <v>33.459637315099997</v>
      </c>
      <c r="G961" s="22">
        <v>44.1528633673</v>
      </c>
      <c r="H961" s="21" t="s">
        <v>1449</v>
      </c>
      <c r="I961" s="21" t="s">
        <v>1872</v>
      </c>
      <c r="J961" s="21"/>
      <c r="K961" s="24">
        <v>24</v>
      </c>
      <c r="L961" s="24">
        <v>144</v>
      </c>
      <c r="M961" s="23">
        <v>18</v>
      </c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>
        <v>6</v>
      </c>
      <c r="AB961" s="23"/>
      <c r="AC961" s="23"/>
      <c r="AD961" s="23"/>
      <c r="AE961" s="23"/>
      <c r="AF961" s="23">
        <v>4</v>
      </c>
      <c r="AG961" s="23"/>
      <c r="AH961" s="23"/>
      <c r="AI961" s="23"/>
      <c r="AJ961" s="23"/>
      <c r="AK961" s="23">
        <v>20</v>
      </c>
      <c r="AL961" s="23"/>
      <c r="AM961" s="23"/>
      <c r="AN961" s="23"/>
      <c r="AO961" s="23"/>
      <c r="AP961" s="23"/>
      <c r="AQ961" s="23"/>
      <c r="AR961" s="23">
        <v>15</v>
      </c>
      <c r="AS961" s="23">
        <v>9</v>
      </c>
      <c r="AT961" s="23"/>
      <c r="AU961" s="14" t="str">
        <f t="shared" si="2"/>
        <v>Maplink1</v>
      </c>
      <c r="AV961" s="14" t="str">
        <f t="shared" si="3"/>
        <v>Maplink2</v>
      </c>
      <c r="AW961" s="14" t="str">
        <f>HYPERLINK("http://www.bing.com/maps/?lvl=14&amp;sty=h&amp;cp=33.4595~44.1556&amp;sp=point.33.4595_44.1556_Sabea Al Buor-6000","Maplink3")</f>
        <v>Maplink3</v>
      </c>
    </row>
    <row r="962" spans="1:49" ht="15" customHeight="1" x14ac:dyDescent="0.25">
      <c r="A962" s="21">
        <v>25164</v>
      </c>
      <c r="B962" s="22" t="s">
        <v>11</v>
      </c>
      <c r="C962" s="22" t="s">
        <v>1865</v>
      </c>
      <c r="D962" s="22" t="s">
        <v>1954</v>
      </c>
      <c r="E962" s="22" t="s">
        <v>7785</v>
      </c>
      <c r="F962" s="22">
        <v>33.468910000000001</v>
      </c>
      <c r="G962" s="22">
        <v>44.226880000000001</v>
      </c>
      <c r="H962" s="21" t="s">
        <v>1449</v>
      </c>
      <c r="I962" s="21" t="s">
        <v>1872</v>
      </c>
      <c r="J962" s="21"/>
      <c r="K962" s="24">
        <v>24</v>
      </c>
      <c r="L962" s="24">
        <v>144</v>
      </c>
      <c r="M962" s="23">
        <v>14</v>
      </c>
      <c r="N962" s="23"/>
      <c r="O962" s="23"/>
      <c r="P962" s="23"/>
      <c r="Q962" s="23"/>
      <c r="R962" s="23">
        <v>10</v>
      </c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>
        <v>24</v>
      </c>
      <c r="AL962" s="23"/>
      <c r="AM962" s="23"/>
      <c r="AN962" s="23"/>
      <c r="AO962" s="23"/>
      <c r="AP962" s="23"/>
      <c r="AQ962" s="23">
        <v>18</v>
      </c>
      <c r="AR962" s="23"/>
      <c r="AS962" s="23">
        <v>6</v>
      </c>
      <c r="AT962" s="23"/>
      <c r="AU962" s="14" t="str">
        <f t="shared" si="2"/>
        <v>Maplink1</v>
      </c>
      <c r="AV962" s="14" t="str">
        <f t="shared" si="3"/>
        <v>Maplink2</v>
      </c>
      <c r="AW962" s="14" t="str">
        <f>HYPERLINK("http://www.bing.com/maps/?lvl=14&amp;sty=h&amp;cp=33.4595~44.1556&amp;sp=point.33.4595_44.1556_Sabea Al Buor-8000","Maplink3")</f>
        <v>Maplink3</v>
      </c>
    </row>
    <row r="963" spans="1:49" ht="15" customHeight="1" x14ac:dyDescent="0.25">
      <c r="A963" s="21">
        <v>29501</v>
      </c>
      <c r="B963" s="22" t="s">
        <v>11</v>
      </c>
      <c r="C963" s="22" t="s">
        <v>1865</v>
      </c>
      <c r="D963" s="22" t="s">
        <v>7415</v>
      </c>
      <c r="E963" s="22" t="s">
        <v>7786</v>
      </c>
      <c r="F963" s="22">
        <v>33.467309999999998</v>
      </c>
      <c r="G963" s="22">
        <v>44.10257</v>
      </c>
      <c r="H963" s="21" t="s">
        <v>1449</v>
      </c>
      <c r="I963" s="21" t="s">
        <v>1872</v>
      </c>
      <c r="J963" s="21"/>
      <c r="K963" s="24">
        <v>35</v>
      </c>
      <c r="L963" s="24">
        <v>210</v>
      </c>
      <c r="M963" s="23">
        <v>35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>
        <v>10</v>
      </c>
      <c r="AG963" s="23"/>
      <c r="AH963" s="23"/>
      <c r="AI963" s="23"/>
      <c r="AJ963" s="23"/>
      <c r="AK963" s="23">
        <v>25</v>
      </c>
      <c r="AL963" s="23"/>
      <c r="AM963" s="23"/>
      <c r="AN963" s="23"/>
      <c r="AO963" s="23"/>
      <c r="AP963" s="23"/>
      <c r="AQ963" s="23"/>
      <c r="AR963" s="23"/>
      <c r="AS963" s="23">
        <v>35</v>
      </c>
      <c r="AT963" s="23"/>
      <c r="AU963" s="14" t="str">
        <f>HYPERLINK("http://www.openstreetmap.org/?mlat=33.4702&amp;mlon=44.1545&amp;zoom=12#map=12/33.4702/44.1545","Maplink1")</f>
        <v>Maplink1</v>
      </c>
      <c r="AV963" s="14" t="str">
        <f>HYPERLINK("https://www.google.iq/maps/search/+33.4702,44.1545/@33.4702,44.1545,14z?hl=en","Maplink2")</f>
        <v>Maplink2</v>
      </c>
      <c r="AW963" s="14" t="str">
        <f>HYPERLINK("http://www.bing.com/maps/?lvl=14&amp;sty=h&amp;cp=33.4702~44.1545&amp;sp=point.33.4702_44.1545","Maplink3")</f>
        <v>Maplink3</v>
      </c>
    </row>
    <row r="964" spans="1:49" ht="15" customHeight="1" x14ac:dyDescent="0.25">
      <c r="A964" s="21">
        <v>29500</v>
      </c>
      <c r="B964" s="22" t="s">
        <v>11</v>
      </c>
      <c r="C964" s="22" t="s">
        <v>1865</v>
      </c>
      <c r="D964" s="22" t="s">
        <v>7416</v>
      </c>
      <c r="E964" s="22" t="s">
        <v>7787</v>
      </c>
      <c r="F964" s="22">
        <v>33.46519</v>
      </c>
      <c r="G964" s="22">
        <v>44.129809999999999</v>
      </c>
      <c r="H964" s="21" t="s">
        <v>1449</v>
      </c>
      <c r="I964" s="21" t="s">
        <v>1872</v>
      </c>
      <c r="J964" s="21"/>
      <c r="K964" s="24">
        <v>25</v>
      </c>
      <c r="L964" s="24">
        <v>150</v>
      </c>
      <c r="M964" s="23">
        <v>25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>
        <v>25</v>
      </c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>
        <v>25</v>
      </c>
      <c r="AT964" s="23"/>
      <c r="AU964" s="14" t="str">
        <f>HYPERLINK("http://www.openstreetmap.org/?mlat=33.4656&amp;mlon=44.1554&amp;zoom=12#map=12/33.4656/44.1554","Maplink1")</f>
        <v>Maplink1</v>
      </c>
      <c r="AV964" s="14" t="str">
        <f>HYPERLINK("https://www.google.iq/maps/search/+33.4656,44.1554/@33.4656,44.1554,14z?hl=en","Maplink2")</f>
        <v>Maplink2</v>
      </c>
      <c r="AW964" s="14" t="str">
        <f>HYPERLINK("http://www.bing.com/maps/?lvl=14&amp;sty=h&amp;cp=33.4656~44.1554&amp;sp=point.33.4656_44.1554","Maplink3")</f>
        <v>Maplink3</v>
      </c>
    </row>
    <row r="965" spans="1:49" ht="15" customHeight="1" x14ac:dyDescent="0.25">
      <c r="A965" s="21">
        <v>25171</v>
      </c>
      <c r="B965" s="22" t="s">
        <v>11</v>
      </c>
      <c r="C965" s="22" t="s">
        <v>1865</v>
      </c>
      <c r="D965" s="22" t="s">
        <v>1957</v>
      </c>
      <c r="E965" s="22" t="s">
        <v>1958</v>
      </c>
      <c r="F965" s="22">
        <v>33.456551946700003</v>
      </c>
      <c r="G965" s="22">
        <v>44.245207286099998</v>
      </c>
      <c r="H965" s="21" t="s">
        <v>1449</v>
      </c>
      <c r="I965" s="21" t="s">
        <v>1872</v>
      </c>
      <c r="J965" s="21"/>
      <c r="K965" s="24">
        <v>16</v>
      </c>
      <c r="L965" s="24">
        <v>96</v>
      </c>
      <c r="M965" s="23">
        <v>13</v>
      </c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>
        <v>3</v>
      </c>
      <c r="AB965" s="23"/>
      <c r="AC965" s="23"/>
      <c r="AD965" s="23"/>
      <c r="AE965" s="23"/>
      <c r="AF965" s="23">
        <v>10</v>
      </c>
      <c r="AG965" s="23"/>
      <c r="AH965" s="23"/>
      <c r="AI965" s="23"/>
      <c r="AJ965" s="23"/>
      <c r="AK965" s="23">
        <v>6</v>
      </c>
      <c r="AL965" s="23"/>
      <c r="AM965" s="23"/>
      <c r="AN965" s="23"/>
      <c r="AO965" s="23">
        <v>4</v>
      </c>
      <c r="AP965" s="23">
        <v>2</v>
      </c>
      <c r="AQ965" s="23"/>
      <c r="AR965" s="23">
        <v>6</v>
      </c>
      <c r="AS965" s="23">
        <v>4</v>
      </c>
      <c r="AT965" s="23"/>
      <c r="AU965" s="14" t="str">
        <f>HYPERLINK("http://www.openstreetmap.org/?mlat=33.4763&amp;mlon=44.2414&amp;zoom=12#map=12/33.4763/44.2414","Maplink1")</f>
        <v>Maplink1</v>
      </c>
      <c r="AV965" s="14" t="str">
        <f>HYPERLINK("https://www.google.iq/maps/search/+33.4763,44.2414/@33.4763,44.2414,14z?hl=en","Maplink2")</f>
        <v>Maplink2</v>
      </c>
      <c r="AW965" s="14" t="str">
        <f>HYPERLINK("http://www.bing.com/maps/?lvl=14&amp;sty=h&amp;cp=33.4763~44.2414&amp;sp=point.33.4763_44.2414_Said Jasim Village","Maplink3")</f>
        <v>Maplink3</v>
      </c>
    </row>
    <row r="966" spans="1:49" ht="15" customHeight="1" x14ac:dyDescent="0.25">
      <c r="A966" s="21">
        <v>23579</v>
      </c>
      <c r="B966" s="22" t="s">
        <v>11</v>
      </c>
      <c r="C966" s="22" t="s">
        <v>1865</v>
      </c>
      <c r="D966" s="22" t="s">
        <v>1959</v>
      </c>
      <c r="E966" s="22" t="s">
        <v>7788</v>
      </c>
      <c r="F966" s="22">
        <v>33.345901323500001</v>
      </c>
      <c r="G966" s="22">
        <v>44.335772730400002</v>
      </c>
      <c r="H966" s="21" t="s">
        <v>1449</v>
      </c>
      <c r="I966" s="21" t="s">
        <v>1872</v>
      </c>
      <c r="J966" s="21" t="s">
        <v>1960</v>
      </c>
      <c r="K966" s="24">
        <v>147</v>
      </c>
      <c r="L966" s="24">
        <v>882</v>
      </c>
      <c r="M966" s="23">
        <v>97</v>
      </c>
      <c r="N966" s="23"/>
      <c r="O966" s="23"/>
      <c r="P966" s="23"/>
      <c r="Q966" s="23"/>
      <c r="R966" s="23">
        <v>2</v>
      </c>
      <c r="S966" s="23"/>
      <c r="T966" s="23"/>
      <c r="U966" s="23"/>
      <c r="V966" s="23"/>
      <c r="W966" s="23"/>
      <c r="X966" s="23"/>
      <c r="Y966" s="23">
        <v>13</v>
      </c>
      <c r="Z966" s="23"/>
      <c r="AA966" s="23">
        <v>35</v>
      </c>
      <c r="AB966" s="23"/>
      <c r="AC966" s="23"/>
      <c r="AD966" s="23"/>
      <c r="AE966" s="23"/>
      <c r="AF966" s="23">
        <v>35</v>
      </c>
      <c r="AG966" s="23"/>
      <c r="AH966" s="23"/>
      <c r="AI966" s="23"/>
      <c r="AJ966" s="23"/>
      <c r="AK966" s="23">
        <v>112</v>
      </c>
      <c r="AL966" s="23"/>
      <c r="AM966" s="23"/>
      <c r="AN966" s="23"/>
      <c r="AO966" s="23">
        <v>20</v>
      </c>
      <c r="AP966" s="23">
        <v>20</v>
      </c>
      <c r="AQ966" s="23">
        <v>3</v>
      </c>
      <c r="AR966" s="23">
        <v>21</v>
      </c>
      <c r="AS966" s="23">
        <v>83</v>
      </c>
      <c r="AT966" s="23"/>
      <c r="AU966" s="14" t="str">
        <f>HYPERLINK("http://www.openstreetmap.org/?mlat=33.3714&amp;mlon=44.3467&amp;zoom=12#map=12/33.3714/44.3467","Maplink1")</f>
        <v>Maplink1</v>
      </c>
      <c r="AV966" s="14" t="str">
        <f>HYPERLINK("https://www.google.iq/maps/search/+33.3714,44.3467/@33.3714,44.3467,14z?hl=en","Maplink2")</f>
        <v>Maplink2</v>
      </c>
      <c r="AW966" s="14" t="str">
        <f>HYPERLINK("http://www.bing.com/maps/?lvl=14&amp;sty=h&amp;cp=33.3714~44.3467&amp;sp=point.33.3714_44.3467_Salam-408","Maplink3")</f>
        <v>Maplink3</v>
      </c>
    </row>
    <row r="967" spans="1:49" ht="15" customHeight="1" x14ac:dyDescent="0.25">
      <c r="A967" s="21">
        <v>27378</v>
      </c>
      <c r="B967" s="22" t="s">
        <v>11</v>
      </c>
      <c r="C967" s="22" t="s">
        <v>1865</v>
      </c>
      <c r="D967" s="22" t="s">
        <v>1961</v>
      </c>
      <c r="E967" s="22" t="s">
        <v>1962</v>
      </c>
      <c r="F967" s="22">
        <v>33.56765</v>
      </c>
      <c r="G967" s="22">
        <v>44.173690000000001</v>
      </c>
      <c r="H967" s="21" t="s">
        <v>1449</v>
      </c>
      <c r="I967" s="21" t="s">
        <v>1872</v>
      </c>
      <c r="J967" s="21"/>
      <c r="K967" s="24">
        <v>36</v>
      </c>
      <c r="L967" s="24">
        <v>216</v>
      </c>
      <c r="M967" s="23">
        <v>27</v>
      </c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>
        <v>9</v>
      </c>
      <c r="AB967" s="23"/>
      <c r="AC967" s="23"/>
      <c r="AD967" s="23"/>
      <c r="AE967" s="23"/>
      <c r="AF967" s="23">
        <v>22</v>
      </c>
      <c r="AG967" s="23"/>
      <c r="AH967" s="23"/>
      <c r="AI967" s="23"/>
      <c r="AJ967" s="23"/>
      <c r="AK967" s="23">
        <v>14</v>
      </c>
      <c r="AL967" s="23"/>
      <c r="AM967" s="23"/>
      <c r="AN967" s="23"/>
      <c r="AO967" s="23"/>
      <c r="AP967" s="23"/>
      <c r="AQ967" s="23"/>
      <c r="AR967" s="23">
        <v>27</v>
      </c>
      <c r="AS967" s="23">
        <v>9</v>
      </c>
      <c r="AT967" s="23"/>
      <c r="AU967" s="14" t="str">
        <f>HYPERLINK("http://www.openstreetmap.org/?mlat=33.4763&amp;mlon=44.2414&amp;zoom=12#map=12/33.4763/44.2414","Maplink1")</f>
        <v>Maplink1</v>
      </c>
      <c r="AV967" s="14" t="str">
        <f>HYPERLINK("https://www.google.iq/maps/search/+33.4763,44.2414/@33.4763,44.2414,14z?hl=en","Maplink2")</f>
        <v>Maplink2</v>
      </c>
      <c r="AW967" s="14" t="str">
        <f>HYPERLINK("http://www.bing.com/maps/?lvl=14&amp;sty=h&amp;cp=33.4763~44.2414&amp;sp=point.33.4763_44.2414_Salh Al Fayad ","Maplink3")</f>
        <v>Maplink3</v>
      </c>
    </row>
    <row r="968" spans="1:49" ht="15" customHeight="1" x14ac:dyDescent="0.25">
      <c r="A968" s="21">
        <v>25186</v>
      </c>
      <c r="B968" s="22" t="s">
        <v>11</v>
      </c>
      <c r="C968" s="22" t="s">
        <v>1865</v>
      </c>
      <c r="D968" s="22" t="s">
        <v>1963</v>
      </c>
      <c r="E968" s="22" t="s">
        <v>1964</v>
      </c>
      <c r="F968" s="22">
        <v>33.496180000000003</v>
      </c>
      <c r="G968" s="22">
        <v>44.276000000000003</v>
      </c>
      <c r="H968" s="21" t="s">
        <v>1449</v>
      </c>
      <c r="I968" s="21" t="s">
        <v>1872</v>
      </c>
      <c r="J968" s="21"/>
      <c r="K968" s="24">
        <v>62</v>
      </c>
      <c r="L968" s="24">
        <v>372</v>
      </c>
      <c r="M968" s="23">
        <v>45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>
        <v>17</v>
      </c>
      <c r="AB968" s="23"/>
      <c r="AC968" s="23"/>
      <c r="AD968" s="23"/>
      <c r="AE968" s="23"/>
      <c r="AF968" s="23">
        <v>45</v>
      </c>
      <c r="AG968" s="23"/>
      <c r="AH968" s="23"/>
      <c r="AI968" s="23"/>
      <c r="AJ968" s="23"/>
      <c r="AK968" s="23">
        <v>17</v>
      </c>
      <c r="AL968" s="23"/>
      <c r="AM968" s="23"/>
      <c r="AN968" s="23"/>
      <c r="AO968" s="23">
        <v>21</v>
      </c>
      <c r="AP968" s="23"/>
      <c r="AQ968" s="23"/>
      <c r="AR968" s="23">
        <v>12</v>
      </c>
      <c r="AS968" s="23">
        <v>29</v>
      </c>
      <c r="AT968" s="23"/>
      <c r="AU968" s="14" t="str">
        <f>HYPERLINK("http://www.openstreetmap.org/?mlat=33.5082&amp;mlon=44.2366&amp;zoom=12#map=12/33.5082/44.2366","Maplink1")</f>
        <v>Maplink1</v>
      </c>
      <c r="AV968" s="14" t="str">
        <f>HYPERLINK("https://www.google.iq/maps/search/+33.5082,44.2366/@33.5082,44.2366,14z?hl=en","Maplink2")</f>
        <v>Maplink2</v>
      </c>
      <c r="AW968" s="14" t="str">
        <f>HYPERLINK("http://www.bing.com/maps/?lvl=14&amp;sty=h&amp;cp=33.5082~44.2366&amp;sp=point.33.5082_44.2366_Shate Al Taji (Mezurfa) Village","Maplink3")</f>
        <v>Maplink3</v>
      </c>
    </row>
    <row r="969" spans="1:49" ht="15" customHeight="1" x14ac:dyDescent="0.25">
      <c r="A969" s="21">
        <v>27311</v>
      </c>
      <c r="B969" s="22" t="s">
        <v>11</v>
      </c>
      <c r="C969" s="22" t="s">
        <v>1865</v>
      </c>
      <c r="D969" s="22" t="s">
        <v>7417</v>
      </c>
      <c r="E969" s="22" t="s">
        <v>7789</v>
      </c>
      <c r="F969" s="22">
        <v>33.365645063999999</v>
      </c>
      <c r="G969" s="22">
        <v>44.2820155621</v>
      </c>
      <c r="H969" s="21" t="s">
        <v>1449</v>
      </c>
      <c r="I969" s="21" t="s">
        <v>1872</v>
      </c>
      <c r="J969" s="21"/>
      <c r="K969" s="24">
        <v>8</v>
      </c>
      <c r="L969" s="24">
        <v>48</v>
      </c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>
        <v>8</v>
      </c>
      <c r="Z969" s="23"/>
      <c r="AA969" s="23"/>
      <c r="AB969" s="23"/>
      <c r="AC969" s="23"/>
      <c r="AD969" s="23"/>
      <c r="AE969" s="23"/>
      <c r="AF969" s="23">
        <v>8</v>
      </c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>
        <v>8</v>
      </c>
      <c r="AR969" s="23"/>
      <c r="AS969" s="23"/>
      <c r="AT969" s="23"/>
      <c r="AU969" s="14" t="str">
        <f>HYPERLINK("http://www.openstreetmap.org/?mlat=33.3692&amp;mlon=44.2795&amp;zoom=12#map=12/33.3692/44.2795","Maplink1")</f>
        <v>Maplink1</v>
      </c>
      <c r="AV969" s="14" t="str">
        <f>HYPERLINK("https://www.google.iq/maps/search/+33.3692,44.2795/@33.3692,44.2795,14z?hl=en","Maplink2")</f>
        <v>Maplink2</v>
      </c>
      <c r="AW969" s="14" t="str">
        <f>HYPERLINK("http://www.bing.com/maps/?lvl=14&amp;sty=h&amp;cp=33.3692~44.2795&amp;sp=point.33.3692_44.2795_Shoa'la - 446","Maplink3")</f>
        <v>Maplink3</v>
      </c>
    </row>
    <row r="970" spans="1:49" ht="15" customHeight="1" x14ac:dyDescent="0.25">
      <c r="A970" s="21">
        <v>27312</v>
      </c>
      <c r="B970" s="22" t="s">
        <v>11</v>
      </c>
      <c r="C970" s="22" t="s">
        <v>1865</v>
      </c>
      <c r="D970" s="22" t="s">
        <v>7418</v>
      </c>
      <c r="E970" s="22" t="s">
        <v>7790</v>
      </c>
      <c r="F970" s="22">
        <v>33.364275419199998</v>
      </c>
      <c r="G970" s="22">
        <v>44.278486026499998</v>
      </c>
      <c r="H970" s="21" t="s">
        <v>1449</v>
      </c>
      <c r="I970" s="21" t="s">
        <v>1872</v>
      </c>
      <c r="J970" s="21"/>
      <c r="K970" s="24">
        <v>38</v>
      </c>
      <c r="L970" s="24">
        <v>228</v>
      </c>
      <c r="M970" s="23">
        <v>12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>
        <v>26</v>
      </c>
      <c r="Z970" s="23"/>
      <c r="AA970" s="23"/>
      <c r="AB970" s="23"/>
      <c r="AC970" s="23"/>
      <c r="AD970" s="23"/>
      <c r="AE970" s="23"/>
      <c r="AF970" s="23">
        <v>20</v>
      </c>
      <c r="AG970" s="23"/>
      <c r="AH970" s="23"/>
      <c r="AI970" s="23"/>
      <c r="AJ970" s="23"/>
      <c r="AK970" s="23">
        <v>12</v>
      </c>
      <c r="AL970" s="23"/>
      <c r="AM970" s="23">
        <v>6</v>
      </c>
      <c r="AN970" s="23"/>
      <c r="AO970" s="23">
        <v>5</v>
      </c>
      <c r="AP970" s="23"/>
      <c r="AQ970" s="23">
        <v>23</v>
      </c>
      <c r="AR970" s="23">
        <v>10</v>
      </c>
      <c r="AS970" s="23"/>
      <c r="AT970" s="23"/>
      <c r="AU970" s="14" t="str">
        <f>HYPERLINK("http://www.openstreetmap.org/?mlat=33.3692&amp;mlon=44.2795&amp;zoom=12#map=12/33.3692/44.2795","Maplink1")</f>
        <v>Maplink1</v>
      </c>
      <c r="AV970" s="14" t="str">
        <f>HYPERLINK("https://www.google.iq/maps/search/+33.3692,44.2795/@33.3692,44.2795,14z?hl=en","Maplink2")</f>
        <v>Maplink2</v>
      </c>
      <c r="AW970" s="14" t="str">
        <f>HYPERLINK("http://www.bing.com/maps/?lvl=14&amp;sty=h&amp;cp=33.3692~44.2795&amp;sp=point.33.3692_44.2795_Shoa'la - 448","Maplink3")</f>
        <v>Maplink3</v>
      </c>
    </row>
    <row r="971" spans="1:49" ht="15" customHeight="1" x14ac:dyDescent="0.25">
      <c r="A971" s="21">
        <v>27314</v>
      </c>
      <c r="B971" s="22" t="s">
        <v>11</v>
      </c>
      <c r="C971" s="22" t="s">
        <v>1865</v>
      </c>
      <c r="D971" s="22" t="s">
        <v>7419</v>
      </c>
      <c r="E971" s="22" t="s">
        <v>1968</v>
      </c>
      <c r="F971" s="22">
        <v>33.372215973199999</v>
      </c>
      <c r="G971" s="22">
        <v>44.2929379363</v>
      </c>
      <c r="H971" s="21" t="s">
        <v>1449</v>
      </c>
      <c r="I971" s="21" t="s">
        <v>1872</v>
      </c>
      <c r="J971" s="21"/>
      <c r="K971" s="24">
        <v>72</v>
      </c>
      <c r="L971" s="24">
        <v>432</v>
      </c>
      <c r="M971" s="23">
        <v>25</v>
      </c>
      <c r="N971" s="23"/>
      <c r="O971" s="23"/>
      <c r="P971" s="23"/>
      <c r="Q971" s="23"/>
      <c r="R971" s="23">
        <v>1</v>
      </c>
      <c r="S971" s="23"/>
      <c r="T971" s="23"/>
      <c r="U971" s="23">
        <v>9</v>
      </c>
      <c r="V971" s="23"/>
      <c r="W971" s="23"/>
      <c r="X971" s="23"/>
      <c r="Y971" s="23">
        <v>27</v>
      </c>
      <c r="Z971" s="23"/>
      <c r="AA971" s="23">
        <v>10</v>
      </c>
      <c r="AB971" s="23"/>
      <c r="AC971" s="23"/>
      <c r="AD971" s="23"/>
      <c r="AE971" s="23"/>
      <c r="AF971" s="23">
        <v>22</v>
      </c>
      <c r="AG971" s="23"/>
      <c r="AH971" s="23"/>
      <c r="AI971" s="23"/>
      <c r="AJ971" s="23"/>
      <c r="AK971" s="23">
        <v>50</v>
      </c>
      <c r="AL971" s="23"/>
      <c r="AM971" s="23"/>
      <c r="AN971" s="23"/>
      <c r="AO971" s="23">
        <v>13</v>
      </c>
      <c r="AP971" s="23"/>
      <c r="AQ971" s="23">
        <v>33</v>
      </c>
      <c r="AR971" s="23">
        <v>17</v>
      </c>
      <c r="AS971" s="23">
        <v>9</v>
      </c>
      <c r="AT971" s="23"/>
      <c r="AU971" s="14" t="str">
        <f>HYPERLINK("http://www.openstreetmap.org/?mlat=33.3692&amp;mlon=44.2795&amp;zoom=12#map=12/33.3692/44.2795","Maplink1")</f>
        <v>Maplink1</v>
      </c>
      <c r="AV971" s="14" t="str">
        <f>HYPERLINK("https://www.google.iq/maps/search/+33.3692,44.2795/@33.3692,44.2795,14z?hl=en","Maplink2")</f>
        <v>Maplink2</v>
      </c>
      <c r="AW971" s="14" t="str">
        <f>HYPERLINK("http://www.bing.com/maps/?lvl=14&amp;sty=h&amp;cp=33.3692~44.2795&amp;sp=point.33.3692_44.2795_Shoa'la - 450","Maplink3")</f>
        <v>Maplink3</v>
      </c>
    </row>
    <row r="972" spans="1:49" ht="15" customHeight="1" x14ac:dyDescent="0.25">
      <c r="A972" s="21">
        <v>27315</v>
      </c>
      <c r="B972" s="22" t="s">
        <v>11</v>
      </c>
      <c r="C972" s="22" t="s">
        <v>1865</v>
      </c>
      <c r="D972" s="22" t="s">
        <v>7420</v>
      </c>
      <c r="E972" s="22" t="s">
        <v>1969</v>
      </c>
      <c r="F972" s="22">
        <v>33.363355379600002</v>
      </c>
      <c r="G972" s="22">
        <v>44.279304351699999</v>
      </c>
      <c r="H972" s="21" t="s">
        <v>1449</v>
      </c>
      <c r="I972" s="21" t="s">
        <v>1872</v>
      </c>
      <c r="J972" s="21"/>
      <c r="K972" s="24">
        <v>57</v>
      </c>
      <c r="L972" s="24">
        <v>342</v>
      </c>
      <c r="M972" s="23">
        <v>13</v>
      </c>
      <c r="N972" s="23"/>
      <c r="O972" s="23"/>
      <c r="P972" s="23"/>
      <c r="Q972" s="23"/>
      <c r="R972" s="23">
        <v>3</v>
      </c>
      <c r="S972" s="23"/>
      <c r="T972" s="23"/>
      <c r="U972" s="23"/>
      <c r="V972" s="23"/>
      <c r="W972" s="23"/>
      <c r="X972" s="23"/>
      <c r="Y972" s="23">
        <v>21</v>
      </c>
      <c r="Z972" s="23"/>
      <c r="AA972" s="23">
        <v>20</v>
      </c>
      <c r="AB972" s="23"/>
      <c r="AC972" s="23"/>
      <c r="AD972" s="23"/>
      <c r="AE972" s="23"/>
      <c r="AF972" s="23">
        <v>10</v>
      </c>
      <c r="AG972" s="23"/>
      <c r="AH972" s="23"/>
      <c r="AI972" s="23"/>
      <c r="AJ972" s="23"/>
      <c r="AK972" s="23">
        <v>47</v>
      </c>
      <c r="AL972" s="23"/>
      <c r="AM972" s="23"/>
      <c r="AN972" s="23"/>
      <c r="AO972" s="23">
        <v>18</v>
      </c>
      <c r="AP972" s="23"/>
      <c r="AQ972" s="23">
        <v>23</v>
      </c>
      <c r="AR972" s="23">
        <v>11</v>
      </c>
      <c r="AS972" s="23">
        <v>3</v>
      </c>
      <c r="AT972" s="23">
        <v>2</v>
      </c>
      <c r="AU972" s="14" t="str">
        <f>HYPERLINK("http://www.openstreetmap.org/?mlat=33.3691&amp;mlon=44.2795&amp;zoom=12#map=12/33.3691/44.2795","Maplink1")</f>
        <v>Maplink1</v>
      </c>
      <c r="AV972" s="14" t="str">
        <f>HYPERLINK("https://www.google.iq/maps/search/+33.3691,44.2795/@33.3691,44.2795,14z?hl=en","Maplink2")</f>
        <v>Maplink2</v>
      </c>
      <c r="AW972" s="14" t="str">
        <f>HYPERLINK("http://www.bing.com/maps/?lvl=14&amp;sty=h&amp;cp=33.3691~44.2795&amp;sp=point.33.3691_44.2795_Shoa'la - 454","Maplink3")</f>
        <v>Maplink3</v>
      </c>
    </row>
    <row r="973" spans="1:49" ht="15" customHeight="1" x14ac:dyDescent="0.25">
      <c r="A973" s="21">
        <v>27316</v>
      </c>
      <c r="B973" s="22" t="s">
        <v>11</v>
      </c>
      <c r="C973" s="22" t="s">
        <v>1865</v>
      </c>
      <c r="D973" s="22" t="s">
        <v>7421</v>
      </c>
      <c r="E973" s="22" t="s">
        <v>1970</v>
      </c>
      <c r="F973" s="22">
        <v>33.370186127700002</v>
      </c>
      <c r="G973" s="22">
        <v>44.287966378</v>
      </c>
      <c r="H973" s="21" t="s">
        <v>1449</v>
      </c>
      <c r="I973" s="21" t="s">
        <v>1872</v>
      </c>
      <c r="J973" s="21"/>
      <c r="K973" s="24">
        <v>88</v>
      </c>
      <c r="L973" s="24">
        <v>528</v>
      </c>
      <c r="M973" s="23">
        <v>29</v>
      </c>
      <c r="N973" s="23"/>
      <c r="O973" s="23"/>
      <c r="P973" s="23"/>
      <c r="Q973" s="23"/>
      <c r="R973" s="23">
        <v>3</v>
      </c>
      <c r="S973" s="23"/>
      <c r="T973" s="23"/>
      <c r="U973" s="23"/>
      <c r="V973" s="23"/>
      <c r="W973" s="23"/>
      <c r="X973" s="23"/>
      <c r="Y973" s="23">
        <v>24</v>
      </c>
      <c r="Z973" s="23"/>
      <c r="AA973" s="23">
        <v>32</v>
      </c>
      <c r="AB973" s="23"/>
      <c r="AC973" s="23"/>
      <c r="AD973" s="23"/>
      <c r="AE973" s="23"/>
      <c r="AF973" s="23">
        <v>41</v>
      </c>
      <c r="AG973" s="23"/>
      <c r="AH973" s="23"/>
      <c r="AI973" s="23"/>
      <c r="AJ973" s="23"/>
      <c r="AK973" s="23">
        <v>47</v>
      </c>
      <c r="AL973" s="23"/>
      <c r="AM973" s="23"/>
      <c r="AN973" s="23"/>
      <c r="AO973" s="23">
        <v>14</v>
      </c>
      <c r="AP973" s="23"/>
      <c r="AQ973" s="23">
        <v>22</v>
      </c>
      <c r="AR973" s="23">
        <v>51</v>
      </c>
      <c r="AS973" s="23">
        <v>1</v>
      </c>
      <c r="AT973" s="23"/>
      <c r="AU973" s="14" t="str">
        <f>HYPERLINK("http://www.openstreetmap.org/?mlat=33.3691&amp;mlon=44.2795&amp;zoom=12#map=12/33.3691/44.2795","Maplink1")</f>
        <v>Maplink1</v>
      </c>
      <c r="AV973" s="14" t="str">
        <f>HYPERLINK("https://www.google.iq/maps/search/+33.3691,44.2795/@33.3691,44.2795,14z?hl=en","Maplink2")</f>
        <v>Maplink2</v>
      </c>
      <c r="AW973" s="14" t="str">
        <f>HYPERLINK("http://www.bing.com/maps/?lvl=14&amp;sty=h&amp;cp=33.3691~44.2795&amp;sp=point.33.3691_44.2795_Shoa'la - 458","Maplink3")</f>
        <v>Maplink3</v>
      </c>
    </row>
    <row r="974" spans="1:49" ht="15" customHeight="1" x14ac:dyDescent="0.25">
      <c r="A974" s="21">
        <v>27317</v>
      </c>
      <c r="B974" s="22" t="s">
        <v>11</v>
      </c>
      <c r="C974" s="22" t="s">
        <v>1865</v>
      </c>
      <c r="D974" s="22" t="s">
        <v>7422</v>
      </c>
      <c r="E974" s="22" t="s">
        <v>1971</v>
      </c>
      <c r="F974" s="22">
        <v>33.362606414600002</v>
      </c>
      <c r="G974" s="22">
        <v>44.274869402900002</v>
      </c>
      <c r="H974" s="21" t="s">
        <v>1449</v>
      </c>
      <c r="I974" s="21" t="s">
        <v>1872</v>
      </c>
      <c r="J974" s="21"/>
      <c r="K974" s="24">
        <v>60</v>
      </c>
      <c r="L974" s="24">
        <v>360</v>
      </c>
      <c r="M974" s="23">
        <v>14</v>
      </c>
      <c r="N974" s="23"/>
      <c r="O974" s="23"/>
      <c r="P974" s="23"/>
      <c r="Q974" s="23"/>
      <c r="R974" s="23">
        <v>2</v>
      </c>
      <c r="S974" s="23"/>
      <c r="T974" s="23"/>
      <c r="U974" s="23">
        <v>9</v>
      </c>
      <c r="V974" s="23"/>
      <c r="W974" s="23"/>
      <c r="X974" s="23"/>
      <c r="Y974" s="23">
        <v>23</v>
      </c>
      <c r="Z974" s="23"/>
      <c r="AA974" s="23">
        <v>12</v>
      </c>
      <c r="AB974" s="23"/>
      <c r="AC974" s="23"/>
      <c r="AD974" s="23"/>
      <c r="AE974" s="23"/>
      <c r="AF974" s="23">
        <v>19</v>
      </c>
      <c r="AG974" s="23"/>
      <c r="AH974" s="23"/>
      <c r="AI974" s="23"/>
      <c r="AJ974" s="23"/>
      <c r="AK974" s="23">
        <v>41</v>
      </c>
      <c r="AL974" s="23"/>
      <c r="AM974" s="23"/>
      <c r="AN974" s="23"/>
      <c r="AO974" s="23">
        <v>9</v>
      </c>
      <c r="AP974" s="23"/>
      <c r="AQ974" s="23">
        <v>24</v>
      </c>
      <c r="AR974" s="23">
        <v>17</v>
      </c>
      <c r="AS974" s="23">
        <v>10</v>
      </c>
      <c r="AT974" s="23"/>
      <c r="AU974" s="14" t="str">
        <f>HYPERLINK("http://www.openstreetmap.org/?mlat=33.3675&amp;mlon=44.2729&amp;zoom=12#map=12/33.3675/44.2729","Maplink1")</f>
        <v>Maplink1</v>
      </c>
      <c r="AV974" s="14" t="str">
        <f>HYPERLINK("https://www.google.iq/maps/search/+33.3675,44.2729/@33.3675,44.2729,14z?hl=en","Maplink2")</f>
        <v>Maplink2</v>
      </c>
      <c r="AW974" s="14" t="str">
        <f>HYPERLINK("http://www.bing.com/maps/?lvl=14&amp;sty=h&amp;cp=33.3675~44.2729&amp;sp=point.33.3675_44.2729_Shoa'la - 460","Maplink3")</f>
        <v>Maplink3</v>
      </c>
    </row>
    <row r="975" spans="1:49" ht="15" customHeight="1" x14ac:dyDescent="0.25">
      <c r="A975" s="21">
        <v>27318</v>
      </c>
      <c r="B975" s="22" t="s">
        <v>11</v>
      </c>
      <c r="C975" s="22" t="s">
        <v>1865</v>
      </c>
      <c r="D975" s="22" t="s">
        <v>7423</v>
      </c>
      <c r="E975" s="22" t="s">
        <v>1972</v>
      </c>
      <c r="F975" s="22">
        <v>33.362334882799999</v>
      </c>
      <c r="G975" s="22">
        <v>44.2741978448</v>
      </c>
      <c r="H975" s="21" t="s">
        <v>1449</v>
      </c>
      <c r="I975" s="21" t="s">
        <v>1872</v>
      </c>
      <c r="J975" s="21"/>
      <c r="K975" s="24">
        <v>34</v>
      </c>
      <c r="L975" s="24">
        <v>204</v>
      </c>
      <c r="M975" s="23">
        <v>1</v>
      </c>
      <c r="N975" s="23"/>
      <c r="O975" s="23"/>
      <c r="P975" s="23"/>
      <c r="Q975" s="23"/>
      <c r="R975" s="23">
        <v>8</v>
      </c>
      <c r="S975" s="23"/>
      <c r="T975" s="23"/>
      <c r="U975" s="23">
        <v>2</v>
      </c>
      <c r="V975" s="23"/>
      <c r="W975" s="23"/>
      <c r="X975" s="23"/>
      <c r="Y975" s="23">
        <v>15</v>
      </c>
      <c r="Z975" s="23"/>
      <c r="AA975" s="23">
        <v>8</v>
      </c>
      <c r="AB975" s="23"/>
      <c r="AC975" s="23"/>
      <c r="AD975" s="23"/>
      <c r="AE975" s="23"/>
      <c r="AF975" s="23">
        <v>6</v>
      </c>
      <c r="AG975" s="23"/>
      <c r="AH975" s="23"/>
      <c r="AI975" s="23"/>
      <c r="AJ975" s="23"/>
      <c r="AK975" s="23">
        <v>28</v>
      </c>
      <c r="AL975" s="23"/>
      <c r="AM975" s="23"/>
      <c r="AN975" s="23"/>
      <c r="AO975" s="23">
        <v>4</v>
      </c>
      <c r="AP975" s="23"/>
      <c r="AQ975" s="23">
        <v>13</v>
      </c>
      <c r="AR975" s="23">
        <v>15</v>
      </c>
      <c r="AS975" s="23">
        <v>2</v>
      </c>
      <c r="AT975" s="23"/>
      <c r="AU975" s="14" t="str">
        <f>HYPERLINK("http://www.openstreetmap.org/?mlat=33.3675&amp;mlon=44.2729&amp;zoom=12#map=12/33.3675/44.2729","Maplink1")</f>
        <v>Maplink1</v>
      </c>
      <c r="AV975" s="14" t="str">
        <f>HYPERLINK("https://www.google.iq/maps/search/+33.3675,44.2729/@33.3675,44.2729,14z?hl=en","Maplink2")</f>
        <v>Maplink2</v>
      </c>
      <c r="AW975" s="14" t="str">
        <f>HYPERLINK("http://www.bing.com/maps/?lvl=14&amp;sty=h&amp;cp=33.3675~44.2729&amp;sp=point.33.3675_44.2729_Shoa'la - 464","Maplink3")</f>
        <v>Maplink3</v>
      </c>
    </row>
    <row r="976" spans="1:49" ht="15" customHeight="1" x14ac:dyDescent="0.25">
      <c r="A976" s="21">
        <v>27319</v>
      </c>
      <c r="B976" s="22" t="s">
        <v>11</v>
      </c>
      <c r="C976" s="22" t="s">
        <v>1865</v>
      </c>
      <c r="D976" s="22" t="s">
        <v>7424</v>
      </c>
      <c r="E976" s="22" t="s">
        <v>1973</v>
      </c>
      <c r="F976" s="22">
        <v>33.369395211300002</v>
      </c>
      <c r="G976" s="22">
        <v>44.286381779199999</v>
      </c>
      <c r="H976" s="21" t="s">
        <v>1449</v>
      </c>
      <c r="I976" s="21" t="s">
        <v>1872</v>
      </c>
      <c r="J976" s="21"/>
      <c r="K976" s="24">
        <v>145</v>
      </c>
      <c r="L976" s="24">
        <v>870</v>
      </c>
      <c r="M976" s="23">
        <v>63</v>
      </c>
      <c r="N976" s="23"/>
      <c r="O976" s="23"/>
      <c r="P976" s="23"/>
      <c r="Q976" s="23"/>
      <c r="R976" s="23">
        <v>5</v>
      </c>
      <c r="S976" s="23"/>
      <c r="T976" s="23"/>
      <c r="U976" s="23">
        <v>3</v>
      </c>
      <c r="V976" s="23"/>
      <c r="W976" s="23"/>
      <c r="X976" s="23"/>
      <c r="Y976" s="23">
        <v>51</v>
      </c>
      <c r="Z976" s="23"/>
      <c r="AA976" s="23">
        <v>23</v>
      </c>
      <c r="AB976" s="23"/>
      <c r="AC976" s="23"/>
      <c r="AD976" s="23"/>
      <c r="AE976" s="23"/>
      <c r="AF976" s="23">
        <v>44</v>
      </c>
      <c r="AG976" s="23"/>
      <c r="AH976" s="23"/>
      <c r="AI976" s="23"/>
      <c r="AJ976" s="23"/>
      <c r="AK976" s="23">
        <v>101</v>
      </c>
      <c r="AL976" s="23"/>
      <c r="AM976" s="23"/>
      <c r="AN976" s="23"/>
      <c r="AO976" s="23">
        <v>28</v>
      </c>
      <c r="AP976" s="23"/>
      <c r="AQ976" s="23">
        <v>42</v>
      </c>
      <c r="AR976" s="23">
        <v>48</v>
      </c>
      <c r="AS976" s="23">
        <v>27</v>
      </c>
      <c r="AT976" s="23"/>
      <c r="AU976" s="14" t="str">
        <f>HYPERLINK("http://www.openstreetmap.org/?mlat=33.3675&amp;mlon=44.2729&amp;zoom=12#map=12/33.3675/44.2729","Maplink1")</f>
        <v>Maplink1</v>
      </c>
      <c r="AV976" s="14" t="str">
        <f>HYPERLINK("https://www.google.iq/maps/search/+33.3675,44.2729/@33.3675,44.2729,14z?hl=en","Maplink2")</f>
        <v>Maplink2</v>
      </c>
      <c r="AW976" s="14" t="str">
        <f>HYPERLINK("http://www.bing.com/maps/?lvl=14&amp;sty=h&amp;cp=33.3675~44.2729&amp;sp=point.33.3675_44.2729_Shoa'la - Al Doanam","Maplink3")</f>
        <v>Maplink3</v>
      </c>
    </row>
    <row r="977" spans="1:49" ht="15" customHeight="1" x14ac:dyDescent="0.25">
      <c r="A977" s="21">
        <v>27320</v>
      </c>
      <c r="B977" s="22" t="s">
        <v>11</v>
      </c>
      <c r="C977" s="22" t="s">
        <v>1865</v>
      </c>
      <c r="D977" s="22" t="s">
        <v>7425</v>
      </c>
      <c r="E977" s="22" t="s">
        <v>1974</v>
      </c>
      <c r="F977" s="22">
        <v>33.366867899900001</v>
      </c>
      <c r="G977" s="22">
        <v>44.2987585813</v>
      </c>
      <c r="H977" s="21" t="s">
        <v>1449</v>
      </c>
      <c r="I977" s="21" t="s">
        <v>1872</v>
      </c>
      <c r="J977" s="21"/>
      <c r="K977" s="24">
        <v>26</v>
      </c>
      <c r="L977" s="24">
        <v>156</v>
      </c>
      <c r="M977" s="23">
        <v>11</v>
      </c>
      <c r="N977" s="23"/>
      <c r="O977" s="23"/>
      <c r="P977" s="23"/>
      <c r="Q977" s="23"/>
      <c r="R977" s="23">
        <v>1</v>
      </c>
      <c r="S977" s="23"/>
      <c r="T977" s="23"/>
      <c r="U977" s="23">
        <v>2</v>
      </c>
      <c r="V977" s="23"/>
      <c r="W977" s="23"/>
      <c r="X977" s="23"/>
      <c r="Y977" s="23">
        <v>6</v>
      </c>
      <c r="Z977" s="23"/>
      <c r="AA977" s="23">
        <v>6</v>
      </c>
      <c r="AB977" s="23"/>
      <c r="AC977" s="23"/>
      <c r="AD977" s="23"/>
      <c r="AE977" s="23"/>
      <c r="AF977" s="23">
        <v>26</v>
      </c>
      <c r="AG977" s="23"/>
      <c r="AH977" s="23"/>
      <c r="AI977" s="23"/>
      <c r="AJ977" s="23"/>
      <c r="AK977" s="23"/>
      <c r="AL977" s="23"/>
      <c r="AM977" s="23"/>
      <c r="AN977" s="23"/>
      <c r="AO977" s="23">
        <v>12</v>
      </c>
      <c r="AP977" s="23"/>
      <c r="AQ977" s="23">
        <v>10</v>
      </c>
      <c r="AR977" s="23">
        <v>3</v>
      </c>
      <c r="AS977" s="23">
        <v>1</v>
      </c>
      <c r="AT977" s="23"/>
      <c r="AU977" s="14" t="str">
        <f>HYPERLINK("http://www.openstreetmap.org/?mlat=33.3588&amp;mlon=44.2965&amp;zoom=12#map=12/33.3588/44.2965","Maplink1")</f>
        <v>Maplink1</v>
      </c>
      <c r="AV977" s="14" t="str">
        <f>HYPERLINK("https://www.google.iq/maps/search/+33.3588,44.2965/@33.3588,44.2965,14z?hl=en","Maplink2")</f>
        <v>Maplink2</v>
      </c>
      <c r="AW977" s="14" t="str">
        <f>HYPERLINK("http://www.bing.com/maps/?lvl=14&amp;sty=h&amp;cp=33.3588~44.2965&amp;sp=point.33.3588_44.2965_Shoa'la - Khatib","Maplink3")</f>
        <v>Maplink3</v>
      </c>
    </row>
    <row r="978" spans="1:49" ht="15" customHeight="1" x14ac:dyDescent="0.25">
      <c r="A978" s="21">
        <v>25190</v>
      </c>
      <c r="B978" s="22" t="s">
        <v>11</v>
      </c>
      <c r="C978" s="22" t="s">
        <v>1865</v>
      </c>
      <c r="D978" s="22" t="s">
        <v>8504</v>
      </c>
      <c r="E978" s="22" t="s">
        <v>1904</v>
      </c>
      <c r="F978" s="22">
        <v>33.497599999999998</v>
      </c>
      <c r="G978" s="22">
        <v>44.277200000000001</v>
      </c>
      <c r="H978" s="21" t="s">
        <v>1449</v>
      </c>
      <c r="I978" s="21" t="s">
        <v>1872</v>
      </c>
      <c r="J978" s="21"/>
      <c r="K978" s="24">
        <v>39</v>
      </c>
      <c r="L978" s="24">
        <v>234</v>
      </c>
      <c r="M978" s="23">
        <v>32</v>
      </c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>
        <v>7</v>
      </c>
      <c r="AB978" s="23"/>
      <c r="AC978" s="23"/>
      <c r="AD978" s="23"/>
      <c r="AE978" s="23"/>
      <c r="AF978" s="23">
        <v>32</v>
      </c>
      <c r="AG978" s="23"/>
      <c r="AH978" s="23"/>
      <c r="AI978" s="23"/>
      <c r="AJ978" s="23"/>
      <c r="AK978" s="23">
        <v>7</v>
      </c>
      <c r="AL978" s="23"/>
      <c r="AM978" s="23"/>
      <c r="AN978" s="23"/>
      <c r="AO978" s="23">
        <v>20</v>
      </c>
      <c r="AP978" s="23"/>
      <c r="AQ978" s="23"/>
      <c r="AR978" s="23">
        <v>7</v>
      </c>
      <c r="AS978" s="23">
        <v>12</v>
      </c>
      <c r="AT978" s="23"/>
      <c r="AU978" s="14" t="str">
        <f>HYPERLINK("http://www.openstreetmap.org/?mlat=33.5103&amp;mlon=44.2021&amp;zoom=12#map=12/33.5103/44.2021","Maplink1")</f>
        <v>Maplink1</v>
      </c>
      <c r="AV978" s="14" t="str">
        <f>HYPERLINK("https://www.google.iq/maps/search/+33.5103,44.2021/@33.5103,44.2021,14z?hl=en","Maplink2")</f>
        <v>Maplink2</v>
      </c>
      <c r="AW978" s="14" t="str">
        <f>HYPERLINK("http://www.bing.com/maps/?lvl=14&amp;sty=h&amp;cp=33.5103~44.2021&amp;sp=point.33.5103_44.2021_Al Taji Al Jadeed-Um Najem","Maplink3")</f>
        <v>Maplink3</v>
      </c>
    </row>
    <row r="979" spans="1:49" ht="15" customHeight="1" x14ac:dyDescent="0.25">
      <c r="A979" s="21">
        <v>25175</v>
      </c>
      <c r="B979" s="22" t="s">
        <v>11</v>
      </c>
      <c r="C979" s="22" t="s">
        <v>1865</v>
      </c>
      <c r="D979" s="22" t="s">
        <v>1977</v>
      </c>
      <c r="E979" s="22" t="s">
        <v>1978</v>
      </c>
      <c r="F979" s="22">
        <v>33.469409728099997</v>
      </c>
      <c r="G979" s="22">
        <v>44.222284058</v>
      </c>
      <c r="H979" s="21" t="s">
        <v>1449</v>
      </c>
      <c r="I979" s="21" t="s">
        <v>1872</v>
      </c>
      <c r="J979" s="21"/>
      <c r="K979" s="24">
        <v>36</v>
      </c>
      <c r="L979" s="24">
        <v>216</v>
      </c>
      <c r="M979" s="23">
        <v>36</v>
      </c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>
        <v>14</v>
      </c>
      <c r="AG979" s="23"/>
      <c r="AH979" s="23"/>
      <c r="AI979" s="23"/>
      <c r="AJ979" s="23"/>
      <c r="AK979" s="23">
        <v>22</v>
      </c>
      <c r="AL979" s="23"/>
      <c r="AM979" s="23"/>
      <c r="AN979" s="23"/>
      <c r="AO979" s="23">
        <v>24</v>
      </c>
      <c r="AP979" s="23"/>
      <c r="AQ979" s="23"/>
      <c r="AR979" s="23">
        <v>7</v>
      </c>
      <c r="AS979" s="23">
        <v>5</v>
      </c>
      <c r="AT979" s="23"/>
      <c r="AU979" s="14" t="str">
        <f>HYPERLINK("http://www.openstreetmap.org/?mlat=33.4763&amp;mlon=44.2414&amp;zoom=12#map=12/33.4763/44.2414","Maplink1")</f>
        <v>Maplink1</v>
      </c>
      <c r="AV979" s="14" t="str">
        <f>HYPERLINK("https://www.google.iq/maps/search/+33.4763,44.2414/@33.4763,44.2414,14z?hl=en","Maplink2")</f>
        <v>Maplink2</v>
      </c>
      <c r="AW979" s="14" t="str">
        <f>HYPERLINK("http://www.bing.com/maps/?lvl=14&amp;sty=h&amp;cp=33.4763~44.2414&amp;sp=point.33.4763_44.2414_Zedan Al Jameel Vilage","Maplink3")</f>
        <v>Maplink3</v>
      </c>
    </row>
    <row r="980" spans="1:49" ht="15" customHeight="1" x14ac:dyDescent="0.25">
      <c r="A980" s="21">
        <v>25772</v>
      </c>
      <c r="B980" s="22" t="s">
        <v>11</v>
      </c>
      <c r="C980" s="22" t="s">
        <v>1979</v>
      </c>
      <c r="D980" s="22" t="s">
        <v>8181</v>
      </c>
      <c r="E980" s="22" t="s">
        <v>7791</v>
      </c>
      <c r="F980" s="22">
        <v>33.241079631399998</v>
      </c>
      <c r="G980" s="22">
        <v>44.407775166500002</v>
      </c>
      <c r="H980" s="21" t="s">
        <v>1449</v>
      </c>
      <c r="I980" s="21" t="s">
        <v>1982</v>
      </c>
      <c r="J980" s="21"/>
      <c r="K980" s="24">
        <v>115</v>
      </c>
      <c r="L980" s="24">
        <v>690</v>
      </c>
      <c r="M980" s="23">
        <v>115</v>
      </c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>
        <v>115</v>
      </c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>
        <v>115</v>
      </c>
      <c r="AT980" s="23"/>
      <c r="AU980" s="14" t="str">
        <f>HYPERLINK("http://www.openstreetmap.org/?mlat=33.2407&amp;mlon=44.4081&amp;zoom=12#map=12/33.2407/44.4081","Maplink1")</f>
        <v>Maplink1</v>
      </c>
      <c r="AV980" s="14" t="str">
        <f>HYPERLINK("https://www.google.iq/maps/search/+33.2407,44.4081/@33.2407,44.4081,14z?hl=en","Maplink2")</f>
        <v>Maplink2</v>
      </c>
      <c r="AW980" s="14" t="str">
        <f>HYPERLINK("http://www.bing.com/maps/?lvl=14&amp;sty=h&amp;cp=33.2407~44.4081&amp;sp=point.33.2407_44.4081_Dora-Asia camp","Maplink3")</f>
        <v>Maplink3</v>
      </c>
    </row>
    <row r="981" spans="1:49" ht="15" customHeight="1" x14ac:dyDescent="0.25">
      <c r="A981" s="21">
        <v>25402</v>
      </c>
      <c r="B981" s="22" t="s">
        <v>11</v>
      </c>
      <c r="C981" s="22" t="s">
        <v>1979</v>
      </c>
      <c r="D981" s="22" t="s">
        <v>1980</v>
      </c>
      <c r="E981" s="22" t="s">
        <v>1981</v>
      </c>
      <c r="F981" s="22">
        <v>33.207946724800003</v>
      </c>
      <c r="G981" s="22">
        <v>44.378724615599999</v>
      </c>
      <c r="H981" s="21" t="s">
        <v>1449</v>
      </c>
      <c r="I981" s="21" t="s">
        <v>1982</v>
      </c>
      <c r="J981" s="21"/>
      <c r="K981" s="24">
        <v>65</v>
      </c>
      <c r="L981" s="24">
        <v>390</v>
      </c>
      <c r="M981" s="23">
        <v>37</v>
      </c>
      <c r="N981" s="23"/>
      <c r="O981" s="23"/>
      <c r="P981" s="23"/>
      <c r="Q981" s="23"/>
      <c r="R981" s="23">
        <v>2</v>
      </c>
      <c r="S981" s="23"/>
      <c r="T981" s="23"/>
      <c r="U981" s="23"/>
      <c r="V981" s="23"/>
      <c r="W981" s="23"/>
      <c r="X981" s="23"/>
      <c r="Y981" s="23">
        <v>23</v>
      </c>
      <c r="Z981" s="23"/>
      <c r="AA981" s="23">
        <v>3</v>
      </c>
      <c r="AB981" s="23"/>
      <c r="AC981" s="23"/>
      <c r="AD981" s="23"/>
      <c r="AE981" s="23"/>
      <c r="AF981" s="23">
        <v>25</v>
      </c>
      <c r="AG981" s="23"/>
      <c r="AH981" s="23"/>
      <c r="AI981" s="23"/>
      <c r="AJ981" s="23"/>
      <c r="AK981" s="23">
        <v>40</v>
      </c>
      <c r="AL981" s="23"/>
      <c r="AM981" s="23"/>
      <c r="AN981" s="23"/>
      <c r="AO981" s="23">
        <v>10</v>
      </c>
      <c r="AP981" s="23">
        <v>21</v>
      </c>
      <c r="AQ981" s="23">
        <v>7</v>
      </c>
      <c r="AR981" s="23">
        <v>27</v>
      </c>
      <c r="AS981" s="23"/>
      <c r="AT981" s="23"/>
      <c r="AU981" s="14" t="str">
        <f>HYPERLINK("http://www.openstreetmap.org/?mlat=33.2155&amp;mlon=44.3897&amp;zoom=12#map=12/33.2155/44.3897","Maplink1")</f>
        <v>Maplink1</v>
      </c>
      <c r="AV981" s="14" t="str">
        <f>HYPERLINK("https://www.google.iq/maps/search/+33.2155,44.3897/@33.2155,44.3897,14z?hl=en","Maplink2")</f>
        <v>Maplink2</v>
      </c>
      <c r="AW981" s="14" t="str">
        <f>HYPERLINK("http://www.bing.com/maps/?lvl=14&amp;sty=h&amp;cp=33.2155~44.3897&amp;sp=point.33.2155_44.3897_Abu Dsheer-850","Maplink3")</f>
        <v>Maplink3</v>
      </c>
    </row>
    <row r="982" spans="1:49" ht="15" customHeight="1" x14ac:dyDescent="0.25">
      <c r="A982" s="21">
        <v>25403</v>
      </c>
      <c r="B982" s="22" t="s">
        <v>11</v>
      </c>
      <c r="C982" s="22" t="s">
        <v>1979</v>
      </c>
      <c r="D982" s="22" t="s">
        <v>1983</v>
      </c>
      <c r="E982" s="22" t="s">
        <v>1984</v>
      </c>
      <c r="F982" s="22">
        <v>33.208223627800002</v>
      </c>
      <c r="G982" s="22">
        <v>44.380665242799999</v>
      </c>
      <c r="H982" s="21" t="s">
        <v>1449</v>
      </c>
      <c r="I982" s="21" t="s">
        <v>1982</v>
      </c>
      <c r="J982" s="21"/>
      <c r="K982" s="24">
        <v>107</v>
      </c>
      <c r="L982" s="24">
        <v>642</v>
      </c>
      <c r="M982" s="23">
        <v>51</v>
      </c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>
        <v>38</v>
      </c>
      <c r="Z982" s="23"/>
      <c r="AA982" s="23">
        <v>18</v>
      </c>
      <c r="AB982" s="23"/>
      <c r="AC982" s="23"/>
      <c r="AD982" s="23"/>
      <c r="AE982" s="23"/>
      <c r="AF982" s="23">
        <v>20</v>
      </c>
      <c r="AG982" s="23"/>
      <c r="AH982" s="23"/>
      <c r="AI982" s="23"/>
      <c r="AJ982" s="23"/>
      <c r="AK982" s="23">
        <v>87</v>
      </c>
      <c r="AL982" s="23"/>
      <c r="AM982" s="23"/>
      <c r="AN982" s="23"/>
      <c r="AO982" s="23">
        <v>22</v>
      </c>
      <c r="AP982" s="23">
        <v>43</v>
      </c>
      <c r="AQ982" s="23"/>
      <c r="AR982" s="23">
        <v>38</v>
      </c>
      <c r="AS982" s="23">
        <v>4</v>
      </c>
      <c r="AT982" s="23"/>
      <c r="AU982" s="14" t="str">
        <f>HYPERLINK("http://www.openstreetmap.org/?mlat=33.2155&amp;mlon=44.3897&amp;zoom=12#map=12/33.2155/44.3897","Maplink1")</f>
        <v>Maplink1</v>
      </c>
      <c r="AV982" s="14" t="str">
        <f>HYPERLINK("https://www.google.iq/maps/search/+33.2155,44.3897/@33.2155,44.3897,14z?hl=en","Maplink2")</f>
        <v>Maplink2</v>
      </c>
      <c r="AW982" s="14" t="str">
        <f>HYPERLINK("http://www.bing.com/maps/?lvl=14&amp;sty=h&amp;cp=33.2155~44.3897&amp;sp=point.33.2155_44.3897_Abu Dsheer-852","Maplink3")</f>
        <v>Maplink3</v>
      </c>
    </row>
    <row r="983" spans="1:49" ht="15" customHeight="1" x14ac:dyDescent="0.25">
      <c r="A983" s="21">
        <v>25404</v>
      </c>
      <c r="B983" s="22" t="s">
        <v>11</v>
      </c>
      <c r="C983" s="22" t="s">
        <v>1979</v>
      </c>
      <c r="D983" s="22" t="s">
        <v>1985</v>
      </c>
      <c r="E983" s="22" t="s">
        <v>1986</v>
      </c>
      <c r="F983" s="22">
        <v>33.220717280899997</v>
      </c>
      <c r="G983" s="22">
        <v>44.384416772100003</v>
      </c>
      <c r="H983" s="21" t="s">
        <v>1449</v>
      </c>
      <c r="I983" s="21" t="s">
        <v>1982</v>
      </c>
      <c r="J983" s="21"/>
      <c r="K983" s="24">
        <v>41</v>
      </c>
      <c r="L983" s="24">
        <v>246</v>
      </c>
      <c r="M983" s="23">
        <v>21</v>
      </c>
      <c r="N983" s="23"/>
      <c r="O983" s="23"/>
      <c r="P983" s="23"/>
      <c r="Q983" s="23"/>
      <c r="R983" s="23"/>
      <c r="S983" s="23"/>
      <c r="T983" s="23"/>
      <c r="U983" s="23">
        <v>2</v>
      </c>
      <c r="V983" s="23"/>
      <c r="W983" s="23"/>
      <c r="X983" s="23"/>
      <c r="Y983" s="23">
        <v>11</v>
      </c>
      <c r="Z983" s="23"/>
      <c r="AA983" s="23">
        <v>7</v>
      </c>
      <c r="AB983" s="23"/>
      <c r="AC983" s="23"/>
      <c r="AD983" s="23"/>
      <c r="AE983" s="23"/>
      <c r="AF983" s="23">
        <v>11</v>
      </c>
      <c r="AG983" s="23"/>
      <c r="AH983" s="23"/>
      <c r="AI983" s="23"/>
      <c r="AJ983" s="23"/>
      <c r="AK983" s="23">
        <v>30</v>
      </c>
      <c r="AL983" s="23"/>
      <c r="AM983" s="23"/>
      <c r="AN983" s="23"/>
      <c r="AO983" s="23">
        <v>8</v>
      </c>
      <c r="AP983" s="23">
        <v>16</v>
      </c>
      <c r="AQ983" s="23"/>
      <c r="AR983" s="23">
        <v>16</v>
      </c>
      <c r="AS983" s="23">
        <v>1</v>
      </c>
      <c r="AT983" s="23"/>
      <c r="AU983" s="14" t="str">
        <f>HYPERLINK("http://www.openstreetmap.org/?mlat=33.2156&amp;mlon=44.3897&amp;zoom=12#map=12/33.2156/44.3897","Maplink1")</f>
        <v>Maplink1</v>
      </c>
      <c r="AV983" s="14" t="str">
        <f>HYPERLINK("https://www.google.iq/maps/search/+33.2156,44.3897/@33.2156,44.3897,14z?hl=en","Maplink2")</f>
        <v>Maplink2</v>
      </c>
      <c r="AW983" s="14" t="str">
        <f>HYPERLINK("http://www.bing.com/maps/?lvl=14&amp;sty=h&amp;cp=33.2156~44.3897&amp;sp=point.33.2156_44.3897_Abu Dsheer-854","Maplink3")</f>
        <v>Maplink3</v>
      </c>
    </row>
    <row r="984" spans="1:49" ht="15" customHeight="1" x14ac:dyDescent="0.25">
      <c r="A984" s="21">
        <v>24080</v>
      </c>
      <c r="B984" s="22" t="s">
        <v>11</v>
      </c>
      <c r="C984" s="22" t="s">
        <v>1979</v>
      </c>
      <c r="D984" s="22" t="s">
        <v>1987</v>
      </c>
      <c r="E984" s="22" t="s">
        <v>1988</v>
      </c>
      <c r="F984" s="22">
        <v>33.209554509199997</v>
      </c>
      <c r="G984" s="22">
        <v>44.3873110416</v>
      </c>
      <c r="H984" s="21" t="s">
        <v>1449</v>
      </c>
      <c r="I984" s="21" t="s">
        <v>1982</v>
      </c>
      <c r="J984" s="21" t="s">
        <v>1989</v>
      </c>
      <c r="K984" s="24">
        <v>90</v>
      </c>
      <c r="L984" s="24">
        <v>540</v>
      </c>
      <c r="M984" s="23">
        <v>71</v>
      </c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>
        <v>16</v>
      </c>
      <c r="Z984" s="23"/>
      <c r="AA984" s="23">
        <v>3</v>
      </c>
      <c r="AB984" s="23"/>
      <c r="AC984" s="23"/>
      <c r="AD984" s="23"/>
      <c r="AE984" s="23"/>
      <c r="AF984" s="23">
        <v>42</v>
      </c>
      <c r="AG984" s="23"/>
      <c r="AH984" s="23"/>
      <c r="AI984" s="23"/>
      <c r="AJ984" s="23"/>
      <c r="AK984" s="23">
        <v>22</v>
      </c>
      <c r="AL984" s="23"/>
      <c r="AM984" s="23">
        <v>26</v>
      </c>
      <c r="AN984" s="23"/>
      <c r="AO984" s="23">
        <v>31</v>
      </c>
      <c r="AP984" s="23">
        <v>10</v>
      </c>
      <c r="AQ984" s="23">
        <v>11</v>
      </c>
      <c r="AR984" s="23">
        <v>35</v>
      </c>
      <c r="AS984" s="23">
        <v>3</v>
      </c>
      <c r="AT984" s="23"/>
      <c r="AU984" s="14" t="str">
        <f>HYPERLINK("http://www.openstreetmap.org/?mlat=33.2156&amp;mlon=44.3897&amp;zoom=12#map=12/33.2156/44.3897","Maplink1")</f>
        <v>Maplink1</v>
      </c>
      <c r="AV984" s="14" t="str">
        <f>HYPERLINK("https://www.google.iq/maps/search/+33.2156,44.3897/@33.2156,44.3897,14z?hl=en","Maplink2")</f>
        <v>Maplink2</v>
      </c>
      <c r="AW984" s="14" t="str">
        <f>HYPERLINK("http://www.bing.com/maps/?lvl=14&amp;sty=h&amp;cp=33.2156~44.3897&amp;sp=point.33.2156_44.3897_Abu Dsheer-856","Maplink3")</f>
        <v>Maplink3</v>
      </c>
    </row>
    <row r="985" spans="1:49" ht="15" customHeight="1" x14ac:dyDescent="0.25">
      <c r="A985" s="21">
        <v>25405</v>
      </c>
      <c r="B985" s="22" t="s">
        <v>11</v>
      </c>
      <c r="C985" s="22" t="s">
        <v>1979</v>
      </c>
      <c r="D985" s="22" t="s">
        <v>1990</v>
      </c>
      <c r="E985" s="22" t="s">
        <v>1991</v>
      </c>
      <c r="F985" s="22">
        <v>33.21416</v>
      </c>
      <c r="G985" s="22">
        <v>44.383299999999998</v>
      </c>
      <c r="H985" s="21" t="s">
        <v>1449</v>
      </c>
      <c r="I985" s="21" t="s">
        <v>1982</v>
      </c>
      <c r="J985" s="21"/>
      <c r="K985" s="24">
        <v>20</v>
      </c>
      <c r="L985" s="24">
        <v>120</v>
      </c>
      <c r="M985" s="23">
        <v>20</v>
      </c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>
        <v>12</v>
      </c>
      <c r="AG985" s="23"/>
      <c r="AH985" s="23"/>
      <c r="AI985" s="23"/>
      <c r="AJ985" s="23"/>
      <c r="AK985" s="23">
        <v>8</v>
      </c>
      <c r="AL985" s="23"/>
      <c r="AM985" s="23"/>
      <c r="AN985" s="23"/>
      <c r="AO985" s="23">
        <v>5</v>
      </c>
      <c r="AP985" s="23"/>
      <c r="AQ985" s="23"/>
      <c r="AR985" s="23"/>
      <c r="AS985" s="23">
        <v>15</v>
      </c>
      <c r="AT985" s="23"/>
      <c r="AU985" s="14" t="str">
        <f>HYPERLINK("http://www.openstreetmap.org/?mlat=33.2156&amp;mlon=44.3897&amp;zoom=12#map=12/33.2156/44.3897","Maplink1")</f>
        <v>Maplink1</v>
      </c>
      <c r="AV985" s="14" t="str">
        <f>HYPERLINK("https://www.google.iq/maps/search/+33.2156,44.3897/@33.2156,44.3897,14z?hl=en","Maplink2")</f>
        <v>Maplink2</v>
      </c>
      <c r="AW985" s="14" t="str">
        <f>HYPERLINK("http://www.bing.com/maps/?lvl=14&amp;sty=h&amp;cp=33.2156~44.3897&amp;sp=point.33.2156_44.3897_Abu Dsheer-858","Maplink3")</f>
        <v>Maplink3</v>
      </c>
    </row>
    <row r="986" spans="1:49" ht="15" customHeight="1" x14ac:dyDescent="0.25">
      <c r="A986" s="21">
        <v>21451</v>
      </c>
      <c r="B986" s="22" t="s">
        <v>11</v>
      </c>
      <c r="C986" s="22" t="s">
        <v>1979</v>
      </c>
      <c r="D986" s="22" t="s">
        <v>8505</v>
      </c>
      <c r="E986" s="22" t="s">
        <v>7839</v>
      </c>
      <c r="F986" s="22">
        <v>33.293429650599997</v>
      </c>
      <c r="G986" s="22">
        <v>44.296174603700003</v>
      </c>
      <c r="H986" s="21" t="s">
        <v>1449</v>
      </c>
      <c r="I986" s="21" t="s">
        <v>1982</v>
      </c>
      <c r="J986" s="21" t="s">
        <v>2099</v>
      </c>
      <c r="K986" s="24">
        <v>701</v>
      </c>
      <c r="L986" s="24">
        <v>4206</v>
      </c>
      <c r="M986" s="23">
        <v>678</v>
      </c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>
        <v>23</v>
      </c>
      <c r="Z986" s="23"/>
      <c r="AA986" s="23"/>
      <c r="AB986" s="23"/>
      <c r="AC986" s="23"/>
      <c r="AD986" s="23"/>
      <c r="AE986" s="23"/>
      <c r="AF986" s="23">
        <v>212</v>
      </c>
      <c r="AG986" s="23"/>
      <c r="AH986" s="23"/>
      <c r="AI986" s="23"/>
      <c r="AJ986" s="23">
        <v>9</v>
      </c>
      <c r="AK986" s="23">
        <v>480</v>
      </c>
      <c r="AL986" s="23"/>
      <c r="AM986" s="23"/>
      <c r="AN986" s="23"/>
      <c r="AO986" s="23"/>
      <c r="AP986" s="23">
        <v>23</v>
      </c>
      <c r="AQ986" s="23"/>
      <c r="AR986" s="23"/>
      <c r="AS986" s="23">
        <v>671</v>
      </c>
      <c r="AT986" s="23">
        <v>7</v>
      </c>
      <c r="AU986" s="14" t="str">
        <f>HYPERLINK("http://www.openstreetmap.org/?mlat=33.2999&amp;mlon=44.3&amp;zoom=12#map=12/33.2999/44.3","Maplink1")</f>
        <v>Maplink1</v>
      </c>
      <c r="AV986" s="14" t="str">
        <f>HYPERLINK("https://www.google.iq/maps/search/+33.2999,44.3/@33.2999,44.3,14z?hl=en","Maplink2")</f>
        <v>Maplink2</v>
      </c>
      <c r="AW986" s="14" t="str">
        <f>HYPERLINK("http://www.bing.com/maps/?lvl=14&amp;sty=h&amp;cp=33.2999~44.3&amp;sp=point.33.2999_44.3_Amerya 632","Maplink3")</f>
        <v>Maplink3</v>
      </c>
    </row>
    <row r="987" spans="1:49" ht="15" customHeight="1" x14ac:dyDescent="0.25">
      <c r="A987" s="21">
        <v>21450</v>
      </c>
      <c r="B987" s="22" t="s">
        <v>11</v>
      </c>
      <c r="C987" s="22" t="s">
        <v>1979</v>
      </c>
      <c r="D987" s="22" t="s">
        <v>8506</v>
      </c>
      <c r="E987" s="22" t="s">
        <v>7840</v>
      </c>
      <c r="F987" s="22">
        <v>33.291109831500002</v>
      </c>
      <c r="G987" s="22">
        <v>44.2928771594</v>
      </c>
      <c r="H987" s="21" t="s">
        <v>1449</v>
      </c>
      <c r="I987" s="21" t="s">
        <v>1982</v>
      </c>
      <c r="J987" s="21" t="s">
        <v>2100</v>
      </c>
      <c r="K987" s="24">
        <v>652</v>
      </c>
      <c r="L987" s="24">
        <v>3912</v>
      </c>
      <c r="M987" s="23">
        <v>620</v>
      </c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>
        <v>32</v>
      </c>
      <c r="Z987" s="23"/>
      <c r="AA987" s="23"/>
      <c r="AB987" s="23"/>
      <c r="AC987" s="23"/>
      <c r="AD987" s="23"/>
      <c r="AE987" s="23"/>
      <c r="AF987" s="23">
        <v>199</v>
      </c>
      <c r="AG987" s="23"/>
      <c r="AH987" s="23"/>
      <c r="AI987" s="23"/>
      <c r="AJ987" s="23"/>
      <c r="AK987" s="23">
        <v>453</v>
      </c>
      <c r="AL987" s="23"/>
      <c r="AM987" s="23"/>
      <c r="AN987" s="23"/>
      <c r="AO987" s="23"/>
      <c r="AP987" s="23">
        <v>32</v>
      </c>
      <c r="AQ987" s="23"/>
      <c r="AR987" s="23">
        <v>12</v>
      </c>
      <c r="AS987" s="23">
        <v>600</v>
      </c>
      <c r="AT987" s="23">
        <v>8</v>
      </c>
      <c r="AU987" s="14" t="str">
        <f>HYPERLINK("http://www.openstreetmap.org/?mlat=33.2996&amp;mlon=44.2999&amp;zoom=12#map=12/33.2996/44.2999","Maplink1")</f>
        <v>Maplink1</v>
      </c>
      <c r="AV987" s="14" t="str">
        <f>HYPERLINK("https://www.google.iq/maps/search/+33.2996,44.2999/@33.2996,44.2999,14z?hl=en","Maplink2")</f>
        <v>Maplink2</v>
      </c>
      <c r="AW987" s="14" t="str">
        <f>HYPERLINK("http://www.bing.com/maps/?lvl=14&amp;sty=h&amp;cp=33.2996~44.2999&amp;sp=point.33.2996_44.2999_Amerya 634","Maplink3")</f>
        <v>Maplink3</v>
      </c>
    </row>
    <row r="988" spans="1:49" ht="15" customHeight="1" x14ac:dyDescent="0.25">
      <c r="A988" s="21">
        <v>21452</v>
      </c>
      <c r="B988" s="22" t="s">
        <v>11</v>
      </c>
      <c r="C988" s="22" t="s">
        <v>1979</v>
      </c>
      <c r="D988" s="22" t="s">
        <v>8507</v>
      </c>
      <c r="E988" s="22" t="s">
        <v>7841</v>
      </c>
      <c r="F988" s="22">
        <v>33.2981333261</v>
      </c>
      <c r="G988" s="22">
        <v>44.2844500502</v>
      </c>
      <c r="H988" s="21" t="s">
        <v>1449</v>
      </c>
      <c r="I988" s="21" t="s">
        <v>1982</v>
      </c>
      <c r="J988" s="21" t="s">
        <v>2101</v>
      </c>
      <c r="K988" s="24">
        <v>962</v>
      </c>
      <c r="L988" s="24">
        <v>5772</v>
      </c>
      <c r="M988" s="23">
        <v>907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>
        <v>55</v>
      </c>
      <c r="AB988" s="23"/>
      <c r="AC988" s="23"/>
      <c r="AD988" s="23"/>
      <c r="AE988" s="23"/>
      <c r="AF988" s="23">
        <v>300</v>
      </c>
      <c r="AG988" s="23"/>
      <c r="AH988" s="23"/>
      <c r="AI988" s="23"/>
      <c r="AJ988" s="23"/>
      <c r="AK988" s="23">
        <v>662</v>
      </c>
      <c r="AL988" s="23"/>
      <c r="AM988" s="23"/>
      <c r="AN988" s="23"/>
      <c r="AO988" s="23">
        <v>269</v>
      </c>
      <c r="AP988" s="23">
        <v>138</v>
      </c>
      <c r="AQ988" s="23"/>
      <c r="AR988" s="23"/>
      <c r="AS988" s="23">
        <v>553</v>
      </c>
      <c r="AT988" s="23">
        <v>2</v>
      </c>
      <c r="AU988" s="14" t="str">
        <f>HYPERLINK("http://www.openstreetmap.org/?mlat=33.2953&amp;mlon=44.2997&amp;zoom=12#map=12/33.2953/44.2997","Maplink1")</f>
        <v>Maplink1</v>
      </c>
      <c r="AV988" s="14" t="str">
        <f>HYPERLINK("https://www.google.iq/maps/search/+33.2953,44.2997/@33.2953,44.2997,14z?hl=en","Maplink2")</f>
        <v>Maplink2</v>
      </c>
      <c r="AW988" s="14" t="str">
        <f>HYPERLINK("http://www.bing.com/maps/?lvl=14&amp;sty=h&amp;cp=33.2953~44.2997&amp;sp=point.33.2953_44.2997_Amerya 636","Maplink3")</f>
        <v>Maplink3</v>
      </c>
    </row>
    <row r="989" spans="1:49" ht="15" customHeight="1" x14ac:dyDescent="0.25">
      <c r="A989" s="21">
        <v>21449</v>
      </c>
      <c r="B989" s="22" t="s">
        <v>11</v>
      </c>
      <c r="C989" s="22" t="s">
        <v>1979</v>
      </c>
      <c r="D989" s="22" t="s">
        <v>8508</v>
      </c>
      <c r="E989" s="22" t="s">
        <v>7842</v>
      </c>
      <c r="F989" s="22">
        <v>33.295655330000002</v>
      </c>
      <c r="G989" s="22">
        <v>44.291176526699999</v>
      </c>
      <c r="H989" s="21" t="s">
        <v>1449</v>
      </c>
      <c r="I989" s="21" t="s">
        <v>1982</v>
      </c>
      <c r="J989" s="21" t="s">
        <v>2102</v>
      </c>
      <c r="K989" s="24">
        <v>878</v>
      </c>
      <c r="L989" s="24">
        <v>5268</v>
      </c>
      <c r="M989" s="23">
        <v>854</v>
      </c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>
        <v>24</v>
      </c>
      <c r="Z989" s="23"/>
      <c r="AA989" s="23"/>
      <c r="AB989" s="23"/>
      <c r="AC989" s="23"/>
      <c r="AD989" s="23"/>
      <c r="AE989" s="23"/>
      <c r="AF989" s="23">
        <v>275</v>
      </c>
      <c r="AG989" s="23"/>
      <c r="AH989" s="23"/>
      <c r="AI989" s="23"/>
      <c r="AJ989" s="23"/>
      <c r="AK989" s="23">
        <v>603</v>
      </c>
      <c r="AL989" s="23"/>
      <c r="AM989" s="23"/>
      <c r="AN989" s="23"/>
      <c r="AO989" s="23">
        <v>182</v>
      </c>
      <c r="AP989" s="23">
        <v>37</v>
      </c>
      <c r="AQ989" s="23"/>
      <c r="AR989" s="23">
        <v>25</v>
      </c>
      <c r="AS989" s="23">
        <v>611</v>
      </c>
      <c r="AT989" s="23">
        <v>23</v>
      </c>
      <c r="AU989" s="14" t="str">
        <f>HYPERLINK("http://www.openstreetmap.org/?mlat=33.2952&amp;mlon=44.2997&amp;zoom=12#map=12/33.2952/44.2997","Maplink1")</f>
        <v>Maplink1</v>
      </c>
      <c r="AV989" s="14" t="str">
        <f>HYPERLINK("https://www.google.iq/maps/search/+33.2952,44.2997/@33.2952,44.2997,14z?hl=en","Maplink2")</f>
        <v>Maplink2</v>
      </c>
      <c r="AW989" s="14" t="str">
        <f>HYPERLINK("http://www.bing.com/maps/?lvl=14&amp;sty=h&amp;cp=33.2952~44.2997&amp;sp=point.33.2952_44.2997_Amerya 638","Maplink3")</f>
        <v>Maplink3</v>
      </c>
    </row>
    <row r="990" spans="1:49" ht="15" customHeight="1" x14ac:dyDescent="0.25">
      <c r="A990" s="21">
        <v>21446</v>
      </c>
      <c r="B990" s="22" t="s">
        <v>11</v>
      </c>
      <c r="C990" s="22" t="s">
        <v>1979</v>
      </c>
      <c r="D990" s="22" t="s">
        <v>8509</v>
      </c>
      <c r="E990" s="22" t="s">
        <v>7843</v>
      </c>
      <c r="F990" s="22">
        <v>33.29665</v>
      </c>
      <c r="G990" s="22">
        <v>44.291339999999998</v>
      </c>
      <c r="H990" s="21" t="s">
        <v>1449</v>
      </c>
      <c r="I990" s="21" t="s">
        <v>1982</v>
      </c>
      <c r="J990" s="21" t="s">
        <v>2103</v>
      </c>
      <c r="K990" s="24">
        <v>580</v>
      </c>
      <c r="L990" s="24">
        <v>3480</v>
      </c>
      <c r="M990" s="23">
        <v>501</v>
      </c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>
        <v>21</v>
      </c>
      <c r="Z990" s="23"/>
      <c r="AA990" s="23">
        <v>58</v>
      </c>
      <c r="AB990" s="23"/>
      <c r="AC990" s="23"/>
      <c r="AD990" s="23"/>
      <c r="AE990" s="23"/>
      <c r="AF990" s="23">
        <v>205</v>
      </c>
      <c r="AG990" s="23"/>
      <c r="AH990" s="23"/>
      <c r="AI990" s="23"/>
      <c r="AJ990" s="23"/>
      <c r="AK990" s="23">
        <v>375</v>
      </c>
      <c r="AL990" s="23"/>
      <c r="AM990" s="23"/>
      <c r="AN990" s="23"/>
      <c r="AO990" s="23">
        <v>150</v>
      </c>
      <c r="AP990" s="23">
        <v>189</v>
      </c>
      <c r="AQ990" s="23"/>
      <c r="AR990" s="23">
        <v>13</v>
      </c>
      <c r="AS990" s="23">
        <v>200</v>
      </c>
      <c r="AT990" s="23">
        <v>28</v>
      </c>
      <c r="AU990" s="14" t="str">
        <f>HYPERLINK("http://www.openstreetmap.org/?mlat=33.2954&amp;mlon=44.2997&amp;zoom=12#map=12/33.2954/44.2997","Maplink1")</f>
        <v>Maplink1</v>
      </c>
      <c r="AV990" s="14" t="str">
        <f>HYPERLINK("https://www.google.iq/maps/search/+33.2954,44.2997/@33.2954,44.2997,14z?hl=en","Maplink2")</f>
        <v>Maplink2</v>
      </c>
      <c r="AW990" s="14" t="str">
        <f>HYPERLINK("http://www.bing.com/maps/?lvl=14&amp;sty=h&amp;cp=33.2954~44.2997&amp;sp=point.33.2954_44.2997_Amreya 628","Maplink3")</f>
        <v>Maplink3</v>
      </c>
    </row>
    <row r="991" spans="1:49" ht="15" customHeight="1" x14ac:dyDescent="0.25">
      <c r="A991" s="21">
        <v>21448</v>
      </c>
      <c r="B991" s="22" t="s">
        <v>11</v>
      </c>
      <c r="C991" s="22" t="s">
        <v>1979</v>
      </c>
      <c r="D991" s="22" t="s">
        <v>8510</v>
      </c>
      <c r="E991" s="22" t="s">
        <v>7844</v>
      </c>
      <c r="F991" s="22">
        <v>33.306205394700001</v>
      </c>
      <c r="G991" s="22">
        <v>44.295398683400002</v>
      </c>
      <c r="H991" s="21" t="s">
        <v>1449</v>
      </c>
      <c r="I991" s="21" t="s">
        <v>1982</v>
      </c>
      <c r="J991" s="21" t="s">
        <v>2104</v>
      </c>
      <c r="K991" s="24">
        <v>697</v>
      </c>
      <c r="L991" s="24">
        <v>4182</v>
      </c>
      <c r="M991" s="23">
        <v>650</v>
      </c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>
        <v>47</v>
      </c>
      <c r="AB991" s="23"/>
      <c r="AC991" s="23"/>
      <c r="AD991" s="23"/>
      <c r="AE991" s="23"/>
      <c r="AF991" s="23">
        <v>201</v>
      </c>
      <c r="AG991" s="23"/>
      <c r="AH991" s="23"/>
      <c r="AI991" s="23"/>
      <c r="AJ991" s="23"/>
      <c r="AK991" s="23">
        <v>496</v>
      </c>
      <c r="AL991" s="23"/>
      <c r="AM991" s="23"/>
      <c r="AN991" s="23"/>
      <c r="AO991" s="23">
        <v>199</v>
      </c>
      <c r="AP991" s="23"/>
      <c r="AQ991" s="23"/>
      <c r="AR991" s="23">
        <v>64</v>
      </c>
      <c r="AS991" s="23">
        <v>421</v>
      </c>
      <c r="AT991" s="23">
        <v>13</v>
      </c>
      <c r="AU991" s="14" t="str">
        <f>HYPERLINK("http://www.openstreetmap.org/?mlat=33.2951&amp;mlon=44.2997&amp;zoom=12#map=12/33.2951/44.2997","Maplink1")</f>
        <v>Maplink1</v>
      </c>
      <c r="AV991" s="14" t="str">
        <f>HYPERLINK("https://www.google.iq/maps/search/+33.2951,44.2997/@33.2951,44.2997,14z?hl=en","Maplink2")</f>
        <v>Maplink2</v>
      </c>
      <c r="AW991" s="14" t="str">
        <f>HYPERLINK("http://www.bing.com/maps/?lvl=14&amp;sty=h&amp;cp=33.2951~44.2997&amp;sp=point.33.2951_44.2997_Amreya 630","Maplink3")</f>
        <v>Maplink3</v>
      </c>
    </row>
    <row r="992" spans="1:49" ht="15" customHeight="1" x14ac:dyDescent="0.25">
      <c r="A992" s="21">
        <v>23737</v>
      </c>
      <c r="B992" s="22" t="s">
        <v>11</v>
      </c>
      <c r="C992" s="22" t="s">
        <v>1979</v>
      </c>
      <c r="D992" s="22" t="s">
        <v>8207</v>
      </c>
      <c r="E992" s="22" t="s">
        <v>7801</v>
      </c>
      <c r="F992" s="22">
        <v>33.320114310000001</v>
      </c>
      <c r="G992" s="22">
        <v>44.345894100000002</v>
      </c>
      <c r="H992" s="21" t="s">
        <v>1449</v>
      </c>
      <c r="I992" s="21" t="s">
        <v>1982</v>
      </c>
      <c r="J992" s="21" t="s">
        <v>7507</v>
      </c>
      <c r="K992" s="24">
        <v>12</v>
      </c>
      <c r="L992" s="24">
        <v>72</v>
      </c>
      <c r="M992" s="23">
        <v>12</v>
      </c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>
        <v>12</v>
      </c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>
        <v>12</v>
      </c>
      <c r="AU992" s="14" t="str">
        <f>HYPERLINK("http://www.openstreetmap.org/?mlat=33.3201&amp;mlon=44.3459&amp;zoom=12#map=12/33.3201/44.3459","Maplink1")</f>
        <v>Maplink1</v>
      </c>
      <c r="AV992" s="14" t="str">
        <f>HYPERLINK("https://www.google.iq/maps/search/+33.3201,44.3459/@33.3201,44.3459,14z?hl=en","Maplink2")</f>
        <v>Maplink2</v>
      </c>
      <c r="AW992" s="14" t="str">
        <f>HYPERLINK("http://www.bing.com/maps/?lvl=14&amp;sty=h&amp;cp=33.3201~44.3459&amp;sp=point.33.3201_44.3459_Al iskan-613","Maplink3")</f>
        <v>Maplink3</v>
      </c>
    </row>
    <row r="993" spans="1:49" ht="15" customHeight="1" x14ac:dyDescent="0.25">
      <c r="A993" s="21">
        <v>26042</v>
      </c>
      <c r="B993" s="22" t="s">
        <v>11</v>
      </c>
      <c r="C993" s="22" t="s">
        <v>1979</v>
      </c>
      <c r="D993" s="22" t="s">
        <v>1992</v>
      </c>
      <c r="E993" s="22" t="s">
        <v>7792</v>
      </c>
      <c r="F993" s="22">
        <v>33.3142306795</v>
      </c>
      <c r="G993" s="22">
        <v>44.335641805100003</v>
      </c>
      <c r="H993" s="21" t="s">
        <v>1449</v>
      </c>
      <c r="I993" s="21" t="s">
        <v>1982</v>
      </c>
      <c r="J993" s="21"/>
      <c r="K993" s="24">
        <v>176</v>
      </c>
      <c r="L993" s="24">
        <v>1056</v>
      </c>
      <c r="M993" s="23">
        <v>172</v>
      </c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>
        <v>4</v>
      </c>
      <c r="Z993" s="23"/>
      <c r="AA993" s="23"/>
      <c r="AB993" s="23"/>
      <c r="AC993" s="23"/>
      <c r="AD993" s="23"/>
      <c r="AE993" s="23"/>
      <c r="AF993" s="23">
        <v>140</v>
      </c>
      <c r="AG993" s="23"/>
      <c r="AH993" s="23"/>
      <c r="AI993" s="23"/>
      <c r="AJ993" s="23"/>
      <c r="AK993" s="23">
        <v>36</v>
      </c>
      <c r="AL993" s="23"/>
      <c r="AM993" s="23"/>
      <c r="AN993" s="23"/>
      <c r="AO993" s="23"/>
      <c r="AP993" s="23"/>
      <c r="AQ993" s="23">
        <v>43</v>
      </c>
      <c r="AR993" s="23">
        <v>47</v>
      </c>
      <c r="AS993" s="23">
        <v>43</v>
      </c>
      <c r="AT993" s="23">
        <v>43</v>
      </c>
      <c r="AU993" s="14" t="str">
        <f>HYPERLINK("http://www.openstreetmap.org/?mlat=33.3236&amp;mlon=44.3343&amp;zoom=12#map=12/33.3236/44.3343","Maplink1")</f>
        <v>Maplink1</v>
      </c>
      <c r="AV993" s="14" t="str">
        <f>HYPERLINK("https://www.google.iq/maps/search/+33.3236,44.3343/@33.3236,44.3343,14z?hl=en","Maplink2")</f>
        <v>Maplink2</v>
      </c>
      <c r="AW993" s="14" t="str">
        <f>HYPERLINK("http://www.bing.com/maps/?lvl=14&amp;sty=h&amp;cp=33.3236~44.3343&amp;sp=point.33.3236_44.3343_Al Andulus-611","Maplink3")</f>
        <v>Maplink3</v>
      </c>
    </row>
    <row r="994" spans="1:49" ht="15" customHeight="1" x14ac:dyDescent="0.25">
      <c r="A994" s="21">
        <v>24060</v>
      </c>
      <c r="B994" s="22" t="s">
        <v>11</v>
      </c>
      <c r="C994" s="22" t="s">
        <v>1979</v>
      </c>
      <c r="D994" s="22" t="s">
        <v>1993</v>
      </c>
      <c r="E994" s="22" t="s">
        <v>7793</v>
      </c>
      <c r="F994" s="22">
        <v>33.313622782000003</v>
      </c>
      <c r="G994" s="22">
        <v>44.338422669099998</v>
      </c>
      <c r="H994" s="21" t="s">
        <v>1449</v>
      </c>
      <c r="I994" s="21" t="s">
        <v>1982</v>
      </c>
      <c r="J994" s="21" t="s">
        <v>1994</v>
      </c>
      <c r="K994" s="24">
        <v>212</v>
      </c>
      <c r="L994" s="24">
        <v>1272</v>
      </c>
      <c r="M994" s="23">
        <v>212</v>
      </c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>
        <v>146</v>
      </c>
      <c r="AG994" s="23"/>
      <c r="AH994" s="23"/>
      <c r="AI994" s="23"/>
      <c r="AJ994" s="23"/>
      <c r="AK994" s="23">
        <v>66</v>
      </c>
      <c r="AL994" s="23"/>
      <c r="AM994" s="23"/>
      <c r="AN994" s="23"/>
      <c r="AO994" s="23">
        <v>75</v>
      </c>
      <c r="AP994" s="23">
        <v>66</v>
      </c>
      <c r="AQ994" s="23"/>
      <c r="AR994" s="23"/>
      <c r="AS994" s="23">
        <v>61</v>
      </c>
      <c r="AT994" s="23">
        <v>10</v>
      </c>
      <c r="AU994" s="14" t="str">
        <f>HYPERLINK("http://www.openstreetmap.org/?mlat=33.3232&amp;mlon=44.336&amp;zoom=12#map=12/33.3232/44.336","Maplink1")</f>
        <v>Maplink1</v>
      </c>
      <c r="AV994" s="14" t="str">
        <f>HYPERLINK("https://www.google.iq/maps/search/+33.3232,44.336/@33.3232,44.336,14z?hl=en","Maplink2")</f>
        <v>Maplink2</v>
      </c>
      <c r="AW994" s="14" t="str">
        <f>HYPERLINK("http://www.bing.com/maps/?lvl=14&amp;sty=h&amp;cp=33.3232~44.336&amp;sp=point.33.3232_44.336_Al Andulus-617","Maplink3")</f>
        <v>Maplink3</v>
      </c>
    </row>
    <row r="995" spans="1:49" ht="15" customHeight="1" x14ac:dyDescent="0.25">
      <c r="A995" s="21">
        <v>7515</v>
      </c>
      <c r="B995" s="22" t="s">
        <v>11</v>
      </c>
      <c r="C995" s="22" t="s">
        <v>1979</v>
      </c>
      <c r="D995" s="22" t="s">
        <v>8511</v>
      </c>
      <c r="E995" s="22" t="s">
        <v>8512</v>
      </c>
      <c r="F995" s="22">
        <v>33.263930379800001</v>
      </c>
      <c r="G995" s="22">
        <v>44.340372943299997</v>
      </c>
      <c r="H995" s="21" t="s">
        <v>1449</v>
      </c>
      <c r="I995" s="21" t="s">
        <v>1982</v>
      </c>
      <c r="J995" s="21" t="s">
        <v>1995</v>
      </c>
      <c r="K995" s="24">
        <v>224</v>
      </c>
      <c r="L995" s="24">
        <v>1344</v>
      </c>
      <c r="M995" s="23">
        <v>84</v>
      </c>
      <c r="N995" s="23"/>
      <c r="O995" s="23"/>
      <c r="P995" s="23"/>
      <c r="Q995" s="23"/>
      <c r="R995" s="23">
        <v>12</v>
      </c>
      <c r="S995" s="23"/>
      <c r="T995" s="23"/>
      <c r="U995" s="23">
        <v>4</v>
      </c>
      <c r="V995" s="23"/>
      <c r="W995" s="23"/>
      <c r="X995" s="23"/>
      <c r="Y995" s="23">
        <v>99</v>
      </c>
      <c r="Z995" s="23"/>
      <c r="AA995" s="23">
        <v>25</v>
      </c>
      <c r="AB995" s="23"/>
      <c r="AC995" s="23"/>
      <c r="AD995" s="23"/>
      <c r="AE995" s="23"/>
      <c r="AF995" s="23">
        <v>82</v>
      </c>
      <c r="AG995" s="23"/>
      <c r="AH995" s="23"/>
      <c r="AI995" s="23"/>
      <c r="AJ995" s="23"/>
      <c r="AK995" s="23">
        <v>142</v>
      </c>
      <c r="AL995" s="23"/>
      <c r="AM995" s="23"/>
      <c r="AN995" s="23"/>
      <c r="AO995" s="23">
        <v>29</v>
      </c>
      <c r="AP995" s="23">
        <v>71</v>
      </c>
      <c r="AQ995" s="23">
        <v>60</v>
      </c>
      <c r="AR995" s="23">
        <v>37</v>
      </c>
      <c r="AS995" s="23">
        <v>27</v>
      </c>
      <c r="AT995" s="23"/>
      <c r="AU995" s="14" t="str">
        <f>HYPERLINK("http://www.openstreetmap.org/?mlat=33.2663&amp;mlon=44.3443&amp;zoom=12#map=12/33.2663/44.3443","Maplink1")</f>
        <v>Maplink1</v>
      </c>
      <c r="AV995" s="14" t="str">
        <f>HYPERLINK("https://www.google.iq/maps/search/+33.2663,44.3443/@33.2663,44.3443,14z?hl=en","Maplink2")</f>
        <v>Maplink2</v>
      </c>
      <c r="AW995" s="14" t="str">
        <f>HYPERLINK("http://www.bing.com/maps/?lvl=14&amp;sty=h&amp;cp=33.2663~44.3443&amp;sp=point.33.2663_44.3443_Al Bayaa","Maplink3")</f>
        <v>Maplink3</v>
      </c>
    </row>
    <row r="996" spans="1:49" ht="15" customHeight="1" x14ac:dyDescent="0.25">
      <c r="A996" s="21">
        <v>25221</v>
      </c>
      <c r="B996" s="22" t="s">
        <v>11</v>
      </c>
      <c r="C996" s="22" t="s">
        <v>1979</v>
      </c>
      <c r="D996" s="22" t="s">
        <v>1996</v>
      </c>
      <c r="E996" s="22" t="s">
        <v>8182</v>
      </c>
      <c r="F996" s="22">
        <v>33.277915503700001</v>
      </c>
      <c r="G996" s="22">
        <v>44.276827157</v>
      </c>
      <c r="H996" s="21" t="s">
        <v>1449</v>
      </c>
      <c r="I996" s="21" t="s">
        <v>1982</v>
      </c>
      <c r="J996" s="21"/>
      <c r="K996" s="24">
        <v>464</v>
      </c>
      <c r="L996" s="24">
        <v>2784</v>
      </c>
      <c r="M996" s="23">
        <v>367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>
        <v>58</v>
      </c>
      <c r="Z996" s="23"/>
      <c r="AA996" s="23">
        <v>39</v>
      </c>
      <c r="AB996" s="23"/>
      <c r="AC996" s="23"/>
      <c r="AD996" s="23"/>
      <c r="AE996" s="23"/>
      <c r="AF996" s="23">
        <v>181</v>
      </c>
      <c r="AG996" s="23"/>
      <c r="AH996" s="23">
        <v>46</v>
      </c>
      <c r="AI996" s="23"/>
      <c r="AJ996" s="23"/>
      <c r="AK996" s="23">
        <v>213</v>
      </c>
      <c r="AL996" s="23"/>
      <c r="AM996" s="23">
        <v>24</v>
      </c>
      <c r="AN996" s="23"/>
      <c r="AO996" s="23">
        <v>63</v>
      </c>
      <c r="AP996" s="23">
        <v>55</v>
      </c>
      <c r="AQ996" s="23">
        <v>56</v>
      </c>
      <c r="AR996" s="23">
        <v>103</v>
      </c>
      <c r="AS996" s="23">
        <v>187</v>
      </c>
      <c r="AT996" s="23"/>
      <c r="AU996" s="14" t="str">
        <f>HYPERLINK("http://www.openstreetmap.org/?mlat=33.2375&amp;mlon=44.2996&amp;zoom=12#map=12/33.2375/44.2996","Maplink1")</f>
        <v>Maplink1</v>
      </c>
      <c r="AV996" s="14" t="str">
        <f>HYPERLINK("https://www.google.iq/maps/search/+33.2375,44.2996/@33.2375,44.2996,14z?hl=en","Maplink2")</f>
        <v>Maplink2</v>
      </c>
      <c r="AW996" s="14" t="str">
        <f>HYPERLINK("http://www.bing.com/maps/?lvl=14&amp;sty=h&amp;cp=33.2375~44.2996&amp;sp=point.33.2375_44.2996_Al Forat-893","Maplink3")</f>
        <v>Maplink3</v>
      </c>
    </row>
    <row r="997" spans="1:49" ht="15" customHeight="1" x14ac:dyDescent="0.25">
      <c r="A997" s="21">
        <v>27119</v>
      </c>
      <c r="B997" s="22" t="s">
        <v>11</v>
      </c>
      <c r="C997" s="22" t="s">
        <v>1979</v>
      </c>
      <c r="D997" s="22" t="s">
        <v>7426</v>
      </c>
      <c r="E997" s="22" t="s">
        <v>7794</v>
      </c>
      <c r="F997" s="22">
        <v>33.234460522200003</v>
      </c>
      <c r="G997" s="22">
        <v>44.303715011400001</v>
      </c>
      <c r="H997" s="21" t="s">
        <v>1449</v>
      </c>
      <c r="I997" s="21" t="s">
        <v>1872</v>
      </c>
      <c r="J997" s="21"/>
      <c r="K997" s="24">
        <v>42</v>
      </c>
      <c r="L997" s="24">
        <v>252</v>
      </c>
      <c r="M997" s="23">
        <v>10</v>
      </c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>
        <v>32</v>
      </c>
      <c r="Z997" s="23"/>
      <c r="AA997" s="23"/>
      <c r="AB997" s="23"/>
      <c r="AC997" s="23"/>
      <c r="AD997" s="23"/>
      <c r="AE997" s="23"/>
      <c r="AF997" s="23">
        <v>16</v>
      </c>
      <c r="AG997" s="23"/>
      <c r="AH997" s="23"/>
      <c r="AI997" s="23"/>
      <c r="AJ997" s="23"/>
      <c r="AK997" s="23">
        <v>21</v>
      </c>
      <c r="AL997" s="23"/>
      <c r="AM997" s="23">
        <v>5</v>
      </c>
      <c r="AN997" s="23"/>
      <c r="AO997" s="23"/>
      <c r="AP997" s="23"/>
      <c r="AQ997" s="23">
        <v>32</v>
      </c>
      <c r="AR997" s="23"/>
      <c r="AS997" s="23">
        <v>10</v>
      </c>
      <c r="AT997" s="23"/>
      <c r="AU997" s="14" t="str">
        <f>HYPERLINK("http://www.openstreetmap.org/?mlat=33.2375&amp;mlon=44.2996&amp;zoom=12#map=12/33.2375/44.2996","Maplink1")</f>
        <v>Maplink1</v>
      </c>
      <c r="AV997" s="14" t="str">
        <f>HYPERLINK("https://www.google.iq/maps/search/+33.2375,44.2996/@33.2375,44.2996,14z?hl=en","Maplink2")</f>
        <v>Maplink2</v>
      </c>
      <c r="AW997" s="14" t="str">
        <f>HYPERLINK("http://www.bing.com/maps/?lvl=14&amp;sty=h&amp;cp=33.2375~44.2996&amp;sp=point.33.2375_44.2996_Al Forat - Shaka 6","Maplink3")</f>
        <v>Maplink3</v>
      </c>
    </row>
    <row r="998" spans="1:49" ht="15" customHeight="1" x14ac:dyDescent="0.25">
      <c r="A998" s="21">
        <v>25412</v>
      </c>
      <c r="B998" s="22" t="s">
        <v>11</v>
      </c>
      <c r="C998" s="22" t="s">
        <v>1979</v>
      </c>
      <c r="D998" s="22" t="s">
        <v>1997</v>
      </c>
      <c r="E998" s="22" t="s">
        <v>7795</v>
      </c>
      <c r="F998" s="22">
        <v>33.341299999999997</v>
      </c>
      <c r="G998" s="22">
        <v>44.278799999999997</v>
      </c>
      <c r="H998" s="21" t="s">
        <v>1449</v>
      </c>
      <c r="I998" s="21" t="s">
        <v>1982</v>
      </c>
      <c r="J998" s="21"/>
      <c r="K998" s="24">
        <v>197</v>
      </c>
      <c r="L998" s="24">
        <v>1182</v>
      </c>
      <c r="M998" s="23">
        <v>167</v>
      </c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>
        <v>30</v>
      </c>
      <c r="AB998" s="23"/>
      <c r="AC998" s="23"/>
      <c r="AD998" s="23"/>
      <c r="AE998" s="23"/>
      <c r="AF998" s="23">
        <v>37</v>
      </c>
      <c r="AG998" s="23"/>
      <c r="AH998" s="23"/>
      <c r="AI998" s="23"/>
      <c r="AJ998" s="23">
        <v>48</v>
      </c>
      <c r="AK998" s="23">
        <v>112</v>
      </c>
      <c r="AL998" s="23"/>
      <c r="AM998" s="23"/>
      <c r="AN998" s="23"/>
      <c r="AO998" s="23">
        <v>82</v>
      </c>
      <c r="AP998" s="23"/>
      <c r="AQ998" s="23">
        <v>20</v>
      </c>
      <c r="AR998" s="23"/>
      <c r="AS998" s="23">
        <v>95</v>
      </c>
      <c r="AT998" s="23"/>
      <c r="AU998" s="14" t="str">
        <f>HYPERLINK("http://www.openstreetmap.org/?mlat=33.3201&amp;mlon=44.3459&amp;zoom=12#map=12/33.3201/44.3459","Maplink1")</f>
        <v>Maplink1</v>
      </c>
      <c r="AV998" s="14" t="str">
        <f>HYPERLINK("https://www.google.iq/maps/search/+33.3201,44.3459/@33.3201,44.3459,14z?hl=en","Maplink2")</f>
        <v>Maplink2</v>
      </c>
      <c r="AW998" s="14" t="str">
        <f>HYPERLINK("http://www.bing.com/maps/?lvl=14&amp;sty=h&amp;cp=33.3201~44.3459&amp;sp=point.33.3201_44.3459_Al Ghazaliya-649","Maplink3")</f>
        <v>Maplink3</v>
      </c>
    </row>
    <row r="999" spans="1:49" ht="15" customHeight="1" x14ac:dyDescent="0.25">
      <c r="A999" s="21">
        <v>25413</v>
      </c>
      <c r="B999" s="22" t="s">
        <v>11</v>
      </c>
      <c r="C999" s="22" t="s">
        <v>1979</v>
      </c>
      <c r="D999" s="22" t="s">
        <v>1998</v>
      </c>
      <c r="E999" s="22" t="s">
        <v>1999</v>
      </c>
      <c r="F999" s="22">
        <v>33.330148919499997</v>
      </c>
      <c r="G999" s="22">
        <v>44.286401560500003</v>
      </c>
      <c r="H999" s="21" t="s">
        <v>1449</v>
      </c>
      <c r="I999" s="21" t="s">
        <v>1982</v>
      </c>
      <c r="J999" s="21"/>
      <c r="K999" s="24">
        <v>180</v>
      </c>
      <c r="L999" s="24">
        <v>1080</v>
      </c>
      <c r="M999" s="23">
        <v>150</v>
      </c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>
        <v>30</v>
      </c>
      <c r="AB999" s="23"/>
      <c r="AC999" s="23"/>
      <c r="AD999" s="23"/>
      <c r="AE999" s="23"/>
      <c r="AF999" s="23"/>
      <c r="AG999" s="23"/>
      <c r="AH999" s="23"/>
      <c r="AI999" s="23"/>
      <c r="AJ999" s="23"/>
      <c r="AK999" s="23">
        <v>180</v>
      </c>
      <c r="AL999" s="23"/>
      <c r="AM999" s="23"/>
      <c r="AN999" s="23"/>
      <c r="AO999" s="23">
        <v>59</v>
      </c>
      <c r="AP999" s="23">
        <v>98</v>
      </c>
      <c r="AQ999" s="23"/>
      <c r="AR999" s="23">
        <v>23</v>
      </c>
      <c r="AS999" s="23"/>
      <c r="AT999" s="23"/>
      <c r="AU999" s="14" t="str">
        <f>HYPERLINK("http://www.openstreetmap.org/?mlat=33.3201&amp;mlon=44.3459&amp;zoom=12#map=12/33.3201/44.3459","Maplink1")</f>
        <v>Maplink1</v>
      </c>
      <c r="AV999" s="14" t="str">
        <f>HYPERLINK("https://www.google.iq/maps/search/+33.3201,44.3459/@33.3201,44.3459,14z?hl=en","Maplink2")</f>
        <v>Maplink2</v>
      </c>
      <c r="AW999" s="14" t="str">
        <f>HYPERLINK("http://www.bing.com/maps/?lvl=14&amp;sty=h&amp;cp=33.3201~44.3459&amp;sp=point.33.3201_44.3459_Al Ghazaliya-651","Maplink3")</f>
        <v>Maplink3</v>
      </c>
    </row>
    <row r="1000" spans="1:49" ht="15" customHeight="1" x14ac:dyDescent="0.25">
      <c r="A1000" s="21">
        <v>25414</v>
      </c>
      <c r="B1000" s="22" t="s">
        <v>11</v>
      </c>
      <c r="C1000" s="22" t="s">
        <v>1979</v>
      </c>
      <c r="D1000" s="22" t="s">
        <v>2000</v>
      </c>
      <c r="E1000" s="22" t="s">
        <v>7796</v>
      </c>
      <c r="F1000" s="22">
        <v>33.353000000000002</v>
      </c>
      <c r="G1000" s="22">
        <v>44.271000000000001</v>
      </c>
      <c r="H1000" s="21" t="s">
        <v>1449</v>
      </c>
      <c r="I1000" s="21" t="s">
        <v>1982</v>
      </c>
      <c r="J1000" s="21"/>
      <c r="K1000" s="24">
        <v>171</v>
      </c>
      <c r="L1000" s="24">
        <v>1026</v>
      </c>
      <c r="M1000" s="23">
        <v>110</v>
      </c>
      <c r="N1000" s="23"/>
      <c r="O1000" s="23"/>
      <c r="P1000" s="23"/>
      <c r="Q1000" s="23"/>
      <c r="R1000" s="23">
        <v>32</v>
      </c>
      <c r="S1000" s="23"/>
      <c r="T1000" s="23"/>
      <c r="U1000" s="23"/>
      <c r="V1000" s="23"/>
      <c r="W1000" s="23"/>
      <c r="X1000" s="23"/>
      <c r="Y1000" s="23"/>
      <c r="Z1000" s="23"/>
      <c r="AA1000" s="23">
        <v>29</v>
      </c>
      <c r="AB1000" s="23"/>
      <c r="AC1000" s="23"/>
      <c r="AD1000" s="23"/>
      <c r="AE1000" s="23"/>
      <c r="AF1000" s="23">
        <v>14</v>
      </c>
      <c r="AG1000" s="23"/>
      <c r="AH1000" s="23"/>
      <c r="AI1000" s="23"/>
      <c r="AJ1000" s="23"/>
      <c r="AK1000" s="23">
        <v>157</v>
      </c>
      <c r="AL1000" s="23"/>
      <c r="AM1000" s="23"/>
      <c r="AN1000" s="23"/>
      <c r="AO1000" s="23">
        <v>64</v>
      </c>
      <c r="AP1000" s="23">
        <v>42</v>
      </c>
      <c r="AQ1000" s="23">
        <v>18</v>
      </c>
      <c r="AR1000" s="23">
        <v>42</v>
      </c>
      <c r="AS1000" s="23">
        <v>5</v>
      </c>
      <c r="AT1000" s="23"/>
      <c r="AU1000" s="14" t="str">
        <f>HYPERLINK("http://www.openstreetmap.org/?mlat=33.3401&amp;mlon=44.2842&amp;zoom=12#map=12/33.3401/44.2842","Maplink1")</f>
        <v>Maplink1</v>
      </c>
      <c r="AV1000" s="14" t="str">
        <f>HYPERLINK("https://www.google.iq/maps/search/+33.3401,44.2842/@33.3401,44.2842,14z?hl=en","Maplink2")</f>
        <v>Maplink2</v>
      </c>
      <c r="AW1000" s="14" t="str">
        <f>HYPERLINK("http://www.bing.com/maps/?lvl=14&amp;sty=h&amp;cp=33.3401~44.2842&amp;sp=point.33.3401_44.2842_Al Ghazaliya-653","Maplink3")</f>
        <v>Maplink3</v>
      </c>
    </row>
    <row r="1001" spans="1:49" ht="15" customHeight="1" x14ac:dyDescent="0.25">
      <c r="A1001" s="21">
        <v>25415</v>
      </c>
      <c r="B1001" s="22" t="s">
        <v>11</v>
      </c>
      <c r="C1001" s="22" t="s">
        <v>1979</v>
      </c>
      <c r="D1001" s="22" t="s">
        <v>2001</v>
      </c>
      <c r="E1001" s="22" t="s">
        <v>2002</v>
      </c>
      <c r="F1001" s="22">
        <v>33.351999999999997</v>
      </c>
      <c r="G1001" s="22">
        <v>44.265000000000001</v>
      </c>
      <c r="H1001" s="21" t="s">
        <v>1449</v>
      </c>
      <c r="I1001" s="21" t="s">
        <v>1982</v>
      </c>
      <c r="J1001" s="21"/>
      <c r="K1001" s="24">
        <v>512</v>
      </c>
      <c r="L1001" s="24">
        <v>3072</v>
      </c>
      <c r="M1001" s="23">
        <v>296</v>
      </c>
      <c r="N1001" s="23"/>
      <c r="O1001" s="23"/>
      <c r="P1001" s="23"/>
      <c r="Q1001" s="23"/>
      <c r="R1001" s="23">
        <v>29</v>
      </c>
      <c r="S1001" s="23"/>
      <c r="T1001" s="23"/>
      <c r="U1001" s="23"/>
      <c r="V1001" s="23"/>
      <c r="W1001" s="23"/>
      <c r="X1001" s="23"/>
      <c r="Y1001" s="23">
        <v>63</v>
      </c>
      <c r="Z1001" s="23"/>
      <c r="AA1001" s="23">
        <v>124</v>
      </c>
      <c r="AB1001" s="23"/>
      <c r="AC1001" s="23"/>
      <c r="AD1001" s="23"/>
      <c r="AE1001" s="23"/>
      <c r="AF1001" s="23">
        <v>60</v>
      </c>
      <c r="AG1001" s="23"/>
      <c r="AH1001" s="23"/>
      <c r="AI1001" s="23"/>
      <c r="AJ1001" s="23"/>
      <c r="AK1001" s="23">
        <v>392</v>
      </c>
      <c r="AL1001" s="23"/>
      <c r="AM1001" s="23">
        <v>60</v>
      </c>
      <c r="AN1001" s="23"/>
      <c r="AO1001" s="23">
        <v>112</v>
      </c>
      <c r="AP1001" s="23">
        <v>180</v>
      </c>
      <c r="AQ1001" s="23">
        <v>60</v>
      </c>
      <c r="AR1001" s="23">
        <v>92</v>
      </c>
      <c r="AS1001" s="23">
        <v>68</v>
      </c>
      <c r="AT1001" s="23"/>
      <c r="AU1001" s="14" t="str">
        <f>HYPERLINK("http://www.openstreetmap.org/?mlat=33.3201&amp;mlon=44.3459&amp;zoom=12#map=12/33.3201/44.3459","Maplink1")</f>
        <v>Maplink1</v>
      </c>
      <c r="AV1001" s="14" t="str">
        <f>HYPERLINK("https://www.google.iq/maps/search/+33.3201,44.3459/@33.3201,44.3459,14z?hl=en","Maplink2")</f>
        <v>Maplink2</v>
      </c>
      <c r="AW1001" s="14" t="str">
        <f>HYPERLINK("http://www.bing.com/maps/?lvl=14&amp;sty=h&amp;cp=33.3201~44.3459&amp;sp=point.33.3201_44.3459_Al Ghazaliya-655","Maplink3")</f>
        <v>Maplink3</v>
      </c>
    </row>
    <row r="1002" spans="1:49" ht="15" customHeight="1" x14ac:dyDescent="0.25">
      <c r="A1002" s="21">
        <v>25411</v>
      </c>
      <c r="B1002" s="22" t="s">
        <v>11</v>
      </c>
      <c r="C1002" s="22" t="s">
        <v>1979</v>
      </c>
      <c r="D1002" s="22" t="s">
        <v>2003</v>
      </c>
      <c r="E1002" s="22" t="s">
        <v>2004</v>
      </c>
      <c r="F1002" s="22">
        <v>33.337600000000002</v>
      </c>
      <c r="G1002" s="22">
        <v>44.275100000000002</v>
      </c>
      <c r="H1002" s="21" t="s">
        <v>1449</v>
      </c>
      <c r="I1002" s="21" t="s">
        <v>1982</v>
      </c>
      <c r="J1002" s="21"/>
      <c r="K1002" s="24">
        <v>62</v>
      </c>
      <c r="L1002" s="24">
        <v>372</v>
      </c>
      <c r="M1002" s="23">
        <v>39</v>
      </c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>
        <v>23</v>
      </c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>
        <v>62</v>
      </c>
      <c r="AL1002" s="23"/>
      <c r="AM1002" s="23"/>
      <c r="AN1002" s="23"/>
      <c r="AO1002" s="23"/>
      <c r="AP1002" s="23"/>
      <c r="AQ1002" s="23"/>
      <c r="AR1002" s="23">
        <v>23</v>
      </c>
      <c r="AS1002" s="23">
        <v>39</v>
      </c>
      <c r="AT1002" s="23"/>
      <c r="AU1002" s="14" t="str">
        <f>HYPERLINK("http://www.openstreetmap.org/?mlat=33.3413&amp;mlon=44.272&amp;zoom=12#map=12/33.3413/44.272","Maplink1")</f>
        <v>Maplink1</v>
      </c>
      <c r="AV1002" s="14" t="str">
        <f>HYPERLINK("https://www.google.iq/maps/search/+33.3413,44.272/@33.3413,44.272,14z?hl=en","Maplink2")</f>
        <v>Maplink2</v>
      </c>
      <c r="AW1002" s="14" t="str">
        <f>HYPERLINK("http://www.bing.com/maps/?lvl=14&amp;sty=h&amp;cp=33.3413~44.272&amp;sp=point.33.3413_44.272_Al Ghazaliya-659","Maplink3")</f>
        <v>Maplink3</v>
      </c>
    </row>
    <row r="1003" spans="1:49" ht="15" customHeight="1" x14ac:dyDescent="0.25">
      <c r="A1003" s="21">
        <v>25410</v>
      </c>
      <c r="B1003" s="22" t="s">
        <v>11</v>
      </c>
      <c r="C1003" s="22" t="s">
        <v>1979</v>
      </c>
      <c r="D1003" s="22" t="s">
        <v>2005</v>
      </c>
      <c r="E1003" s="22" t="s">
        <v>2006</v>
      </c>
      <c r="F1003" s="22">
        <v>33.342599999999997</v>
      </c>
      <c r="G1003" s="22">
        <v>44.284199999999998</v>
      </c>
      <c r="H1003" s="21" t="s">
        <v>1449</v>
      </c>
      <c r="I1003" s="21" t="s">
        <v>1982</v>
      </c>
      <c r="J1003" s="21"/>
      <c r="K1003" s="24">
        <v>86</v>
      </c>
      <c r="L1003" s="24">
        <v>516</v>
      </c>
      <c r="M1003" s="23">
        <v>78</v>
      </c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>
        <v>8</v>
      </c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>
        <v>64</v>
      </c>
      <c r="AL1003" s="23"/>
      <c r="AM1003" s="23">
        <v>22</v>
      </c>
      <c r="AN1003" s="23"/>
      <c r="AO1003" s="23">
        <v>29</v>
      </c>
      <c r="AP1003" s="23">
        <v>11</v>
      </c>
      <c r="AQ1003" s="23"/>
      <c r="AR1003" s="23">
        <v>14</v>
      </c>
      <c r="AS1003" s="23">
        <v>32</v>
      </c>
      <c r="AT1003" s="23"/>
      <c r="AU1003" s="14" t="str">
        <f>HYPERLINK("http://www.openstreetmap.org/?mlat=33.3436&amp;mlon=44.2727&amp;zoom=12#map=12/33.3436/44.2727","Maplink1")</f>
        <v>Maplink1</v>
      </c>
      <c r="AV1003" s="14" t="str">
        <f>HYPERLINK("https://www.google.iq/maps/search/+33.3436,44.2727/@33.3436,44.2727,14z?hl=en","Maplink2")</f>
        <v>Maplink2</v>
      </c>
      <c r="AW1003" s="14" t="str">
        <f>HYPERLINK("http://www.bing.com/maps/?lvl=14&amp;sty=h&amp;cp=33.3436~44.2727&amp;sp=point.33.3436_44.2727_Al Ghazaliya-665","Maplink3")</f>
        <v>Maplink3</v>
      </c>
    </row>
    <row r="1004" spans="1:49" ht="15" customHeight="1" x14ac:dyDescent="0.25">
      <c r="A1004" s="21">
        <v>25409</v>
      </c>
      <c r="B1004" s="22" t="s">
        <v>11</v>
      </c>
      <c r="C1004" s="22" t="s">
        <v>1979</v>
      </c>
      <c r="D1004" s="22" t="s">
        <v>2007</v>
      </c>
      <c r="E1004" s="22" t="s">
        <v>2008</v>
      </c>
      <c r="F1004" s="22">
        <v>33.347999999999999</v>
      </c>
      <c r="G1004" s="22">
        <v>44.294800000000002</v>
      </c>
      <c r="H1004" s="21" t="s">
        <v>1449</v>
      </c>
      <c r="I1004" s="21" t="s">
        <v>1982</v>
      </c>
      <c r="J1004" s="21"/>
      <c r="K1004" s="24">
        <v>52</v>
      </c>
      <c r="L1004" s="24">
        <v>312</v>
      </c>
      <c r="M1004" s="23">
        <v>52</v>
      </c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>
        <v>52</v>
      </c>
      <c r="AL1004" s="23"/>
      <c r="AM1004" s="23"/>
      <c r="AN1004" s="23"/>
      <c r="AO1004" s="23">
        <v>18</v>
      </c>
      <c r="AP1004" s="23"/>
      <c r="AQ1004" s="23"/>
      <c r="AR1004" s="23"/>
      <c r="AS1004" s="23">
        <v>34</v>
      </c>
      <c r="AT1004" s="23"/>
      <c r="AU1004" s="14" t="str">
        <f>HYPERLINK("http://www.openstreetmap.org/?mlat=33.3512&amp;mlon=44.2731&amp;zoom=12#map=12/33.3512/44.2731","Maplink1")</f>
        <v>Maplink1</v>
      </c>
      <c r="AV1004" s="14" t="str">
        <f>HYPERLINK("https://www.google.iq/maps/search/+33.3512,44.2731/@33.3512,44.2731,14z?hl=en","Maplink2")</f>
        <v>Maplink2</v>
      </c>
      <c r="AW1004" s="14" t="str">
        <f>HYPERLINK("http://www.bing.com/maps/?lvl=14&amp;sty=h&amp;cp=33.3512~44.2731&amp;sp=point.33.3512_44.2731_Al Ghazaliya-667","Maplink3")</f>
        <v>Maplink3</v>
      </c>
    </row>
    <row r="1005" spans="1:49" ht="15" customHeight="1" x14ac:dyDescent="0.25">
      <c r="A1005" s="21">
        <v>23734</v>
      </c>
      <c r="B1005" s="22" t="s">
        <v>11</v>
      </c>
      <c r="C1005" s="22" t="s">
        <v>1979</v>
      </c>
      <c r="D1005" s="22" t="s">
        <v>2009</v>
      </c>
      <c r="E1005" s="22" t="s">
        <v>7797</v>
      </c>
      <c r="F1005" s="22">
        <v>33.3628</v>
      </c>
      <c r="G1005" s="22">
        <v>44.259799999999998</v>
      </c>
      <c r="H1005" s="21" t="s">
        <v>1449</v>
      </c>
      <c r="I1005" s="21" t="s">
        <v>1982</v>
      </c>
      <c r="J1005" s="21" t="s">
        <v>2010</v>
      </c>
      <c r="K1005" s="24">
        <v>216</v>
      </c>
      <c r="L1005" s="24">
        <v>1296</v>
      </c>
      <c r="M1005" s="23">
        <v>106</v>
      </c>
      <c r="N1005" s="23"/>
      <c r="O1005" s="23">
        <v>86</v>
      </c>
      <c r="P1005" s="23"/>
      <c r="Q1005" s="23"/>
      <c r="R1005" s="23">
        <v>24</v>
      </c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>
        <v>100</v>
      </c>
      <c r="AG1005" s="23"/>
      <c r="AH1005" s="23"/>
      <c r="AI1005" s="23"/>
      <c r="AJ1005" s="23"/>
      <c r="AK1005" s="23">
        <v>101</v>
      </c>
      <c r="AL1005" s="23"/>
      <c r="AM1005" s="23">
        <v>15</v>
      </c>
      <c r="AN1005" s="23"/>
      <c r="AO1005" s="23">
        <v>110</v>
      </c>
      <c r="AP1005" s="23">
        <v>86</v>
      </c>
      <c r="AQ1005" s="23">
        <v>20</v>
      </c>
      <c r="AR1005" s="23"/>
      <c r="AS1005" s="23"/>
      <c r="AT1005" s="23"/>
      <c r="AU1005" s="14" t="str">
        <f>HYPERLINK("http://www.openstreetmap.org/?mlat=33.3377&amp;mlon=44.28&amp;zoom=12#map=12/33.3377/44.28","Maplink1")</f>
        <v>Maplink1</v>
      </c>
      <c r="AV1005" s="14" t="str">
        <f>HYPERLINK("https://www.google.iq/maps/search/+33.3377,44.28/@33.3377,44.28,14z?hl=en","Maplink2")</f>
        <v>Maplink2</v>
      </c>
      <c r="AW1005" s="14" t="str">
        <f>HYPERLINK("http://www.bing.com/maps/?lvl=14&amp;sty=h&amp;cp=33.3377~44.28&amp;sp=point.33.3377_44.28_Al Ghazaliya-681","Maplink3")</f>
        <v>Maplink3</v>
      </c>
    </row>
    <row r="1006" spans="1:49" ht="15" customHeight="1" x14ac:dyDescent="0.25">
      <c r="A1006" s="21">
        <v>25929</v>
      </c>
      <c r="B1006" s="22" t="s">
        <v>11</v>
      </c>
      <c r="C1006" s="22" t="s">
        <v>1979</v>
      </c>
      <c r="D1006" s="22" t="s">
        <v>8513</v>
      </c>
      <c r="E1006" s="22" t="s">
        <v>7798</v>
      </c>
      <c r="F1006" s="22">
        <v>33.3424417349</v>
      </c>
      <c r="G1006" s="22">
        <v>44.282018914799998</v>
      </c>
      <c r="H1006" s="21" t="s">
        <v>1449</v>
      </c>
      <c r="I1006" s="21" t="s">
        <v>1982</v>
      </c>
      <c r="J1006" s="21"/>
      <c r="K1006" s="24">
        <v>208</v>
      </c>
      <c r="L1006" s="24">
        <v>1248</v>
      </c>
      <c r="M1006" s="23">
        <v>208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>
        <v>208</v>
      </c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>
        <v>208</v>
      </c>
      <c r="AT1006" s="23"/>
      <c r="AU1006" s="14" t="str">
        <f>HYPERLINK("http://www.openstreetmap.org/?mlat=33.3246&amp;mlon=44.2854&amp;zoom=12#map=12/33.3246/44.2854","Maplink1")</f>
        <v>Maplink1</v>
      </c>
      <c r="AV1006" s="14" t="str">
        <f>HYPERLINK("https://www.google.iq/maps/search/+33.3246,44.2854/@33.3246,44.2854,14z?hl=en","Maplink2")</f>
        <v>Maplink2</v>
      </c>
      <c r="AW1006" s="14" t="str">
        <f>HYPERLINK("http://www.bing.com/maps/?lvl=14&amp;sty=h&amp;cp=33.3246~44.2854&amp;sp=point.33.3246_44.2854_Al Ghazaliyah collective center","Maplink3")</f>
        <v>Maplink3</v>
      </c>
    </row>
    <row r="1007" spans="1:49" ht="15" customHeight="1" x14ac:dyDescent="0.25">
      <c r="A1007" s="21">
        <v>24065</v>
      </c>
      <c r="B1007" s="22" t="s">
        <v>11</v>
      </c>
      <c r="C1007" s="22" t="s">
        <v>1979</v>
      </c>
      <c r="D1007" s="22" t="s">
        <v>2011</v>
      </c>
      <c r="E1007" s="22" t="s">
        <v>7799</v>
      </c>
      <c r="F1007" s="22">
        <v>33.323500000000003</v>
      </c>
      <c r="G1007" s="22">
        <v>44.272100000000002</v>
      </c>
      <c r="H1007" s="21" t="s">
        <v>1449</v>
      </c>
      <c r="I1007" s="21" t="s">
        <v>1982</v>
      </c>
      <c r="J1007" s="21" t="s">
        <v>2012</v>
      </c>
      <c r="K1007" s="24">
        <v>218</v>
      </c>
      <c r="L1007" s="24">
        <v>1308</v>
      </c>
      <c r="M1007" s="23">
        <v>107</v>
      </c>
      <c r="N1007" s="23"/>
      <c r="O1007" s="23"/>
      <c r="P1007" s="23"/>
      <c r="Q1007" s="23"/>
      <c r="R1007" s="23">
        <v>23</v>
      </c>
      <c r="S1007" s="23"/>
      <c r="T1007" s="23"/>
      <c r="U1007" s="23"/>
      <c r="V1007" s="23"/>
      <c r="W1007" s="23"/>
      <c r="X1007" s="23"/>
      <c r="Y1007" s="23">
        <v>88</v>
      </c>
      <c r="Z1007" s="23"/>
      <c r="AA1007" s="23"/>
      <c r="AB1007" s="23"/>
      <c r="AC1007" s="23"/>
      <c r="AD1007" s="23"/>
      <c r="AE1007" s="23"/>
      <c r="AF1007" s="23">
        <v>99</v>
      </c>
      <c r="AG1007" s="23"/>
      <c r="AH1007" s="23"/>
      <c r="AI1007" s="23"/>
      <c r="AJ1007" s="23"/>
      <c r="AK1007" s="23">
        <v>94</v>
      </c>
      <c r="AL1007" s="23"/>
      <c r="AM1007" s="23">
        <v>25</v>
      </c>
      <c r="AN1007" s="23"/>
      <c r="AO1007" s="23">
        <v>109</v>
      </c>
      <c r="AP1007" s="23">
        <v>99</v>
      </c>
      <c r="AQ1007" s="23"/>
      <c r="AR1007" s="23"/>
      <c r="AS1007" s="23">
        <v>10</v>
      </c>
      <c r="AT1007" s="23"/>
      <c r="AU1007" s="14" t="str">
        <f>HYPERLINK("http://www.openstreetmap.org/?mlat=33.3331&amp;mlon=44.2737&amp;zoom=12#map=12/33.3331/44.2737","Maplink1")</f>
        <v>Maplink1</v>
      </c>
      <c r="AV1007" s="14" t="str">
        <f>HYPERLINK("https://www.google.iq/maps/search/+33.3331,44.2737/@33.3331,44.2737,14z?hl=en","Maplink2")</f>
        <v>Maplink2</v>
      </c>
      <c r="AW1007" s="14" t="str">
        <f>HYPERLINK("http://www.bing.com/maps/?lvl=14&amp;sty=h&amp;cp=33.3331~44.2737&amp;sp=point.33.3331_44.2737_Al Ghazaliyah-685","Maplink3")</f>
        <v>Maplink3</v>
      </c>
    </row>
    <row r="1008" spans="1:49" ht="15" customHeight="1" x14ac:dyDescent="0.25">
      <c r="A1008" s="21">
        <v>27187</v>
      </c>
      <c r="B1008" s="22" t="s">
        <v>11</v>
      </c>
      <c r="C1008" s="22" t="s">
        <v>1979</v>
      </c>
      <c r="D1008" s="22" t="s">
        <v>7427</v>
      </c>
      <c r="E1008" s="22" t="s">
        <v>7800</v>
      </c>
      <c r="F1008" s="22">
        <v>33.2479967676</v>
      </c>
      <c r="G1008" s="22">
        <v>44.335072269900003</v>
      </c>
      <c r="H1008" s="21"/>
      <c r="I1008" s="21"/>
      <c r="J1008" s="21"/>
      <c r="K1008" s="24">
        <v>121</v>
      </c>
      <c r="L1008" s="24">
        <v>726</v>
      </c>
      <c r="M1008" s="23">
        <v>80</v>
      </c>
      <c r="N1008" s="23"/>
      <c r="O1008" s="23"/>
      <c r="P1008" s="23"/>
      <c r="Q1008" s="23"/>
      <c r="R1008" s="23">
        <v>5</v>
      </c>
      <c r="S1008" s="23"/>
      <c r="T1008" s="23"/>
      <c r="U1008" s="23">
        <v>2</v>
      </c>
      <c r="V1008" s="23"/>
      <c r="W1008" s="23"/>
      <c r="X1008" s="23"/>
      <c r="Y1008" s="23">
        <v>24</v>
      </c>
      <c r="Z1008" s="23"/>
      <c r="AA1008" s="23">
        <v>10</v>
      </c>
      <c r="AB1008" s="23"/>
      <c r="AC1008" s="23"/>
      <c r="AD1008" s="23"/>
      <c r="AE1008" s="23"/>
      <c r="AF1008" s="23">
        <v>44</v>
      </c>
      <c r="AG1008" s="23"/>
      <c r="AH1008" s="23"/>
      <c r="AI1008" s="23"/>
      <c r="AJ1008" s="23"/>
      <c r="AK1008" s="23">
        <v>77</v>
      </c>
      <c r="AL1008" s="23"/>
      <c r="AM1008" s="23"/>
      <c r="AN1008" s="23"/>
      <c r="AO1008" s="23"/>
      <c r="AP1008" s="23">
        <v>74</v>
      </c>
      <c r="AQ1008" s="23"/>
      <c r="AR1008" s="23">
        <v>7</v>
      </c>
      <c r="AS1008" s="23">
        <v>40</v>
      </c>
      <c r="AT1008" s="23"/>
      <c r="AU1008" s="14" t="str">
        <f>HYPERLINK("http://www.openstreetmap.org/?mlat=33.2433&amp;mlon=44.3412&amp;zoom=12#map=12/33.2433/44.3412","Maplink1")</f>
        <v>Maplink1</v>
      </c>
      <c r="AV1008" s="14" t="str">
        <f>HYPERLINK("https://www.google.iq/maps/search/+33.2433,44.3412/@33.2433,44.3412,14z?hl=en","Maplink2")</f>
        <v>Maplink2</v>
      </c>
      <c r="AW1008" s="14" t="str">
        <f>HYPERLINK("http://www.bing.com/maps/?lvl=14&amp;sty=h&amp;cp=33.2433~44.3412&amp;sp=point.33.2433_44.3412_Al Ilam - 829","Maplink3")</f>
        <v>Maplink3</v>
      </c>
    </row>
    <row r="1009" spans="1:49" ht="15" customHeight="1" x14ac:dyDescent="0.25">
      <c r="A1009" s="21">
        <v>27188</v>
      </c>
      <c r="B1009" s="22" t="s">
        <v>11</v>
      </c>
      <c r="C1009" s="22" t="s">
        <v>1979</v>
      </c>
      <c r="D1009" s="22" t="s">
        <v>7533</v>
      </c>
      <c r="E1009" s="22" t="s">
        <v>2013</v>
      </c>
      <c r="F1009" s="22">
        <v>33.239749766899997</v>
      </c>
      <c r="G1009" s="22">
        <v>44.343220455199997</v>
      </c>
      <c r="H1009" s="21"/>
      <c r="I1009" s="21"/>
      <c r="J1009" s="21"/>
      <c r="K1009" s="24">
        <v>50</v>
      </c>
      <c r="L1009" s="24">
        <v>300</v>
      </c>
      <c r="M1009" s="23">
        <v>33</v>
      </c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>
        <v>13</v>
      </c>
      <c r="Z1009" s="23"/>
      <c r="AA1009" s="23">
        <v>4</v>
      </c>
      <c r="AB1009" s="23"/>
      <c r="AC1009" s="23"/>
      <c r="AD1009" s="23"/>
      <c r="AE1009" s="23"/>
      <c r="AF1009" s="23">
        <v>20</v>
      </c>
      <c r="AG1009" s="23"/>
      <c r="AH1009" s="23"/>
      <c r="AI1009" s="23"/>
      <c r="AJ1009" s="23"/>
      <c r="AK1009" s="23">
        <v>30</v>
      </c>
      <c r="AL1009" s="23"/>
      <c r="AM1009" s="23"/>
      <c r="AN1009" s="23"/>
      <c r="AO1009" s="23"/>
      <c r="AP1009" s="23">
        <v>8</v>
      </c>
      <c r="AQ1009" s="23"/>
      <c r="AR1009" s="23"/>
      <c r="AS1009" s="23">
        <v>42</v>
      </c>
      <c r="AT1009" s="23"/>
      <c r="AU1009" s="14" t="str">
        <f>HYPERLINK("http://www.openstreetmap.org/?mlat=33.2433&amp;mlon=44.3412&amp;zoom=12#map=12/33.2433/44.3412","Maplink1")</f>
        <v>Maplink1</v>
      </c>
      <c r="AV1009" s="14" t="str">
        <f>HYPERLINK("https://www.google.iq/maps/search/+33.2433,44.3412/@33.2433,44.3412,14z?hl=en","Maplink2")</f>
        <v>Maplink2</v>
      </c>
      <c r="AW1009" s="14" t="str">
        <f>HYPERLINK("http://www.bing.com/maps/?lvl=14&amp;sty=h&amp;cp=33.2433~44.3412&amp;sp=point.33.2433_44.3412_Al Ilam -831","Maplink3")</f>
        <v>Maplink3</v>
      </c>
    </row>
    <row r="1010" spans="1:49" ht="15" customHeight="1" x14ac:dyDescent="0.25">
      <c r="A1010" s="21">
        <v>23982</v>
      </c>
      <c r="B1010" s="22" t="s">
        <v>11</v>
      </c>
      <c r="C1010" s="22" t="s">
        <v>1979</v>
      </c>
      <c r="D1010" s="22" t="s">
        <v>8514</v>
      </c>
      <c r="E1010" s="22" t="s">
        <v>7802</v>
      </c>
      <c r="F1010" s="22">
        <v>33.248494554899999</v>
      </c>
      <c r="G1010" s="22">
        <v>44.384017911500003</v>
      </c>
      <c r="H1010" s="21" t="s">
        <v>1449</v>
      </c>
      <c r="I1010" s="21" t="s">
        <v>1982</v>
      </c>
      <c r="J1010" s="21" t="s">
        <v>2014</v>
      </c>
      <c r="K1010" s="24">
        <v>923</v>
      </c>
      <c r="L1010" s="24">
        <v>5538</v>
      </c>
      <c r="M1010" s="23">
        <v>709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>
        <v>214</v>
      </c>
      <c r="AB1010" s="23"/>
      <c r="AC1010" s="23"/>
      <c r="AD1010" s="23"/>
      <c r="AE1010" s="23"/>
      <c r="AF1010" s="23">
        <v>717</v>
      </c>
      <c r="AG1010" s="23"/>
      <c r="AH1010" s="23"/>
      <c r="AI1010" s="23"/>
      <c r="AJ1010" s="23"/>
      <c r="AK1010" s="23">
        <v>206</v>
      </c>
      <c r="AL1010" s="23"/>
      <c r="AM1010" s="23"/>
      <c r="AN1010" s="23"/>
      <c r="AO1010" s="23">
        <v>114</v>
      </c>
      <c r="AP1010" s="23">
        <v>253</v>
      </c>
      <c r="AQ1010" s="23"/>
      <c r="AR1010" s="23">
        <v>169</v>
      </c>
      <c r="AS1010" s="23">
        <v>354</v>
      </c>
      <c r="AT1010" s="23">
        <v>33</v>
      </c>
      <c r="AU1010" s="14" t="str">
        <f>HYPERLINK("http://www.openstreetmap.org/?mlat=33.2491&amp;mlon=44.3814&amp;zoom=12#map=12/33.2491/44.3814","Maplink1")</f>
        <v>Maplink1</v>
      </c>
      <c r="AV1010" s="14" t="str">
        <f>HYPERLINK("https://www.google.iq/maps/search/+33.2491,44.3814/@33.2491,44.3814,14z?hl=en","Maplink2")</f>
        <v>Maplink2</v>
      </c>
      <c r="AW1010" s="14" t="str">
        <f>HYPERLINK("http://www.bing.com/maps/?lvl=14&amp;sty=h&amp;cp=33.2491~44.3814&amp;sp=point.33.2491_44.3814_Al Iskan-822","Maplink3")</f>
        <v>Maplink3</v>
      </c>
    </row>
    <row r="1011" spans="1:49" ht="15" customHeight="1" x14ac:dyDescent="0.25">
      <c r="A1011" s="21">
        <v>25773</v>
      </c>
      <c r="B1011" s="22" t="s">
        <v>11</v>
      </c>
      <c r="C1011" s="22" t="s">
        <v>1979</v>
      </c>
      <c r="D1011" s="22" t="s">
        <v>7803</v>
      </c>
      <c r="E1011" s="22" t="s">
        <v>2092</v>
      </c>
      <c r="F1011" s="22">
        <v>33.318399999999997</v>
      </c>
      <c r="G1011" s="22">
        <v>44.318559999999998</v>
      </c>
      <c r="H1011" s="21" t="s">
        <v>1449</v>
      </c>
      <c r="I1011" s="21" t="s">
        <v>1982</v>
      </c>
      <c r="J1011" s="21"/>
      <c r="K1011" s="24">
        <v>41</v>
      </c>
      <c r="L1011" s="24">
        <v>246</v>
      </c>
      <c r="M1011" s="23">
        <v>41</v>
      </c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>
        <v>41</v>
      </c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>
        <v>41</v>
      </c>
      <c r="AT1011" s="23"/>
      <c r="AU1011" s="14" t="str">
        <f>HYPERLINK("http://www.openstreetmap.org/?mlat=33.3184&amp;mlon=44.3186&amp;zoom=12#map=12/33.3184/44.3186","Maplink1")</f>
        <v>Maplink1</v>
      </c>
      <c r="AV1011" s="14" t="str">
        <f>HYPERLINK("https://www.google.iq/maps/search/+33.3184,44.3186/@33.3184,44.3186,14z?hl=en","Maplink2")</f>
        <v>Maplink2</v>
      </c>
      <c r="AW1011" s="14" t="str">
        <f>HYPERLINK("http://www.bing.com/maps/?lvl=14&amp;sty=h&amp;cp=33.3184~44.3186&amp;sp=point.33.3184_44.3186_Al-Mansour-Al Jameh Camp","Maplink3")</f>
        <v>Maplink3</v>
      </c>
    </row>
    <row r="1012" spans="1:49" ht="15" customHeight="1" x14ac:dyDescent="0.25">
      <c r="A1012" s="21">
        <v>23676</v>
      </c>
      <c r="B1012" s="22" t="s">
        <v>11</v>
      </c>
      <c r="C1012" s="22" t="s">
        <v>1979</v>
      </c>
      <c r="D1012" s="22" t="s">
        <v>2015</v>
      </c>
      <c r="E1012" s="22" t="s">
        <v>2016</v>
      </c>
      <c r="F1012" s="22">
        <v>33.317798143300003</v>
      </c>
      <c r="G1012" s="22">
        <v>44.325999347500002</v>
      </c>
      <c r="H1012" s="21" t="s">
        <v>1449</v>
      </c>
      <c r="I1012" s="21" t="s">
        <v>1982</v>
      </c>
      <c r="J1012" s="21" t="s">
        <v>2017</v>
      </c>
      <c r="K1012" s="24">
        <v>143</v>
      </c>
      <c r="L1012" s="24">
        <v>858</v>
      </c>
      <c r="M1012" s="23">
        <v>123</v>
      </c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>
        <v>20</v>
      </c>
      <c r="AB1012" s="23"/>
      <c r="AC1012" s="23"/>
      <c r="AD1012" s="23"/>
      <c r="AE1012" s="23"/>
      <c r="AF1012" s="23">
        <v>49</v>
      </c>
      <c r="AG1012" s="23"/>
      <c r="AH1012" s="23"/>
      <c r="AI1012" s="23"/>
      <c r="AJ1012" s="23"/>
      <c r="AK1012" s="23">
        <v>94</v>
      </c>
      <c r="AL1012" s="23"/>
      <c r="AM1012" s="23"/>
      <c r="AN1012" s="23"/>
      <c r="AO1012" s="23"/>
      <c r="AP1012" s="23"/>
      <c r="AQ1012" s="23"/>
      <c r="AR1012" s="23">
        <v>35</v>
      </c>
      <c r="AS1012" s="23">
        <v>103</v>
      </c>
      <c r="AT1012" s="23">
        <v>5</v>
      </c>
      <c r="AU1012" s="14" t="str">
        <f>HYPERLINK("http://www.openstreetmap.org/?mlat=33.3184&amp;mlon=44.3189&amp;zoom=12#map=12/33.3184/44.3189","Maplink1")</f>
        <v>Maplink1</v>
      </c>
      <c r="AV1012" s="14" t="str">
        <f>HYPERLINK("https://www.google.iq/maps/search/+33.3184,44.3189/@33.3184,44.3189,14z?hl=en","Maplink2")</f>
        <v>Maplink2</v>
      </c>
      <c r="AW1012" s="14" t="str">
        <f>HYPERLINK("http://www.bing.com/maps/?lvl=14&amp;sty=h&amp;cp=33.3184~44.3189&amp;sp=point.33.3184_44.3189_Al Jameah-629","Maplink3")</f>
        <v>Maplink3</v>
      </c>
    </row>
    <row r="1013" spans="1:49" ht="15" customHeight="1" x14ac:dyDescent="0.25">
      <c r="A1013" s="21">
        <v>23727</v>
      </c>
      <c r="B1013" s="22" t="s">
        <v>11</v>
      </c>
      <c r="C1013" s="22" t="s">
        <v>1979</v>
      </c>
      <c r="D1013" s="22" t="s">
        <v>2018</v>
      </c>
      <c r="E1013" s="22" t="s">
        <v>7804</v>
      </c>
      <c r="F1013" s="22">
        <v>33.310939776700003</v>
      </c>
      <c r="G1013" s="22">
        <v>44.326374186199999</v>
      </c>
      <c r="H1013" s="21" t="s">
        <v>1449</v>
      </c>
      <c r="I1013" s="21" t="s">
        <v>1982</v>
      </c>
      <c r="J1013" s="21" t="s">
        <v>2019</v>
      </c>
      <c r="K1013" s="24">
        <v>316</v>
      </c>
      <c r="L1013" s="24">
        <v>1896</v>
      </c>
      <c r="M1013" s="23">
        <v>295</v>
      </c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>
        <v>8</v>
      </c>
      <c r="Z1013" s="23"/>
      <c r="AA1013" s="23">
        <v>13</v>
      </c>
      <c r="AB1013" s="23"/>
      <c r="AC1013" s="23"/>
      <c r="AD1013" s="23"/>
      <c r="AE1013" s="23"/>
      <c r="AF1013" s="23">
        <v>98</v>
      </c>
      <c r="AG1013" s="23"/>
      <c r="AH1013" s="23"/>
      <c r="AI1013" s="23"/>
      <c r="AJ1013" s="23"/>
      <c r="AK1013" s="23">
        <v>218</v>
      </c>
      <c r="AL1013" s="23"/>
      <c r="AM1013" s="23"/>
      <c r="AN1013" s="23"/>
      <c r="AO1013" s="23">
        <v>83</v>
      </c>
      <c r="AP1013" s="23">
        <v>8</v>
      </c>
      <c r="AQ1013" s="23"/>
      <c r="AR1013" s="23">
        <v>28</v>
      </c>
      <c r="AS1013" s="23">
        <v>197</v>
      </c>
      <c r="AT1013" s="23"/>
      <c r="AU1013" s="14" t="str">
        <f>HYPERLINK("http://www.openstreetmap.org/?mlat=33.318&amp;mlon=44.318&amp;zoom=12#map=12/33.318/44.318","Maplink1")</f>
        <v>Maplink1</v>
      </c>
      <c r="AV1013" s="14" t="str">
        <f>HYPERLINK("https://www.google.iq/maps/search/+33.318,44.318/@33.318,44.318,14z?hl=en","Maplink2")</f>
        <v>Maplink2</v>
      </c>
      <c r="AW1013" s="14" t="str">
        <f>HYPERLINK("http://www.bing.com/maps/?lvl=14&amp;sty=h&amp;cp=33.318~44.318&amp;sp=point.33.318_44.318_Al Jameh-627","Maplink3")</f>
        <v>Maplink3</v>
      </c>
    </row>
    <row r="1014" spans="1:49" ht="15" customHeight="1" x14ac:dyDescent="0.25">
      <c r="A1014" s="21">
        <v>26040</v>
      </c>
      <c r="B1014" s="22" t="s">
        <v>11</v>
      </c>
      <c r="C1014" s="22" t="s">
        <v>1979</v>
      </c>
      <c r="D1014" s="22" t="s">
        <v>2020</v>
      </c>
      <c r="E1014" s="22" t="s">
        <v>2021</v>
      </c>
      <c r="F1014" s="22">
        <v>33.314851568999998</v>
      </c>
      <c r="G1014" s="22">
        <v>44.321401538300002</v>
      </c>
      <c r="H1014" s="21" t="s">
        <v>1449</v>
      </c>
      <c r="I1014" s="21" t="s">
        <v>1982</v>
      </c>
      <c r="J1014" s="21"/>
      <c r="K1014" s="24">
        <v>661</v>
      </c>
      <c r="L1014" s="24">
        <v>3966</v>
      </c>
      <c r="M1014" s="23">
        <v>618</v>
      </c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>
        <v>25</v>
      </c>
      <c r="Z1014" s="23"/>
      <c r="AA1014" s="23">
        <v>18</v>
      </c>
      <c r="AB1014" s="23"/>
      <c r="AC1014" s="23"/>
      <c r="AD1014" s="23"/>
      <c r="AE1014" s="23"/>
      <c r="AF1014" s="23">
        <v>405</v>
      </c>
      <c r="AG1014" s="23"/>
      <c r="AH1014" s="23"/>
      <c r="AI1014" s="23"/>
      <c r="AJ1014" s="23"/>
      <c r="AK1014" s="23">
        <v>256</v>
      </c>
      <c r="AL1014" s="23"/>
      <c r="AM1014" s="23"/>
      <c r="AN1014" s="23"/>
      <c r="AO1014" s="23"/>
      <c r="AP1014" s="23">
        <v>12</v>
      </c>
      <c r="AQ1014" s="23"/>
      <c r="AR1014" s="23">
        <v>72</v>
      </c>
      <c r="AS1014" s="23">
        <v>574</v>
      </c>
      <c r="AT1014" s="23">
        <v>3</v>
      </c>
      <c r="AU1014" s="14" t="str">
        <f>HYPERLINK("http://www.openstreetmap.org/?mlat=33.3131&amp;mlon=44.304&amp;zoom=12#map=12/33.3131/44.304","Maplink1")</f>
        <v>Maplink1</v>
      </c>
      <c r="AV1014" s="14" t="str">
        <f>HYPERLINK("https://www.google.iq/maps/search/+33.3131,44.304/@33.3131,44.304,14z?hl=en","Maplink2")</f>
        <v>Maplink2</v>
      </c>
      <c r="AW1014" s="14" t="str">
        <f>HYPERLINK("http://www.bing.com/maps/?lvl=14&amp;sty=h&amp;cp=33.3131~44.304&amp;sp=point.33.3131_44.304_Al Jameh-631","Maplink3")</f>
        <v>Maplink3</v>
      </c>
    </row>
    <row r="1015" spans="1:49" ht="15" customHeight="1" x14ac:dyDescent="0.25">
      <c r="A1015" s="21">
        <v>23730</v>
      </c>
      <c r="B1015" s="22" t="s">
        <v>11</v>
      </c>
      <c r="C1015" s="22" t="s">
        <v>1979</v>
      </c>
      <c r="D1015" s="22" t="s">
        <v>2022</v>
      </c>
      <c r="E1015" s="22" t="s">
        <v>2023</v>
      </c>
      <c r="F1015" s="22">
        <v>33.319335971000001</v>
      </c>
      <c r="G1015" s="22">
        <v>44.305006116599998</v>
      </c>
      <c r="H1015" s="21" t="s">
        <v>1449</v>
      </c>
      <c r="I1015" s="21" t="s">
        <v>1982</v>
      </c>
      <c r="J1015" s="21" t="s">
        <v>2024</v>
      </c>
      <c r="K1015" s="24">
        <v>605</v>
      </c>
      <c r="L1015" s="24">
        <v>3630</v>
      </c>
      <c r="M1015" s="23">
        <v>564</v>
      </c>
      <c r="N1015" s="23"/>
      <c r="O1015" s="23">
        <v>12</v>
      </c>
      <c r="P1015" s="23"/>
      <c r="Q1015" s="23"/>
      <c r="R1015" s="23">
        <v>21</v>
      </c>
      <c r="S1015" s="23"/>
      <c r="T1015" s="23"/>
      <c r="U1015" s="23"/>
      <c r="V1015" s="23"/>
      <c r="W1015" s="23"/>
      <c r="X1015" s="23"/>
      <c r="Y1015" s="23">
        <v>8</v>
      </c>
      <c r="Z1015" s="23"/>
      <c r="AA1015" s="23"/>
      <c r="AB1015" s="23"/>
      <c r="AC1015" s="23"/>
      <c r="AD1015" s="23"/>
      <c r="AE1015" s="23"/>
      <c r="AF1015" s="23">
        <v>309</v>
      </c>
      <c r="AG1015" s="23"/>
      <c r="AH1015" s="23"/>
      <c r="AI1015" s="23"/>
      <c r="AJ1015" s="23">
        <v>13</v>
      </c>
      <c r="AK1015" s="23">
        <v>283</v>
      </c>
      <c r="AL1015" s="23"/>
      <c r="AM1015" s="23"/>
      <c r="AN1015" s="23"/>
      <c r="AO1015" s="23">
        <v>98</v>
      </c>
      <c r="AP1015" s="23">
        <v>94</v>
      </c>
      <c r="AQ1015" s="23"/>
      <c r="AR1015" s="23">
        <v>223</v>
      </c>
      <c r="AS1015" s="23">
        <v>178</v>
      </c>
      <c r="AT1015" s="23">
        <v>12</v>
      </c>
      <c r="AU1015" s="14" t="str">
        <f>HYPERLINK("http://www.openstreetmap.org/?mlat=33.3184&amp;mlon=44.3189&amp;zoom=12#map=12/33.3184/44.3189","Maplink1")</f>
        <v>Maplink1</v>
      </c>
      <c r="AV1015" s="14" t="str">
        <f>HYPERLINK("https://www.google.iq/maps/search/+33.3184,44.3189/@33.3184,44.3189,14z?hl=en","Maplink2")</f>
        <v>Maplink2</v>
      </c>
      <c r="AW1015" s="14" t="str">
        <f>HYPERLINK("http://www.bing.com/maps/?lvl=14&amp;sty=h&amp;cp=33.3184~44.3189&amp;sp=point.33.3184_44.3189_Al Jameh-633","Maplink3")</f>
        <v>Maplink3</v>
      </c>
    </row>
    <row r="1016" spans="1:49" ht="15" customHeight="1" x14ac:dyDescent="0.25">
      <c r="A1016" s="21">
        <v>26041</v>
      </c>
      <c r="B1016" s="22" t="s">
        <v>11</v>
      </c>
      <c r="C1016" s="22" t="s">
        <v>1979</v>
      </c>
      <c r="D1016" s="22" t="s">
        <v>2025</v>
      </c>
      <c r="E1016" s="22" t="s">
        <v>2026</v>
      </c>
      <c r="F1016" s="22">
        <v>33.325019446200002</v>
      </c>
      <c r="G1016" s="22">
        <v>44.319360377300001</v>
      </c>
      <c r="H1016" s="21" t="s">
        <v>1449</v>
      </c>
      <c r="I1016" s="21" t="s">
        <v>1982</v>
      </c>
      <c r="J1016" s="21"/>
      <c r="K1016" s="24">
        <v>410</v>
      </c>
      <c r="L1016" s="24">
        <v>2460</v>
      </c>
      <c r="M1016" s="23">
        <v>362</v>
      </c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>
        <v>27</v>
      </c>
      <c r="Z1016" s="23"/>
      <c r="AA1016" s="23">
        <v>21</v>
      </c>
      <c r="AB1016" s="23"/>
      <c r="AC1016" s="23"/>
      <c r="AD1016" s="23"/>
      <c r="AE1016" s="23"/>
      <c r="AF1016" s="23">
        <v>114</v>
      </c>
      <c r="AG1016" s="23"/>
      <c r="AH1016" s="23"/>
      <c r="AI1016" s="23"/>
      <c r="AJ1016" s="23"/>
      <c r="AK1016" s="23">
        <v>296</v>
      </c>
      <c r="AL1016" s="23"/>
      <c r="AM1016" s="23"/>
      <c r="AN1016" s="23"/>
      <c r="AO1016" s="23">
        <v>192</v>
      </c>
      <c r="AP1016" s="23"/>
      <c r="AQ1016" s="23"/>
      <c r="AR1016" s="23">
        <v>97</v>
      </c>
      <c r="AS1016" s="23">
        <v>115</v>
      </c>
      <c r="AT1016" s="23">
        <v>6</v>
      </c>
      <c r="AU1016" s="14" t="str">
        <f>HYPERLINK("http://www.openstreetmap.org/?mlat=33.3143&amp;mlon=44.324&amp;zoom=12#map=12/33.3143/44.324","Maplink1")</f>
        <v>Maplink1</v>
      </c>
      <c r="AV1016" s="14" t="str">
        <f>HYPERLINK("https://www.google.iq/maps/search/+33.3143,44.324/@33.3143,44.324,14z?hl=en","Maplink2")</f>
        <v>Maplink2</v>
      </c>
      <c r="AW1016" s="14" t="str">
        <f>HYPERLINK("http://www.bing.com/maps/?lvl=14&amp;sty=h&amp;cp=33.3143~44.324&amp;sp=point.33.3143_44.324_Al Jameh-635","Maplink3")</f>
        <v>Maplink3</v>
      </c>
    </row>
    <row r="1017" spans="1:49" ht="15" customHeight="1" x14ac:dyDescent="0.25">
      <c r="A1017" s="21">
        <v>24074</v>
      </c>
      <c r="B1017" s="22" t="s">
        <v>11</v>
      </c>
      <c r="C1017" s="22" t="s">
        <v>1979</v>
      </c>
      <c r="D1017" s="22" t="s">
        <v>8515</v>
      </c>
      <c r="E1017" s="22" t="s">
        <v>7805</v>
      </c>
      <c r="F1017" s="22">
        <v>33.256896835100001</v>
      </c>
      <c r="G1017" s="22">
        <v>44.407928596399998</v>
      </c>
      <c r="H1017" s="21" t="s">
        <v>1449</v>
      </c>
      <c r="I1017" s="21" t="s">
        <v>1982</v>
      </c>
      <c r="J1017" s="21" t="s">
        <v>2027</v>
      </c>
      <c r="K1017" s="24">
        <v>499</v>
      </c>
      <c r="L1017" s="24">
        <v>2994</v>
      </c>
      <c r="M1017" s="23">
        <v>483</v>
      </c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>
        <v>2</v>
      </c>
      <c r="Z1017" s="23"/>
      <c r="AA1017" s="23">
        <v>14</v>
      </c>
      <c r="AB1017" s="23"/>
      <c r="AC1017" s="23"/>
      <c r="AD1017" s="23"/>
      <c r="AE1017" s="23"/>
      <c r="AF1017" s="23">
        <v>395</v>
      </c>
      <c r="AG1017" s="23"/>
      <c r="AH1017" s="23"/>
      <c r="AI1017" s="23"/>
      <c r="AJ1017" s="23"/>
      <c r="AK1017" s="23">
        <v>104</v>
      </c>
      <c r="AL1017" s="23"/>
      <c r="AM1017" s="23"/>
      <c r="AN1017" s="23"/>
      <c r="AO1017" s="23">
        <v>236</v>
      </c>
      <c r="AP1017" s="23"/>
      <c r="AQ1017" s="23">
        <v>42</v>
      </c>
      <c r="AR1017" s="23">
        <v>104</v>
      </c>
      <c r="AS1017" s="23">
        <v>86</v>
      </c>
      <c r="AT1017" s="23">
        <v>31</v>
      </c>
      <c r="AU1017" s="14" t="str">
        <f>HYPERLINK("http://www.openstreetmap.org/?mlat=33.2536&amp;mlon=44.4104&amp;zoom=12#map=12/33.2536/44.4104","Maplink1")</f>
        <v>Maplink1</v>
      </c>
      <c r="AV1017" s="14" t="str">
        <f>HYPERLINK("https://www.google.iq/maps/search/+33.2536,44.4104/@33.2536,44.4104,14z?hl=en","Maplink2")</f>
        <v>Maplink2</v>
      </c>
      <c r="AW1017" s="14" t="str">
        <f>HYPERLINK("http://www.bing.com/maps/?lvl=14&amp;sty=h&amp;cp=33.2536~44.4104&amp;sp=point.33.2536_44.4104_Al Jamhoriyah-838","Maplink3")</f>
        <v>Maplink3</v>
      </c>
    </row>
    <row r="1018" spans="1:49" ht="15" customHeight="1" x14ac:dyDescent="0.25">
      <c r="A1018" s="21">
        <v>24076</v>
      </c>
      <c r="B1018" s="22" t="s">
        <v>11</v>
      </c>
      <c r="C1018" s="22" t="s">
        <v>1979</v>
      </c>
      <c r="D1018" s="22" t="s">
        <v>2028</v>
      </c>
      <c r="E1018" s="22" t="s">
        <v>2029</v>
      </c>
      <c r="F1018" s="22">
        <v>33.2588979593</v>
      </c>
      <c r="G1018" s="22">
        <v>44.371667442000003</v>
      </c>
      <c r="H1018" s="21" t="s">
        <v>1449</v>
      </c>
      <c r="I1018" s="21" t="s">
        <v>1982</v>
      </c>
      <c r="J1018" s="21" t="s">
        <v>2030</v>
      </c>
      <c r="K1018" s="24">
        <v>204</v>
      </c>
      <c r="L1018" s="24">
        <v>1224</v>
      </c>
      <c r="M1018" s="23">
        <v>93</v>
      </c>
      <c r="N1018" s="23"/>
      <c r="O1018" s="23">
        <v>21</v>
      </c>
      <c r="P1018" s="23"/>
      <c r="Q1018" s="23"/>
      <c r="R1018" s="23"/>
      <c r="S1018" s="23"/>
      <c r="T1018" s="23"/>
      <c r="U1018" s="23"/>
      <c r="V1018" s="23"/>
      <c r="W1018" s="23"/>
      <c r="X1018" s="23"/>
      <c r="Y1018" s="23">
        <v>22</v>
      </c>
      <c r="Z1018" s="23"/>
      <c r="AA1018" s="23">
        <v>68</v>
      </c>
      <c r="AB1018" s="23"/>
      <c r="AC1018" s="23"/>
      <c r="AD1018" s="23"/>
      <c r="AE1018" s="23"/>
      <c r="AF1018" s="23">
        <v>102</v>
      </c>
      <c r="AG1018" s="23"/>
      <c r="AH1018" s="23"/>
      <c r="AI1018" s="23"/>
      <c r="AJ1018" s="23"/>
      <c r="AK1018" s="23">
        <v>102</v>
      </c>
      <c r="AL1018" s="23"/>
      <c r="AM1018" s="23"/>
      <c r="AN1018" s="23"/>
      <c r="AO1018" s="23">
        <v>51</v>
      </c>
      <c r="AP1018" s="23">
        <v>39</v>
      </c>
      <c r="AQ1018" s="23"/>
      <c r="AR1018" s="23">
        <v>11</v>
      </c>
      <c r="AS1018" s="23">
        <v>103</v>
      </c>
      <c r="AT1018" s="23"/>
      <c r="AU1018" s="14" t="str">
        <f>HYPERLINK("http://www.openstreetmap.org/?mlat=33.2581&amp;mlon=44.3711&amp;zoom=12#map=12/33.2581/44.3711","Maplink1")</f>
        <v>Maplink1</v>
      </c>
      <c r="AV1018" s="14" t="str">
        <f>HYPERLINK("https://www.google.iq/maps/search/+33.2581,44.3711/@33.2581,44.3711,14z?hl=en","Maplink2")</f>
        <v>Maplink2</v>
      </c>
      <c r="AW1018" s="14" t="str">
        <f>HYPERLINK("http://www.bing.com/maps/?lvl=14&amp;sty=h&amp;cp=33.2581~44.3711&amp;sp=point.33.2581_44.3711_Al Jazaer-804","Maplink3")</f>
        <v>Maplink3</v>
      </c>
    </row>
    <row r="1019" spans="1:49" ht="15" customHeight="1" x14ac:dyDescent="0.25">
      <c r="A1019" s="21">
        <v>24445</v>
      </c>
      <c r="B1019" s="22" t="s">
        <v>11</v>
      </c>
      <c r="C1019" s="22" t="s">
        <v>1979</v>
      </c>
      <c r="D1019" s="22" t="s">
        <v>2031</v>
      </c>
      <c r="E1019" s="22" t="s">
        <v>2032</v>
      </c>
      <c r="F1019" s="22">
        <v>33.248815474600001</v>
      </c>
      <c r="G1019" s="22">
        <v>44.371247111800002</v>
      </c>
      <c r="H1019" s="21" t="s">
        <v>1449</v>
      </c>
      <c r="I1019" s="21" t="s">
        <v>1982</v>
      </c>
      <c r="J1019" s="21"/>
      <c r="K1019" s="24">
        <v>194</v>
      </c>
      <c r="L1019" s="24">
        <v>1164</v>
      </c>
      <c r="M1019" s="23">
        <v>84</v>
      </c>
      <c r="N1019" s="23"/>
      <c r="O1019" s="23">
        <v>40</v>
      </c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>
        <v>70</v>
      </c>
      <c r="AB1019" s="23"/>
      <c r="AC1019" s="23"/>
      <c r="AD1019" s="23"/>
      <c r="AE1019" s="23"/>
      <c r="AF1019" s="23">
        <v>116</v>
      </c>
      <c r="AG1019" s="23"/>
      <c r="AH1019" s="23"/>
      <c r="AI1019" s="23"/>
      <c r="AJ1019" s="23"/>
      <c r="AK1019" s="23">
        <v>78</v>
      </c>
      <c r="AL1019" s="23"/>
      <c r="AM1019" s="23"/>
      <c r="AN1019" s="23"/>
      <c r="AO1019" s="23"/>
      <c r="AP1019" s="23"/>
      <c r="AQ1019" s="23">
        <v>29</v>
      </c>
      <c r="AR1019" s="23">
        <v>38</v>
      </c>
      <c r="AS1019" s="23">
        <v>118</v>
      </c>
      <c r="AT1019" s="23">
        <v>9</v>
      </c>
      <c r="AU1019" s="14" t="str">
        <f>HYPERLINK("http://www.openstreetmap.org/?mlat=33.2569&amp;mlon=44.3708&amp;zoom=12#map=12/33.2569/44.3708","Maplink1")</f>
        <v>Maplink1</v>
      </c>
      <c r="AV1019" s="14" t="str">
        <f>HYPERLINK("https://www.google.iq/maps/search/+33.2569,44.3708/@33.2569,44.3708,14z?hl=en","Maplink2")</f>
        <v>Maplink2</v>
      </c>
      <c r="AW1019" s="14" t="str">
        <f>HYPERLINK("http://www.bing.com/maps/?lvl=14&amp;sty=h&amp;cp=33.2569~44.3708&amp;sp=point.33.2569_44.3708_Al Jazaer-818","Maplink3")</f>
        <v>Maplink3</v>
      </c>
    </row>
    <row r="1020" spans="1:49" ht="15" customHeight="1" x14ac:dyDescent="0.25">
      <c r="A1020" s="21">
        <v>24446</v>
      </c>
      <c r="B1020" s="22" t="s">
        <v>11</v>
      </c>
      <c r="C1020" s="22" t="s">
        <v>1979</v>
      </c>
      <c r="D1020" s="22" t="s">
        <v>2033</v>
      </c>
      <c r="E1020" s="22" t="s">
        <v>2034</v>
      </c>
      <c r="F1020" s="22">
        <v>33.255012126399997</v>
      </c>
      <c r="G1020" s="22">
        <v>44.371822344800002</v>
      </c>
      <c r="H1020" s="21" t="s">
        <v>1449</v>
      </c>
      <c r="I1020" s="21" t="s">
        <v>1982</v>
      </c>
      <c r="J1020" s="21"/>
      <c r="K1020" s="24">
        <v>452</v>
      </c>
      <c r="L1020" s="24">
        <v>2712</v>
      </c>
      <c r="M1020" s="23">
        <v>303</v>
      </c>
      <c r="N1020" s="23"/>
      <c r="O1020" s="23">
        <v>70</v>
      </c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>
        <v>79</v>
      </c>
      <c r="AB1020" s="23"/>
      <c r="AC1020" s="23"/>
      <c r="AD1020" s="23"/>
      <c r="AE1020" s="23"/>
      <c r="AF1020" s="23">
        <v>305</v>
      </c>
      <c r="AG1020" s="23"/>
      <c r="AH1020" s="23"/>
      <c r="AI1020" s="23"/>
      <c r="AJ1020" s="23"/>
      <c r="AK1020" s="23">
        <v>147</v>
      </c>
      <c r="AL1020" s="23"/>
      <c r="AM1020" s="23"/>
      <c r="AN1020" s="23"/>
      <c r="AO1020" s="23"/>
      <c r="AP1020" s="23"/>
      <c r="AQ1020" s="23">
        <v>93</v>
      </c>
      <c r="AR1020" s="23">
        <v>261</v>
      </c>
      <c r="AS1020" s="23">
        <v>92</v>
      </c>
      <c r="AT1020" s="23">
        <v>6</v>
      </c>
      <c r="AU1020" s="14" t="str">
        <f>HYPERLINK("http://www.openstreetmap.org/?mlat=33.2533&amp;mlon=44.3703&amp;zoom=12#map=12/33.2533/44.3703","Maplink1")</f>
        <v>Maplink1</v>
      </c>
      <c r="AV1020" s="14" t="str">
        <f>HYPERLINK("https://www.google.iq/maps/search/+33.2533,44.3703/@33.2533,44.3703,14z?hl=en","Maplink2")</f>
        <v>Maplink2</v>
      </c>
      <c r="AW1020" s="14" t="str">
        <f>HYPERLINK("http://www.bing.com/maps/?lvl=14&amp;sty=h&amp;cp=33.2533~44.3703&amp;sp=point.33.2533_44.3703_Al Jazaer-820","Maplink3")</f>
        <v>Maplink3</v>
      </c>
    </row>
    <row r="1021" spans="1:49" ht="15" customHeight="1" x14ac:dyDescent="0.25">
      <c r="A1021" s="21">
        <v>24077</v>
      </c>
      <c r="B1021" s="22" t="s">
        <v>11</v>
      </c>
      <c r="C1021" s="22" t="s">
        <v>1979</v>
      </c>
      <c r="D1021" s="22" t="s">
        <v>8516</v>
      </c>
      <c r="E1021" s="22" t="s">
        <v>8517</v>
      </c>
      <c r="F1021" s="22">
        <v>33.257665477000003</v>
      </c>
      <c r="G1021" s="22">
        <v>44.380794699299997</v>
      </c>
      <c r="H1021" s="21" t="s">
        <v>1449</v>
      </c>
      <c r="I1021" s="21" t="s">
        <v>1982</v>
      </c>
      <c r="J1021" s="21" t="s">
        <v>2087</v>
      </c>
      <c r="K1021" s="24">
        <v>31</v>
      </c>
      <c r="L1021" s="24">
        <v>186</v>
      </c>
      <c r="M1021" s="23">
        <v>31</v>
      </c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>
        <v>12</v>
      </c>
      <c r="AG1021" s="23"/>
      <c r="AH1021" s="23"/>
      <c r="AI1021" s="23"/>
      <c r="AJ1021" s="23"/>
      <c r="AK1021" s="23">
        <v>19</v>
      </c>
      <c r="AL1021" s="23"/>
      <c r="AM1021" s="23"/>
      <c r="AN1021" s="23"/>
      <c r="AO1021" s="23">
        <v>21</v>
      </c>
      <c r="AP1021" s="23"/>
      <c r="AQ1021" s="23"/>
      <c r="AR1021" s="23">
        <v>10</v>
      </c>
      <c r="AS1021" s="23"/>
      <c r="AT1021" s="23"/>
      <c r="AU1021" s="14" t="str">
        <f>HYPERLINK("http://www.openstreetmap.org/?mlat=33.257&amp;mlon=44.3945&amp;zoom=12#map=12/33.257/44.3945","Maplink1")</f>
        <v>Maplink1</v>
      </c>
      <c r="AV1021" s="14" t="str">
        <f>HYPERLINK("https://www.google.iq/maps/search/+33.257,44.3945/@33.257,44.3945,14z?hl=en","Maplink2")</f>
        <v>Maplink2</v>
      </c>
      <c r="AW1021" s="14" t="str">
        <f>HYPERLINK("http://www.bing.com/maps/?lvl=14&amp;sty=h&amp;cp=33.257~44.3945&amp;sp=point.33.257_44.3945_Al Zohor-806","Maplink3")</f>
        <v>Maplink3</v>
      </c>
    </row>
    <row r="1022" spans="1:49" ht="15" customHeight="1" x14ac:dyDescent="0.25">
      <c r="A1022" s="21">
        <v>23983</v>
      </c>
      <c r="B1022" s="22" t="s">
        <v>11</v>
      </c>
      <c r="C1022" s="22" t="s">
        <v>1979</v>
      </c>
      <c r="D1022" s="22" t="s">
        <v>8518</v>
      </c>
      <c r="E1022" s="22" t="s">
        <v>8519</v>
      </c>
      <c r="F1022" s="22">
        <v>33.256892857899999</v>
      </c>
      <c r="G1022" s="22">
        <v>44.383417920699998</v>
      </c>
      <c r="H1022" s="21" t="s">
        <v>1449</v>
      </c>
      <c r="I1022" s="21" t="s">
        <v>1982</v>
      </c>
      <c r="J1022" s="21" t="s">
        <v>2035</v>
      </c>
      <c r="K1022" s="24">
        <v>442</v>
      </c>
      <c r="L1022" s="24">
        <v>2652</v>
      </c>
      <c r="M1022" s="23">
        <v>412</v>
      </c>
      <c r="N1022" s="23"/>
      <c r="O1022" s="23"/>
      <c r="P1022" s="23"/>
      <c r="Q1022" s="23"/>
      <c r="R1022" s="23">
        <v>9</v>
      </c>
      <c r="S1022" s="23"/>
      <c r="T1022" s="23"/>
      <c r="U1022" s="23"/>
      <c r="V1022" s="23"/>
      <c r="W1022" s="23"/>
      <c r="X1022" s="23"/>
      <c r="Y1022" s="23"/>
      <c r="Z1022" s="23"/>
      <c r="AA1022" s="23">
        <v>21</v>
      </c>
      <c r="AB1022" s="23"/>
      <c r="AC1022" s="23"/>
      <c r="AD1022" s="23"/>
      <c r="AE1022" s="23"/>
      <c r="AF1022" s="23">
        <v>200</v>
      </c>
      <c r="AG1022" s="23"/>
      <c r="AH1022" s="23"/>
      <c r="AI1022" s="23"/>
      <c r="AJ1022" s="23"/>
      <c r="AK1022" s="23">
        <v>242</v>
      </c>
      <c r="AL1022" s="23"/>
      <c r="AM1022" s="23"/>
      <c r="AN1022" s="23"/>
      <c r="AO1022" s="23">
        <v>121</v>
      </c>
      <c r="AP1022" s="23">
        <v>64</v>
      </c>
      <c r="AQ1022" s="23"/>
      <c r="AR1022" s="23">
        <v>68</v>
      </c>
      <c r="AS1022" s="23">
        <v>169</v>
      </c>
      <c r="AT1022" s="23">
        <v>20</v>
      </c>
      <c r="AU1022" s="14" t="str">
        <f>HYPERLINK("http://www.openstreetmap.org/?mlat=33.2491&amp;mlon=44.3814&amp;zoom=12#map=12/33.2491/44.3814","Maplink1")</f>
        <v>Maplink1</v>
      </c>
      <c r="AV1022" s="14" t="str">
        <f>HYPERLINK("https://www.google.iq/maps/search/+33.2491,44.3814/@33.2491,44.3814,14z?hl=en","Maplink2")</f>
        <v>Maplink2</v>
      </c>
      <c r="AW1022" s="14" t="str">
        <f>HYPERLINK("http://www.bing.com/maps/?lvl=14&amp;sty=h&amp;cp=33.2491~44.3814&amp;sp=point.33.2491_44.3814_Al Jazera-808","Maplink3")</f>
        <v>Maplink3</v>
      </c>
    </row>
    <row r="1023" spans="1:49" ht="15" customHeight="1" x14ac:dyDescent="0.25">
      <c r="A1023" s="21">
        <v>25881</v>
      </c>
      <c r="B1023" s="22" t="s">
        <v>11</v>
      </c>
      <c r="C1023" s="22" t="s">
        <v>1979</v>
      </c>
      <c r="D1023" s="22" t="s">
        <v>2036</v>
      </c>
      <c r="E1023" s="22" t="s">
        <v>8520</v>
      </c>
      <c r="F1023" s="22">
        <v>33.265363176599998</v>
      </c>
      <c r="G1023" s="22">
        <v>44.396232497200003</v>
      </c>
      <c r="H1023" s="21" t="s">
        <v>1449</v>
      </c>
      <c r="I1023" s="21" t="s">
        <v>1982</v>
      </c>
      <c r="J1023" s="21"/>
      <c r="K1023" s="24">
        <v>41</v>
      </c>
      <c r="L1023" s="24">
        <v>246</v>
      </c>
      <c r="M1023" s="23">
        <v>41</v>
      </c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>
        <v>6</v>
      </c>
      <c r="AG1023" s="23"/>
      <c r="AH1023" s="23"/>
      <c r="AI1023" s="23"/>
      <c r="AJ1023" s="23"/>
      <c r="AK1023" s="23">
        <v>35</v>
      </c>
      <c r="AL1023" s="23"/>
      <c r="AM1023" s="23"/>
      <c r="AN1023" s="23"/>
      <c r="AO1023" s="23"/>
      <c r="AP1023" s="23"/>
      <c r="AQ1023" s="23"/>
      <c r="AR1023" s="23">
        <v>8</v>
      </c>
      <c r="AS1023" s="23">
        <v>33</v>
      </c>
      <c r="AT1023" s="23"/>
      <c r="AU1023" s="14" t="str">
        <f>HYPERLINK("http://www.openstreetmap.org/?mlat=33.2599&amp;mlon=44.3843&amp;zoom=12#map=12/33.2599/44.3843","Maplink1")</f>
        <v>Maplink1</v>
      </c>
      <c r="AV1023" s="14" t="str">
        <f>HYPERLINK("https://www.google.iq/maps/search/+33.2599,44.3843/@33.2599,44.3843,14z?hl=en","Maplink2")</f>
        <v>Maplink2</v>
      </c>
      <c r="AW1023" s="14" t="str">
        <f>HYPERLINK("http://www.bing.com/maps/?lvl=14&amp;sty=h&amp;cp=33.2599~44.3843&amp;sp=point.33.2599_44.3843_Al Jazera-812","Maplink3")</f>
        <v>Maplink3</v>
      </c>
    </row>
    <row r="1024" spans="1:49" ht="15" customHeight="1" x14ac:dyDescent="0.25">
      <c r="A1024" s="21">
        <v>26099</v>
      </c>
      <c r="B1024" s="22" t="s">
        <v>11</v>
      </c>
      <c r="C1024" s="22" t="s">
        <v>1979</v>
      </c>
      <c r="D1024" s="22" t="s">
        <v>2037</v>
      </c>
      <c r="E1024" s="22" t="s">
        <v>8521</v>
      </c>
      <c r="F1024" s="22">
        <v>33.260229053000003</v>
      </c>
      <c r="G1024" s="22">
        <v>44.406804917400002</v>
      </c>
      <c r="H1024" s="21" t="s">
        <v>1449</v>
      </c>
      <c r="I1024" s="21" t="s">
        <v>1982</v>
      </c>
      <c r="J1024" s="21"/>
      <c r="K1024" s="24">
        <v>624</v>
      </c>
      <c r="L1024" s="24">
        <v>3744</v>
      </c>
      <c r="M1024" s="23">
        <v>624</v>
      </c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>
        <v>102</v>
      </c>
      <c r="AG1024" s="23"/>
      <c r="AH1024" s="23"/>
      <c r="AI1024" s="23"/>
      <c r="AJ1024" s="23"/>
      <c r="AK1024" s="23">
        <v>522</v>
      </c>
      <c r="AL1024" s="23"/>
      <c r="AM1024" s="23"/>
      <c r="AN1024" s="23"/>
      <c r="AO1024" s="23"/>
      <c r="AP1024" s="23"/>
      <c r="AQ1024" s="23"/>
      <c r="AR1024" s="23">
        <v>50</v>
      </c>
      <c r="AS1024" s="23">
        <v>554</v>
      </c>
      <c r="AT1024" s="23">
        <v>20</v>
      </c>
      <c r="AU1024" s="14" t="str">
        <f>HYPERLINK("http://www.openstreetmap.org/?mlat=33.2566&amp;mlon=44.3847&amp;zoom=12#map=12/33.2566/44.3847","Maplink1")</f>
        <v>Maplink1</v>
      </c>
      <c r="AV1024" s="14" t="str">
        <f>HYPERLINK("https://www.google.iq/maps/search/+33.2566,44.3847/@33.2566,44.3847,14z?hl=en","Maplink2")</f>
        <v>Maplink2</v>
      </c>
      <c r="AW1024" s="14" t="str">
        <f>HYPERLINK("http://www.bing.com/maps/?lvl=14&amp;sty=h&amp;cp=33.2566~44.3847&amp;sp=point.33.2566_44.3847_Al Jazera-814","Maplink3")</f>
        <v>Maplink3</v>
      </c>
    </row>
    <row r="1025" spans="1:49" ht="15" customHeight="1" x14ac:dyDescent="0.25">
      <c r="A1025" s="21">
        <v>27374</v>
      </c>
      <c r="B1025" s="22" t="s">
        <v>11</v>
      </c>
      <c r="C1025" s="22" t="s">
        <v>1979</v>
      </c>
      <c r="D1025" s="22" t="s">
        <v>7428</v>
      </c>
      <c r="E1025" s="22" t="s">
        <v>7806</v>
      </c>
      <c r="F1025" s="22">
        <v>33.308968173700002</v>
      </c>
      <c r="G1025" s="22">
        <v>44.363795574800001</v>
      </c>
      <c r="H1025" s="21" t="s">
        <v>1449</v>
      </c>
      <c r="I1025" s="21" t="s">
        <v>1982</v>
      </c>
      <c r="J1025" s="21"/>
      <c r="K1025" s="24">
        <v>11</v>
      </c>
      <c r="L1025" s="24">
        <v>66</v>
      </c>
      <c r="M1025" s="23">
        <v>5</v>
      </c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>
        <v>4</v>
      </c>
      <c r="Z1025" s="23"/>
      <c r="AA1025" s="23">
        <v>2</v>
      </c>
      <c r="AB1025" s="23"/>
      <c r="AC1025" s="23"/>
      <c r="AD1025" s="23"/>
      <c r="AE1025" s="23"/>
      <c r="AF1025" s="23">
        <v>4</v>
      </c>
      <c r="AG1025" s="23"/>
      <c r="AH1025" s="23"/>
      <c r="AI1025" s="23"/>
      <c r="AJ1025" s="23"/>
      <c r="AK1025" s="23">
        <v>7</v>
      </c>
      <c r="AL1025" s="23"/>
      <c r="AM1025" s="23"/>
      <c r="AN1025" s="23"/>
      <c r="AO1025" s="23"/>
      <c r="AP1025" s="23"/>
      <c r="AQ1025" s="23"/>
      <c r="AR1025" s="23">
        <v>8</v>
      </c>
      <c r="AS1025" s="23">
        <v>3</v>
      </c>
      <c r="AT1025" s="23"/>
      <c r="AU1025" s="14" t="str">
        <f>HYPERLINK("http://www.openstreetmap.org/?mlat=33.3098&amp;mlon=44.3613&amp;zoom=12#map=12/33.3098/44.3613","Maplink1")</f>
        <v>Maplink1</v>
      </c>
      <c r="AV1025" s="14" t="str">
        <f>HYPERLINK("https://www.google.iq/maps/search/+33.3098,44.3613/@33.3098,44.3613,14z?hl=en","Maplink2")</f>
        <v>Maplink2</v>
      </c>
      <c r="AW1025" s="14" t="str">
        <f>HYPERLINK("http://www.bing.com/maps/?lvl=14&amp;sty=h&amp;cp=33.3098~44.3613&amp;sp=point.33.3098_44.3613_Al Kandi - Mahalla 211","Maplink3")</f>
        <v>Maplink3</v>
      </c>
    </row>
    <row r="1026" spans="1:49" ht="15" customHeight="1" x14ac:dyDescent="0.25">
      <c r="A1026" s="21">
        <v>27375</v>
      </c>
      <c r="B1026" s="22" t="s">
        <v>11</v>
      </c>
      <c r="C1026" s="22" t="s">
        <v>1979</v>
      </c>
      <c r="D1026" s="22" t="s">
        <v>7429</v>
      </c>
      <c r="E1026" s="22" t="s">
        <v>7807</v>
      </c>
      <c r="F1026" s="22">
        <v>33.303874381100002</v>
      </c>
      <c r="G1026" s="22">
        <v>44.374204571900002</v>
      </c>
      <c r="H1026" s="21" t="s">
        <v>1449</v>
      </c>
      <c r="I1026" s="21" t="s">
        <v>1982</v>
      </c>
      <c r="J1026" s="21"/>
      <c r="K1026" s="24">
        <v>59</v>
      </c>
      <c r="L1026" s="24">
        <v>354</v>
      </c>
      <c r="M1026" s="23">
        <v>40</v>
      </c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>
        <v>14</v>
      </c>
      <c r="Z1026" s="23"/>
      <c r="AA1026" s="23">
        <v>5</v>
      </c>
      <c r="AB1026" s="23"/>
      <c r="AC1026" s="23"/>
      <c r="AD1026" s="23"/>
      <c r="AE1026" s="23"/>
      <c r="AF1026" s="23">
        <v>10</v>
      </c>
      <c r="AG1026" s="23"/>
      <c r="AH1026" s="23"/>
      <c r="AI1026" s="23"/>
      <c r="AJ1026" s="23"/>
      <c r="AK1026" s="23">
        <v>49</v>
      </c>
      <c r="AL1026" s="23"/>
      <c r="AM1026" s="23"/>
      <c r="AN1026" s="23"/>
      <c r="AO1026" s="23"/>
      <c r="AP1026" s="23"/>
      <c r="AQ1026" s="23"/>
      <c r="AR1026" s="23">
        <v>55</v>
      </c>
      <c r="AS1026" s="23">
        <v>4</v>
      </c>
      <c r="AT1026" s="23"/>
      <c r="AU1026" s="14" t="str">
        <f>HYPERLINK("http://www.openstreetmap.org/?mlat=33.3098&amp;mlon=44.3613&amp;zoom=12#map=12/33.3098/44.3613","Maplink1")</f>
        <v>Maplink1</v>
      </c>
      <c r="AV1026" s="14" t="str">
        <f>HYPERLINK("https://www.google.iq/maps/search/+33.3098,44.3613/@33.3098,44.3613,14z?hl=en","Maplink2")</f>
        <v>Maplink2</v>
      </c>
      <c r="AW1026" s="14" t="str">
        <f>HYPERLINK("http://www.bing.com/maps/?lvl=14&amp;sty=h&amp;cp=33.3098~44.3613&amp;sp=point.33.3098_44.3613_Al Kandi - Mahalla 213","Maplink3")</f>
        <v>Maplink3</v>
      </c>
    </row>
    <row r="1027" spans="1:49" ht="15" customHeight="1" x14ac:dyDescent="0.25">
      <c r="A1027" s="21">
        <v>27195</v>
      </c>
      <c r="B1027" s="22" t="s">
        <v>11</v>
      </c>
      <c r="C1027" s="22" t="s">
        <v>1979</v>
      </c>
      <c r="D1027" s="22" t="s">
        <v>8522</v>
      </c>
      <c r="E1027" s="22" t="s">
        <v>7808</v>
      </c>
      <c r="F1027" s="22">
        <v>33.336089999999999</v>
      </c>
      <c r="G1027" s="22">
        <v>44.380200000000002</v>
      </c>
      <c r="H1027" s="21"/>
      <c r="I1027" s="21"/>
      <c r="J1027" s="21"/>
      <c r="K1027" s="24">
        <v>54</v>
      </c>
      <c r="L1027" s="24">
        <v>324</v>
      </c>
      <c r="M1027" s="23">
        <v>45</v>
      </c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>
        <v>1</v>
      </c>
      <c r="Z1027" s="23"/>
      <c r="AA1027" s="23">
        <v>8</v>
      </c>
      <c r="AB1027" s="23"/>
      <c r="AC1027" s="23"/>
      <c r="AD1027" s="23"/>
      <c r="AE1027" s="23"/>
      <c r="AF1027" s="23">
        <v>14</v>
      </c>
      <c r="AG1027" s="23"/>
      <c r="AH1027" s="23"/>
      <c r="AI1027" s="23"/>
      <c r="AJ1027" s="23"/>
      <c r="AK1027" s="23">
        <v>40</v>
      </c>
      <c r="AL1027" s="23"/>
      <c r="AM1027" s="23"/>
      <c r="AN1027" s="23"/>
      <c r="AO1027" s="23"/>
      <c r="AP1027" s="23"/>
      <c r="AQ1027" s="23"/>
      <c r="AR1027" s="23">
        <v>40</v>
      </c>
      <c r="AS1027" s="23">
        <v>14</v>
      </c>
      <c r="AT1027" s="23"/>
      <c r="AU1027" s="14" t="str">
        <f>HYPERLINK("http://www.openstreetmap.org/?mlat=33.3341&amp;mlon=44.3743&amp;zoom=12#map=12/33.3341/44.3743","Maplink1")</f>
        <v>Maplink1</v>
      </c>
      <c r="AV1027" s="14" t="str">
        <f>HYPERLINK("https://www.google.iq/maps/search/+33.3341,44.3743/@33.3341,44.3743,14z?hl=en","Maplink2")</f>
        <v>Maplink2</v>
      </c>
      <c r="AW1027" s="14" t="str">
        <f>HYPERLINK("http://www.bing.com/maps/?lvl=14&amp;sty=h&amp;cp=33.3341~44.3743&amp;sp=point.33.3341_44.3743_Al karkh - 216","Maplink3")</f>
        <v>Maplink3</v>
      </c>
    </row>
    <row r="1028" spans="1:49" ht="15" customHeight="1" x14ac:dyDescent="0.25">
      <c r="A1028" s="21">
        <v>21745</v>
      </c>
      <c r="B1028" s="22" t="s">
        <v>11</v>
      </c>
      <c r="C1028" s="22" t="s">
        <v>1979</v>
      </c>
      <c r="D1028" s="22" t="s">
        <v>8523</v>
      </c>
      <c r="E1028" s="22" t="s">
        <v>7857</v>
      </c>
      <c r="F1028" s="22">
        <v>33.334091399999998</v>
      </c>
      <c r="G1028" s="22">
        <v>44.374333</v>
      </c>
      <c r="H1028" s="21" t="s">
        <v>1449</v>
      </c>
      <c r="I1028" s="21" t="s">
        <v>1982</v>
      </c>
      <c r="J1028" s="21" t="s">
        <v>2139</v>
      </c>
      <c r="K1028" s="24">
        <v>186</v>
      </c>
      <c r="L1028" s="24">
        <v>1116</v>
      </c>
      <c r="M1028" s="23">
        <v>156</v>
      </c>
      <c r="N1028" s="23"/>
      <c r="O1028" s="23"/>
      <c r="P1028" s="23"/>
      <c r="Q1028" s="23"/>
      <c r="R1028" s="23">
        <v>3</v>
      </c>
      <c r="S1028" s="23"/>
      <c r="T1028" s="23"/>
      <c r="U1028" s="23"/>
      <c r="V1028" s="23"/>
      <c r="W1028" s="23"/>
      <c r="X1028" s="23"/>
      <c r="Y1028" s="23">
        <v>10</v>
      </c>
      <c r="Z1028" s="23"/>
      <c r="AA1028" s="23">
        <v>17</v>
      </c>
      <c r="AB1028" s="23"/>
      <c r="AC1028" s="23"/>
      <c r="AD1028" s="23"/>
      <c r="AE1028" s="23"/>
      <c r="AF1028" s="23">
        <v>23</v>
      </c>
      <c r="AG1028" s="23"/>
      <c r="AH1028" s="23"/>
      <c r="AI1028" s="23"/>
      <c r="AJ1028" s="23">
        <v>28</v>
      </c>
      <c r="AK1028" s="23">
        <v>81</v>
      </c>
      <c r="AL1028" s="23">
        <v>46</v>
      </c>
      <c r="AM1028" s="23">
        <v>8</v>
      </c>
      <c r="AN1028" s="23"/>
      <c r="AO1028" s="23"/>
      <c r="AP1028" s="23"/>
      <c r="AQ1028" s="23"/>
      <c r="AR1028" s="23">
        <v>105</v>
      </c>
      <c r="AS1028" s="23">
        <v>81</v>
      </c>
      <c r="AT1028" s="23"/>
      <c r="AU1028" s="14" t="str">
        <f>HYPERLINK("http://www.openstreetmap.org/?mlat=33.3341&amp;mlon=44.3743&amp;zoom=12#map=12/33.3341/44.3743","Maplink1")</f>
        <v>Maplink1</v>
      </c>
      <c r="AV1028" s="14" t="str">
        <f>HYPERLINK("https://www.google.iq/maps/search/+33.3341,44.3743/@33.3341,44.3743,14z?hl=en","Maplink2")</f>
        <v>Maplink2</v>
      </c>
      <c r="AW1028" s="14" t="str">
        <f>HYPERLINK("http://www.bing.com/maps/?lvl=14&amp;sty=h&amp;cp=33.3341~44.3743&amp;sp=point.33.3341_44.3743_Karkh-Mahalla 212","Maplink3")</f>
        <v>Maplink3</v>
      </c>
    </row>
    <row r="1029" spans="1:49" ht="15" customHeight="1" x14ac:dyDescent="0.25">
      <c r="A1029" s="21">
        <v>21460</v>
      </c>
      <c r="B1029" s="22" t="s">
        <v>11</v>
      </c>
      <c r="C1029" s="22" t="s">
        <v>1979</v>
      </c>
      <c r="D1029" s="22" t="s">
        <v>8524</v>
      </c>
      <c r="E1029" s="22" t="s">
        <v>8525</v>
      </c>
      <c r="F1029" s="22">
        <v>33.316587377300003</v>
      </c>
      <c r="G1029" s="22">
        <v>44.297152692499999</v>
      </c>
      <c r="H1029" s="21" t="s">
        <v>1449</v>
      </c>
      <c r="I1029" s="21" t="s">
        <v>1982</v>
      </c>
      <c r="J1029" s="21" t="s">
        <v>2038</v>
      </c>
      <c r="K1029" s="24">
        <v>410</v>
      </c>
      <c r="L1029" s="24">
        <v>2460</v>
      </c>
      <c r="M1029" s="23">
        <v>370</v>
      </c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>
        <v>40</v>
      </c>
      <c r="AB1029" s="23"/>
      <c r="AC1029" s="23"/>
      <c r="AD1029" s="23"/>
      <c r="AE1029" s="23"/>
      <c r="AF1029" s="23">
        <v>145</v>
      </c>
      <c r="AG1029" s="23"/>
      <c r="AH1029" s="23"/>
      <c r="AI1029" s="23"/>
      <c r="AJ1029" s="23"/>
      <c r="AK1029" s="23">
        <v>265</v>
      </c>
      <c r="AL1029" s="23"/>
      <c r="AM1029" s="23"/>
      <c r="AN1029" s="23"/>
      <c r="AO1029" s="23">
        <v>50</v>
      </c>
      <c r="AP1029" s="23">
        <v>75</v>
      </c>
      <c r="AQ1029" s="23"/>
      <c r="AR1029" s="23">
        <v>176</v>
      </c>
      <c r="AS1029" s="23">
        <v>89</v>
      </c>
      <c r="AT1029" s="23">
        <v>20</v>
      </c>
      <c r="AU1029" s="14" t="str">
        <f>HYPERLINK("http://www.openstreetmap.org/?mlat=33.3186&amp;mlon=44.2989&amp;zoom=12#map=12/33.3186/44.2989","Maplink1")</f>
        <v>Maplink1</v>
      </c>
      <c r="AV1029" s="14" t="str">
        <f>HYPERLINK("https://www.google.iq/maps/search/+33.3186,44.2989/@33.3186,44.2989,14z?hl=en","Maplink2")</f>
        <v>Maplink2</v>
      </c>
      <c r="AW1029" s="14" t="str">
        <f>HYPERLINK("http://www.bing.com/maps/?lvl=14&amp;sty=h&amp;cp=33.3186~44.2989&amp;sp=point.33.3186_44.2989_Al Khadraa Mahalla 640","Maplink3")</f>
        <v>Maplink3</v>
      </c>
    </row>
    <row r="1030" spans="1:49" ht="15" customHeight="1" x14ac:dyDescent="0.25">
      <c r="A1030" s="21">
        <v>25206</v>
      </c>
      <c r="B1030" s="22" t="s">
        <v>11</v>
      </c>
      <c r="C1030" s="22" t="s">
        <v>1979</v>
      </c>
      <c r="D1030" s="22" t="s">
        <v>8526</v>
      </c>
      <c r="E1030" s="22" t="s">
        <v>8527</v>
      </c>
      <c r="F1030" s="22">
        <v>33.313390309900001</v>
      </c>
      <c r="G1030" s="22">
        <v>44.296488007500002</v>
      </c>
      <c r="H1030" s="21" t="s">
        <v>1449</v>
      </c>
      <c r="I1030" s="21" t="s">
        <v>1982</v>
      </c>
      <c r="J1030" s="21"/>
      <c r="K1030" s="24">
        <v>664</v>
      </c>
      <c r="L1030" s="24">
        <v>3984</v>
      </c>
      <c r="M1030" s="23">
        <v>619</v>
      </c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>
        <v>22</v>
      </c>
      <c r="Z1030" s="23"/>
      <c r="AA1030" s="23">
        <v>23</v>
      </c>
      <c r="AB1030" s="23"/>
      <c r="AC1030" s="23"/>
      <c r="AD1030" s="23"/>
      <c r="AE1030" s="23"/>
      <c r="AF1030" s="23">
        <v>141</v>
      </c>
      <c r="AG1030" s="23"/>
      <c r="AH1030" s="23"/>
      <c r="AI1030" s="23"/>
      <c r="AJ1030" s="23"/>
      <c r="AK1030" s="23">
        <v>523</v>
      </c>
      <c r="AL1030" s="23"/>
      <c r="AM1030" s="23"/>
      <c r="AN1030" s="23"/>
      <c r="AO1030" s="23"/>
      <c r="AP1030" s="23">
        <v>22</v>
      </c>
      <c r="AQ1030" s="23"/>
      <c r="AR1030" s="23">
        <v>367</v>
      </c>
      <c r="AS1030" s="23">
        <v>267</v>
      </c>
      <c r="AT1030" s="23">
        <v>8</v>
      </c>
      <c r="AU1030" s="14" t="str">
        <f>HYPERLINK("http://www.openstreetmap.org/?mlat=33.3186&amp;mlon=44.2989&amp;zoom=12#map=12/33.3186/44.2989","Maplink1")</f>
        <v>Maplink1</v>
      </c>
      <c r="AV1030" s="14" t="str">
        <f>HYPERLINK("https://www.google.iq/maps/search/+33.3186,44.2989/@33.3186,44.2989,14z?hl=en","Maplink2")</f>
        <v>Maplink2</v>
      </c>
      <c r="AW1030" s="14" t="str">
        <f>HYPERLINK("http://www.bing.com/maps/?lvl=14&amp;sty=h&amp;cp=33.3186~44.2989&amp;sp=point.33.3186_44.2989_Al Khadraa Mahalla 641","Maplink3")</f>
        <v>Maplink3</v>
      </c>
    </row>
    <row r="1031" spans="1:49" ht="15" customHeight="1" x14ac:dyDescent="0.25">
      <c r="A1031" s="21">
        <v>27185</v>
      </c>
      <c r="B1031" s="22" t="s">
        <v>11</v>
      </c>
      <c r="C1031" s="22" t="s">
        <v>1979</v>
      </c>
      <c r="D1031" s="22" t="s">
        <v>7430</v>
      </c>
      <c r="E1031" s="22" t="s">
        <v>7809</v>
      </c>
      <c r="F1031" s="22">
        <v>33.224841084799998</v>
      </c>
      <c r="G1031" s="22">
        <v>44.345602003499998</v>
      </c>
      <c r="H1031" s="21"/>
      <c r="I1031" s="21"/>
      <c r="J1031" s="21"/>
      <c r="K1031" s="24">
        <v>94</v>
      </c>
      <c r="L1031" s="24">
        <v>564</v>
      </c>
      <c r="M1031" s="23">
        <v>42</v>
      </c>
      <c r="N1031" s="23"/>
      <c r="O1031" s="23"/>
      <c r="P1031" s="23"/>
      <c r="Q1031" s="23"/>
      <c r="R1031" s="23"/>
      <c r="S1031" s="23"/>
      <c r="T1031" s="23"/>
      <c r="U1031" s="23">
        <v>2</v>
      </c>
      <c r="V1031" s="23"/>
      <c r="W1031" s="23"/>
      <c r="X1031" s="23"/>
      <c r="Y1031" s="23">
        <v>23</v>
      </c>
      <c r="Z1031" s="23"/>
      <c r="AA1031" s="23">
        <v>27</v>
      </c>
      <c r="AB1031" s="23"/>
      <c r="AC1031" s="23"/>
      <c r="AD1031" s="23"/>
      <c r="AE1031" s="23"/>
      <c r="AF1031" s="23">
        <v>22</v>
      </c>
      <c r="AG1031" s="23"/>
      <c r="AH1031" s="23"/>
      <c r="AI1031" s="23"/>
      <c r="AJ1031" s="23"/>
      <c r="AK1031" s="23">
        <v>72</v>
      </c>
      <c r="AL1031" s="23"/>
      <c r="AM1031" s="23"/>
      <c r="AN1031" s="23"/>
      <c r="AO1031" s="23"/>
      <c r="AP1031" s="23">
        <v>18</v>
      </c>
      <c r="AQ1031" s="23"/>
      <c r="AR1031" s="23"/>
      <c r="AS1031" s="23">
        <v>76</v>
      </c>
      <c r="AT1031" s="23"/>
      <c r="AU1031" s="14" t="str">
        <f>HYPERLINK("http://www.openstreetmap.org/?mlat=33.2184&amp;mlon=44.335&amp;zoom=12#map=12/33.2184/44.335","Maplink1")</f>
        <v>Maplink1</v>
      </c>
      <c r="AV1031" s="14" t="str">
        <f>HYPERLINK("https://www.google.iq/maps/search/+33.2184,44.335/@33.2184,44.335,14z?hl=en","Maplink2")</f>
        <v>Maplink2</v>
      </c>
      <c r="AW1031" s="14" t="str">
        <f>HYPERLINK("http://www.bing.com/maps/?lvl=14&amp;sty=h&amp;cp=33.2184~44.335&amp;sp=point.33.2184_44.335_Al Ma'alef - 837","Maplink3")</f>
        <v>Maplink3</v>
      </c>
    </row>
    <row r="1032" spans="1:49" ht="15" customHeight="1" x14ac:dyDescent="0.25">
      <c r="A1032" s="21">
        <v>23574</v>
      </c>
      <c r="B1032" s="22" t="s">
        <v>11</v>
      </c>
      <c r="C1032" s="22" t="s">
        <v>1979</v>
      </c>
      <c r="D1032" s="22" t="s">
        <v>2039</v>
      </c>
      <c r="E1032" s="22" t="s">
        <v>2040</v>
      </c>
      <c r="F1032" s="22">
        <v>33.223936759700003</v>
      </c>
      <c r="G1032" s="22">
        <v>44.343480473200003</v>
      </c>
      <c r="H1032" s="21" t="s">
        <v>1449</v>
      </c>
      <c r="I1032" s="21" t="s">
        <v>1982</v>
      </c>
      <c r="J1032" s="21" t="s">
        <v>2041</v>
      </c>
      <c r="K1032" s="24">
        <v>96</v>
      </c>
      <c r="L1032" s="24">
        <v>576</v>
      </c>
      <c r="M1032" s="23">
        <v>38</v>
      </c>
      <c r="N1032" s="23"/>
      <c r="O1032" s="23"/>
      <c r="P1032" s="23"/>
      <c r="Q1032" s="23"/>
      <c r="R1032" s="23">
        <v>14</v>
      </c>
      <c r="S1032" s="23"/>
      <c r="T1032" s="23"/>
      <c r="U1032" s="23"/>
      <c r="V1032" s="23"/>
      <c r="W1032" s="23"/>
      <c r="X1032" s="23"/>
      <c r="Y1032" s="23">
        <v>9</v>
      </c>
      <c r="Z1032" s="23"/>
      <c r="AA1032" s="23">
        <v>35</v>
      </c>
      <c r="AB1032" s="23"/>
      <c r="AC1032" s="23"/>
      <c r="AD1032" s="23"/>
      <c r="AE1032" s="23"/>
      <c r="AF1032" s="23">
        <v>25</v>
      </c>
      <c r="AG1032" s="23"/>
      <c r="AH1032" s="23"/>
      <c r="AI1032" s="23"/>
      <c r="AJ1032" s="23"/>
      <c r="AK1032" s="23">
        <v>71</v>
      </c>
      <c r="AL1032" s="23"/>
      <c r="AM1032" s="23"/>
      <c r="AN1032" s="23"/>
      <c r="AO1032" s="23"/>
      <c r="AP1032" s="23">
        <v>22</v>
      </c>
      <c r="AQ1032" s="23">
        <v>45</v>
      </c>
      <c r="AR1032" s="23"/>
      <c r="AS1032" s="23">
        <v>29</v>
      </c>
      <c r="AT1032" s="23"/>
      <c r="AU1032" s="14" t="str">
        <f>HYPERLINK("http://www.openstreetmap.org/?mlat=33.2224&amp;mlon=44.339&amp;zoom=12#map=12/33.2224/44.339","Maplink1")</f>
        <v>Maplink1</v>
      </c>
      <c r="AV1032" s="14" t="str">
        <f>HYPERLINK("https://www.google.iq/maps/search/+33.2224,44.339/@33.2224,44.339,14z?hl=en","Maplink2")</f>
        <v>Maplink2</v>
      </c>
      <c r="AW1032" s="14" t="str">
        <f>HYPERLINK("http://www.bing.com/maps/?lvl=14&amp;sty=h&amp;cp=33.2224~44.339&amp;sp=point.33.2224_44.339_Al Maalef-843","Maplink3")</f>
        <v>Maplink3</v>
      </c>
    </row>
    <row r="1033" spans="1:49" ht="15" customHeight="1" x14ac:dyDescent="0.25">
      <c r="A1033" s="21">
        <v>27410</v>
      </c>
      <c r="B1033" s="22" t="s">
        <v>11</v>
      </c>
      <c r="C1033" s="22" t="s">
        <v>1979</v>
      </c>
      <c r="D1033" s="22" t="s">
        <v>8528</v>
      </c>
      <c r="E1033" s="22" t="s">
        <v>7811</v>
      </c>
      <c r="F1033" s="22">
        <v>33.235812275500002</v>
      </c>
      <c r="G1033" s="22">
        <v>44.397183414799997</v>
      </c>
      <c r="H1033" s="21" t="s">
        <v>1449</v>
      </c>
      <c r="I1033" s="21" t="s">
        <v>1982</v>
      </c>
      <c r="J1033" s="21"/>
      <c r="K1033" s="24">
        <v>75</v>
      </c>
      <c r="L1033" s="24">
        <v>450</v>
      </c>
      <c r="M1033" s="23">
        <v>60</v>
      </c>
      <c r="N1033" s="23"/>
      <c r="O1033" s="23">
        <v>10</v>
      </c>
      <c r="P1033" s="23"/>
      <c r="Q1033" s="23"/>
      <c r="R1033" s="23"/>
      <c r="S1033" s="23"/>
      <c r="T1033" s="23"/>
      <c r="U1033" s="23"/>
      <c r="V1033" s="23"/>
      <c r="W1033" s="23"/>
      <c r="X1033" s="23"/>
      <c r="Y1033" s="23">
        <v>5</v>
      </c>
      <c r="Z1033" s="23"/>
      <c r="AA1033" s="23"/>
      <c r="AB1033" s="23"/>
      <c r="AC1033" s="23"/>
      <c r="AD1033" s="23"/>
      <c r="AE1033" s="23"/>
      <c r="AF1033" s="23">
        <v>20</v>
      </c>
      <c r="AG1033" s="23"/>
      <c r="AH1033" s="23"/>
      <c r="AI1033" s="23"/>
      <c r="AJ1033" s="23"/>
      <c r="AK1033" s="23">
        <v>55</v>
      </c>
      <c r="AL1033" s="23"/>
      <c r="AM1033" s="23"/>
      <c r="AN1033" s="23"/>
      <c r="AO1033" s="23"/>
      <c r="AP1033" s="23">
        <v>6</v>
      </c>
      <c r="AQ1033" s="23"/>
      <c r="AR1033" s="23">
        <v>23</v>
      </c>
      <c r="AS1033" s="23">
        <v>46</v>
      </c>
      <c r="AT1033" s="23"/>
      <c r="AU1033" s="14" t="str">
        <f>HYPERLINK("http://www.openstreetmap.org/?mlat=33.2265&amp;mlon=44.3917&amp;zoom=12#map=12/33.2265/44.3917","Maplink1")</f>
        <v>Maplink1</v>
      </c>
      <c r="AV1033" s="14" t="str">
        <f>HYPERLINK("https://www.google.iq/maps/search/+33.2265,44.3917/@33.2265,44.3917,14z?hl=en","Maplink2")</f>
        <v>Maplink2</v>
      </c>
      <c r="AW1033" s="14" t="str">
        <f>HYPERLINK("http://www.bing.com/maps/?lvl=14&amp;sty=h&amp;cp=33.2265~44.3917&amp;sp=point.33.2265_44.3917_Al Mechanic - 832","Maplink3")</f>
        <v>Maplink3</v>
      </c>
    </row>
    <row r="1034" spans="1:49" ht="15" customHeight="1" x14ac:dyDescent="0.25">
      <c r="A1034" s="21">
        <v>23985</v>
      </c>
      <c r="B1034" s="22" t="s">
        <v>11</v>
      </c>
      <c r="C1034" s="22" t="s">
        <v>1979</v>
      </c>
      <c r="D1034" s="22" t="s">
        <v>8529</v>
      </c>
      <c r="E1034" s="22" t="s">
        <v>7810</v>
      </c>
      <c r="F1034" s="22">
        <v>33.235757950900002</v>
      </c>
      <c r="G1034" s="22">
        <v>44.393354318199997</v>
      </c>
      <c r="H1034" s="21" t="s">
        <v>1449</v>
      </c>
      <c r="I1034" s="21" t="s">
        <v>1982</v>
      </c>
      <c r="J1034" s="21" t="s">
        <v>2042</v>
      </c>
      <c r="K1034" s="24">
        <v>370</v>
      </c>
      <c r="L1034" s="24">
        <v>2220</v>
      </c>
      <c r="M1034" s="23">
        <v>270</v>
      </c>
      <c r="N1034" s="23">
        <v>4</v>
      </c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>
        <v>23</v>
      </c>
      <c r="Z1034" s="23"/>
      <c r="AA1034" s="23">
        <v>73</v>
      </c>
      <c r="AB1034" s="23"/>
      <c r="AC1034" s="23"/>
      <c r="AD1034" s="23"/>
      <c r="AE1034" s="23"/>
      <c r="AF1034" s="23">
        <v>89</v>
      </c>
      <c r="AG1034" s="23"/>
      <c r="AH1034" s="23"/>
      <c r="AI1034" s="23"/>
      <c r="AJ1034" s="23"/>
      <c r="AK1034" s="23">
        <v>281</v>
      </c>
      <c r="AL1034" s="23"/>
      <c r="AM1034" s="23"/>
      <c r="AN1034" s="23"/>
      <c r="AO1034" s="23">
        <v>106</v>
      </c>
      <c r="AP1034" s="23">
        <v>23</v>
      </c>
      <c r="AQ1034" s="23"/>
      <c r="AR1034" s="23">
        <v>200</v>
      </c>
      <c r="AS1034" s="23">
        <v>41</v>
      </c>
      <c r="AT1034" s="23"/>
      <c r="AU1034" s="14" t="str">
        <f>HYPERLINK("http://www.openstreetmap.org/?mlat=33.2265&amp;mlon=44.3917&amp;zoom=12#map=12/33.2265/44.3917","Maplink1")</f>
        <v>Maplink1</v>
      </c>
      <c r="AV1034" s="14" t="str">
        <f>HYPERLINK("https://www.google.iq/maps/search/+33.2265,44.3917/@33.2265,44.3917,14z?hl=en","Maplink2")</f>
        <v>Maplink2</v>
      </c>
      <c r="AW1034" s="14" t="str">
        <f>HYPERLINK("http://www.bing.com/maps/?lvl=14&amp;sty=h&amp;cp=33.2265~44.3917&amp;sp=point.33.2265_44.3917_Al Mechanic-830","Maplink3")</f>
        <v>Maplink3</v>
      </c>
    </row>
    <row r="1035" spans="1:49" ht="15" customHeight="1" x14ac:dyDescent="0.25">
      <c r="A1035" s="21">
        <v>24712</v>
      </c>
      <c r="B1035" s="22" t="s">
        <v>11</v>
      </c>
      <c r="C1035" s="22" t="s">
        <v>1979</v>
      </c>
      <c r="D1035" s="22" t="s">
        <v>2043</v>
      </c>
      <c r="E1035" s="22" t="s">
        <v>7812</v>
      </c>
      <c r="F1035" s="22">
        <v>33.233900821299997</v>
      </c>
      <c r="G1035" s="22">
        <v>44.403658889399999</v>
      </c>
      <c r="H1035" s="21" t="s">
        <v>1449</v>
      </c>
      <c r="I1035" s="21" t="s">
        <v>1982</v>
      </c>
      <c r="J1035" s="21"/>
      <c r="K1035" s="24">
        <v>379</v>
      </c>
      <c r="L1035" s="24">
        <v>2274</v>
      </c>
      <c r="M1035" s="23">
        <v>295</v>
      </c>
      <c r="N1035" s="23"/>
      <c r="O1035" s="23">
        <v>56</v>
      </c>
      <c r="P1035" s="23"/>
      <c r="Q1035" s="23"/>
      <c r="R1035" s="23"/>
      <c r="S1035" s="23"/>
      <c r="T1035" s="23"/>
      <c r="U1035" s="23"/>
      <c r="V1035" s="23"/>
      <c r="W1035" s="23"/>
      <c r="X1035" s="23"/>
      <c r="Y1035" s="23">
        <v>28</v>
      </c>
      <c r="Z1035" s="23"/>
      <c r="AA1035" s="23"/>
      <c r="AB1035" s="23"/>
      <c r="AC1035" s="23"/>
      <c r="AD1035" s="23"/>
      <c r="AE1035" s="23"/>
      <c r="AF1035" s="23">
        <v>49</v>
      </c>
      <c r="AG1035" s="23"/>
      <c r="AH1035" s="23"/>
      <c r="AI1035" s="23"/>
      <c r="AJ1035" s="23"/>
      <c r="AK1035" s="23">
        <v>330</v>
      </c>
      <c r="AL1035" s="23"/>
      <c r="AM1035" s="23"/>
      <c r="AN1035" s="23"/>
      <c r="AO1035" s="23"/>
      <c r="AP1035" s="23">
        <v>25</v>
      </c>
      <c r="AQ1035" s="23"/>
      <c r="AR1035" s="23">
        <v>314</v>
      </c>
      <c r="AS1035" s="23">
        <v>40</v>
      </c>
      <c r="AT1035" s="23"/>
      <c r="AU1035" s="14" t="str">
        <f>HYPERLINK("http://www.openstreetmap.org/?mlat=33.2385&amp;mlon=44.4007&amp;zoom=12#map=12/33.2385/44.4007","Maplink1")</f>
        <v>Maplink1</v>
      </c>
      <c r="AV1035" s="14" t="str">
        <f>HYPERLINK("https://www.google.iq/maps/search/+33.2385,44.4007/@33.2385,44.4007,14z?hl=en","Maplink2")</f>
        <v>Maplink2</v>
      </c>
      <c r="AW1035" s="14" t="str">
        <f>HYPERLINK("http://www.bing.com/maps/?lvl=14&amp;sty=h&amp;cp=33.2385~44.4007&amp;sp=point.33.2385_44.4007_Al Mechanic-834","Maplink3")</f>
        <v>Maplink3</v>
      </c>
    </row>
    <row r="1036" spans="1:49" ht="15" customHeight="1" x14ac:dyDescent="0.25">
      <c r="A1036" s="21">
        <v>7732</v>
      </c>
      <c r="B1036" s="22" t="s">
        <v>11</v>
      </c>
      <c r="C1036" s="22" t="s">
        <v>1979</v>
      </c>
      <c r="D1036" s="22" t="s">
        <v>8530</v>
      </c>
      <c r="E1036" s="22" t="s">
        <v>7859</v>
      </c>
      <c r="F1036" s="22">
        <v>33.235105000899999</v>
      </c>
      <c r="G1036" s="22">
        <v>44.316434900600001</v>
      </c>
      <c r="H1036" s="21" t="s">
        <v>1449</v>
      </c>
      <c r="I1036" s="21" t="s">
        <v>1982</v>
      </c>
      <c r="J1036" s="21" t="s">
        <v>2140</v>
      </c>
      <c r="K1036" s="24">
        <v>470</v>
      </c>
      <c r="L1036" s="24">
        <v>2820</v>
      </c>
      <c r="M1036" s="23">
        <v>180</v>
      </c>
      <c r="N1036" s="23"/>
      <c r="O1036" s="23">
        <v>161</v>
      </c>
      <c r="P1036" s="23"/>
      <c r="Q1036" s="23"/>
      <c r="R1036" s="23"/>
      <c r="S1036" s="23"/>
      <c r="T1036" s="23"/>
      <c r="U1036" s="23">
        <v>6</v>
      </c>
      <c r="V1036" s="23"/>
      <c r="W1036" s="23"/>
      <c r="X1036" s="23"/>
      <c r="Y1036" s="23">
        <v>22</v>
      </c>
      <c r="Z1036" s="23"/>
      <c r="AA1036" s="23">
        <v>101</v>
      </c>
      <c r="AB1036" s="23"/>
      <c r="AC1036" s="23"/>
      <c r="AD1036" s="23"/>
      <c r="AE1036" s="23"/>
      <c r="AF1036" s="23">
        <v>130</v>
      </c>
      <c r="AG1036" s="23"/>
      <c r="AH1036" s="23"/>
      <c r="AI1036" s="23"/>
      <c r="AJ1036" s="23"/>
      <c r="AK1036" s="23">
        <v>340</v>
      </c>
      <c r="AL1036" s="23"/>
      <c r="AM1036" s="23"/>
      <c r="AN1036" s="23"/>
      <c r="AO1036" s="23"/>
      <c r="AP1036" s="23">
        <v>103</v>
      </c>
      <c r="AQ1036" s="23"/>
      <c r="AR1036" s="23">
        <v>178</v>
      </c>
      <c r="AS1036" s="23">
        <v>189</v>
      </c>
      <c r="AT1036" s="23"/>
      <c r="AU1036" s="14" t="str">
        <f>HYPERLINK("http://www.openstreetmap.org/?mlat=33.2544&amp;mlon=44.3272&amp;zoom=12#map=12/33.2544/44.3272","Maplink1")</f>
        <v>Maplink1</v>
      </c>
      <c r="AV1036" s="14" t="str">
        <f>HYPERLINK("https://www.google.iq/maps/search/+33.2544,44.3272/@33.2544,44.3272,14z?hl=en","Maplink2")</f>
        <v>Maplink2</v>
      </c>
      <c r="AW1036" s="14" t="str">
        <f>HYPERLINK("http://www.bing.com/maps/?lvl=14&amp;sty=h&amp;cp=33.2544~44.3272&amp;sp=point.33.2544_44.3272_Mowasalat 863","Maplink3")</f>
        <v>Maplink3</v>
      </c>
    </row>
    <row r="1037" spans="1:49" ht="15" customHeight="1" x14ac:dyDescent="0.25">
      <c r="A1037" s="21">
        <v>25933</v>
      </c>
      <c r="B1037" s="22" t="s">
        <v>11</v>
      </c>
      <c r="C1037" s="22" t="s">
        <v>1979</v>
      </c>
      <c r="D1037" s="22" t="s">
        <v>2044</v>
      </c>
      <c r="E1037" s="22" t="s">
        <v>2045</v>
      </c>
      <c r="F1037" s="22">
        <v>33.319506123700002</v>
      </c>
      <c r="G1037" s="22">
        <v>44.3616876472</v>
      </c>
      <c r="H1037" s="21" t="s">
        <v>1449</v>
      </c>
      <c r="I1037" s="21" t="s">
        <v>1982</v>
      </c>
      <c r="J1037" s="21"/>
      <c r="K1037" s="24">
        <v>257</v>
      </c>
      <c r="L1037" s="24">
        <v>1542</v>
      </c>
      <c r="M1037" s="23">
        <v>206</v>
      </c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>
        <v>34</v>
      </c>
      <c r="Z1037" s="23"/>
      <c r="AA1037" s="23">
        <v>17</v>
      </c>
      <c r="AB1037" s="23"/>
      <c r="AC1037" s="23"/>
      <c r="AD1037" s="23"/>
      <c r="AE1037" s="23"/>
      <c r="AF1037" s="23">
        <v>56</v>
      </c>
      <c r="AG1037" s="23"/>
      <c r="AH1037" s="23"/>
      <c r="AI1037" s="23"/>
      <c r="AJ1037" s="23"/>
      <c r="AK1037" s="23">
        <v>201</v>
      </c>
      <c r="AL1037" s="23"/>
      <c r="AM1037" s="23"/>
      <c r="AN1037" s="23"/>
      <c r="AO1037" s="23"/>
      <c r="AP1037" s="23"/>
      <c r="AQ1037" s="23"/>
      <c r="AR1037" s="23">
        <v>118</v>
      </c>
      <c r="AS1037" s="23">
        <v>139</v>
      </c>
      <c r="AT1037" s="23"/>
      <c r="AU1037" s="14" t="str">
        <f>HYPERLINK("http://www.openstreetmap.org/?mlat=33.3204&amp;mlon=44.3509&amp;zoom=12#map=12/33.3204/44.3509","Maplink1")</f>
        <v>Maplink1</v>
      </c>
      <c r="AV1037" s="14" t="str">
        <f>HYPERLINK("https://www.google.iq/maps/search/+33.3204,44.3509/@33.3204,44.3509,14z?hl=en","Maplink2")</f>
        <v>Maplink2</v>
      </c>
      <c r="AW1037" s="14" t="str">
        <f>HYPERLINK("http://www.bing.com/maps/?lvl=14&amp;sty=h&amp;cp=33.3204~44.3509&amp;sp=point.33.3204_44.3509_Al Mutanbi-603","Maplink3")</f>
        <v>Maplink3</v>
      </c>
    </row>
    <row r="1038" spans="1:49" ht="15" customHeight="1" x14ac:dyDescent="0.25">
      <c r="A1038" s="21">
        <v>25932</v>
      </c>
      <c r="B1038" s="22" t="s">
        <v>11</v>
      </c>
      <c r="C1038" s="22" t="s">
        <v>1979</v>
      </c>
      <c r="D1038" s="22" t="s">
        <v>2046</v>
      </c>
      <c r="E1038" s="22" t="s">
        <v>7813</v>
      </c>
      <c r="F1038" s="22">
        <v>33.321248553700002</v>
      </c>
      <c r="G1038" s="22">
        <v>44.359344569999998</v>
      </c>
      <c r="H1038" s="21" t="s">
        <v>1449</v>
      </c>
      <c r="I1038" s="21" t="s">
        <v>1982</v>
      </c>
      <c r="J1038" s="21"/>
      <c r="K1038" s="24">
        <v>97</v>
      </c>
      <c r="L1038" s="24">
        <v>582</v>
      </c>
      <c r="M1038" s="23">
        <v>56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>
        <v>29</v>
      </c>
      <c r="Z1038" s="23"/>
      <c r="AA1038" s="23">
        <v>12</v>
      </c>
      <c r="AB1038" s="23"/>
      <c r="AC1038" s="23"/>
      <c r="AD1038" s="23"/>
      <c r="AE1038" s="23"/>
      <c r="AF1038" s="23">
        <v>37</v>
      </c>
      <c r="AG1038" s="23"/>
      <c r="AH1038" s="23"/>
      <c r="AI1038" s="23"/>
      <c r="AJ1038" s="23"/>
      <c r="AK1038" s="23">
        <v>60</v>
      </c>
      <c r="AL1038" s="23"/>
      <c r="AM1038" s="23"/>
      <c r="AN1038" s="23"/>
      <c r="AO1038" s="23"/>
      <c r="AP1038" s="23"/>
      <c r="AQ1038" s="23">
        <v>22</v>
      </c>
      <c r="AR1038" s="23">
        <v>52</v>
      </c>
      <c r="AS1038" s="23">
        <v>23</v>
      </c>
      <c r="AT1038" s="23"/>
      <c r="AU1038" s="14" t="str">
        <f>HYPERLINK("http://www.openstreetmap.org/?mlat=33.3205&amp;mlon=44.3497&amp;zoom=12#map=12/33.3205/44.3497","Maplink1")</f>
        <v>Maplink1</v>
      </c>
      <c r="AV1038" s="14" t="str">
        <f>HYPERLINK("https://www.google.iq/maps/search/+33.3205,44.3497/@33.3205,44.3497,14z?hl=en","Maplink2")</f>
        <v>Maplink2</v>
      </c>
      <c r="AW1038" s="14" t="str">
        <f>HYPERLINK("http://www.bing.com/maps/?lvl=14&amp;sty=h&amp;cp=33.3205~44.3497&amp;sp=point.33.3205_44.3497_Al Mutanbi-605","Maplink3")</f>
        <v>Maplink3</v>
      </c>
    </row>
    <row r="1039" spans="1:49" ht="15" customHeight="1" x14ac:dyDescent="0.25">
      <c r="A1039" s="21">
        <v>25934</v>
      </c>
      <c r="B1039" s="22" t="s">
        <v>11</v>
      </c>
      <c r="C1039" s="22" t="s">
        <v>1979</v>
      </c>
      <c r="D1039" s="22" t="s">
        <v>2047</v>
      </c>
      <c r="E1039" s="22" t="s">
        <v>2048</v>
      </c>
      <c r="F1039" s="22">
        <v>33.323037377600002</v>
      </c>
      <c r="G1039" s="22">
        <v>44.358538314699999</v>
      </c>
      <c r="H1039" s="21" t="s">
        <v>1449</v>
      </c>
      <c r="I1039" s="21" t="s">
        <v>1982</v>
      </c>
      <c r="J1039" s="21"/>
      <c r="K1039" s="24">
        <v>117</v>
      </c>
      <c r="L1039" s="24">
        <v>702</v>
      </c>
      <c r="M1039" s="23">
        <v>70</v>
      </c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>
        <v>27</v>
      </c>
      <c r="Z1039" s="23"/>
      <c r="AA1039" s="23">
        <v>20</v>
      </c>
      <c r="AB1039" s="23"/>
      <c r="AC1039" s="23"/>
      <c r="AD1039" s="23"/>
      <c r="AE1039" s="23"/>
      <c r="AF1039" s="23">
        <v>38</v>
      </c>
      <c r="AG1039" s="23"/>
      <c r="AH1039" s="23"/>
      <c r="AI1039" s="23"/>
      <c r="AJ1039" s="23"/>
      <c r="AK1039" s="23">
        <v>79</v>
      </c>
      <c r="AL1039" s="23"/>
      <c r="AM1039" s="23"/>
      <c r="AN1039" s="23"/>
      <c r="AO1039" s="23"/>
      <c r="AP1039" s="23"/>
      <c r="AQ1039" s="23">
        <v>66</v>
      </c>
      <c r="AR1039" s="23"/>
      <c r="AS1039" s="23">
        <v>51</v>
      </c>
      <c r="AT1039" s="23"/>
      <c r="AU1039" s="14" t="str">
        <f>HYPERLINK("http://www.openstreetmap.org/?mlat=33.3206&amp;mlon=44.3494&amp;zoom=12#map=12/33.3206/44.3494","Maplink1")</f>
        <v>Maplink1</v>
      </c>
      <c r="AV1039" s="14" t="str">
        <f>HYPERLINK("https://www.google.iq/maps/search/+33.3206,44.3494/@33.3206,44.3494,14z?hl=en","Maplink2")</f>
        <v>Maplink2</v>
      </c>
      <c r="AW1039" s="14" t="str">
        <f>HYPERLINK("http://www.bing.com/maps/?lvl=14&amp;sty=h&amp;cp=33.3206~44.3494&amp;sp=point.33.3206_44.3494_Al Mutanbi-607","Maplink3")</f>
        <v>Maplink3</v>
      </c>
    </row>
    <row r="1040" spans="1:49" ht="15" customHeight="1" x14ac:dyDescent="0.25">
      <c r="A1040" s="21">
        <v>25935</v>
      </c>
      <c r="B1040" s="22" t="s">
        <v>11</v>
      </c>
      <c r="C1040" s="22" t="s">
        <v>1979</v>
      </c>
      <c r="D1040" s="22" t="s">
        <v>2049</v>
      </c>
      <c r="E1040" s="22" t="s">
        <v>7814</v>
      </c>
      <c r="F1040" s="22">
        <v>33.324557519499997</v>
      </c>
      <c r="G1040" s="22">
        <v>44.357392592399997</v>
      </c>
      <c r="H1040" s="21" t="s">
        <v>1449</v>
      </c>
      <c r="I1040" s="21" t="s">
        <v>1982</v>
      </c>
      <c r="J1040" s="21"/>
      <c r="K1040" s="24">
        <v>125</v>
      </c>
      <c r="L1040" s="24">
        <v>750</v>
      </c>
      <c r="M1040" s="23">
        <v>125</v>
      </c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>
        <v>67</v>
      </c>
      <c r="AG1040" s="23"/>
      <c r="AH1040" s="23"/>
      <c r="AI1040" s="23"/>
      <c r="AJ1040" s="23"/>
      <c r="AK1040" s="23">
        <v>58</v>
      </c>
      <c r="AL1040" s="23"/>
      <c r="AM1040" s="23"/>
      <c r="AN1040" s="23"/>
      <c r="AO1040" s="23"/>
      <c r="AP1040" s="23"/>
      <c r="AQ1040" s="23">
        <v>21</v>
      </c>
      <c r="AR1040" s="23"/>
      <c r="AS1040" s="23">
        <v>104</v>
      </c>
      <c r="AT1040" s="23"/>
      <c r="AU1040" s="14" t="str">
        <f>HYPERLINK("http://www.openstreetmap.org/?mlat=33.3199&amp;mlon=44.3498&amp;zoom=12#map=12/33.3199/44.3498","Maplink1")</f>
        <v>Maplink1</v>
      </c>
      <c r="AV1040" s="14" t="str">
        <f>HYPERLINK("https://www.google.iq/maps/search/+33.3199,44.3498/@33.3199,44.3498,14z?hl=en","Maplink2")</f>
        <v>Maplink2</v>
      </c>
      <c r="AW1040" s="14" t="str">
        <f>HYPERLINK("http://www.bing.com/maps/?lvl=14&amp;sty=h&amp;cp=33.3199~44.3498&amp;sp=point.33.3199_44.3498_Al Mutanbi-615","Maplink3")</f>
        <v>Maplink3</v>
      </c>
    </row>
    <row r="1041" spans="1:49" ht="15" customHeight="1" x14ac:dyDescent="0.25">
      <c r="A1041" s="21">
        <v>25953</v>
      </c>
      <c r="B1041" s="22" t="s">
        <v>11</v>
      </c>
      <c r="C1041" s="22" t="s">
        <v>1979</v>
      </c>
      <c r="D1041" s="22" t="s">
        <v>2050</v>
      </c>
      <c r="E1041" s="22" t="s">
        <v>7815</v>
      </c>
      <c r="F1041" s="22">
        <v>33.2913222257</v>
      </c>
      <c r="G1041" s="22">
        <v>44.352013086900001</v>
      </c>
      <c r="H1041" s="21" t="s">
        <v>1449</v>
      </c>
      <c r="I1041" s="21" t="s">
        <v>1982</v>
      </c>
      <c r="J1041" s="21"/>
      <c r="K1041" s="24">
        <v>83</v>
      </c>
      <c r="L1041" s="24">
        <v>498</v>
      </c>
      <c r="M1041" s="23">
        <v>57</v>
      </c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>
        <v>12</v>
      </c>
      <c r="Z1041" s="23"/>
      <c r="AA1041" s="23">
        <v>14</v>
      </c>
      <c r="AB1041" s="23"/>
      <c r="AC1041" s="23"/>
      <c r="AD1041" s="23"/>
      <c r="AE1041" s="23"/>
      <c r="AF1041" s="23">
        <v>20</v>
      </c>
      <c r="AG1041" s="23"/>
      <c r="AH1041" s="23"/>
      <c r="AI1041" s="23"/>
      <c r="AJ1041" s="23"/>
      <c r="AK1041" s="23">
        <v>63</v>
      </c>
      <c r="AL1041" s="23"/>
      <c r="AM1041" s="23"/>
      <c r="AN1041" s="23"/>
      <c r="AO1041" s="23"/>
      <c r="AP1041" s="23"/>
      <c r="AQ1041" s="23">
        <v>12</v>
      </c>
      <c r="AR1041" s="23"/>
      <c r="AS1041" s="23">
        <v>71</v>
      </c>
      <c r="AT1041" s="23"/>
      <c r="AU1041" s="14" t="str">
        <f>HYPERLINK("http://www.openstreetmap.org/?mlat=33.2961&amp;mlon=44.3556&amp;zoom=12#map=12/33.2961/44.3556","Maplink1")</f>
        <v>Maplink1</v>
      </c>
      <c r="AV1041" s="14" t="str">
        <f>HYPERLINK("https://www.google.iq/maps/search/+33.2961,44.3556/@33.2961,44.3556,14z?hl=en","Maplink2")</f>
        <v>Maplink2</v>
      </c>
      <c r="AW1041" s="14" t="str">
        <f>HYPERLINK("http://www.bing.com/maps/?lvl=14&amp;sty=h&amp;cp=33.2961~44.3556&amp;sp=point.33.2961_44.3556_Al Qadissiya-602","Maplink3")</f>
        <v>Maplink3</v>
      </c>
    </row>
    <row r="1042" spans="1:49" ht="15" customHeight="1" x14ac:dyDescent="0.25">
      <c r="A1042" s="21">
        <v>24064</v>
      </c>
      <c r="B1042" s="22" t="s">
        <v>11</v>
      </c>
      <c r="C1042" s="22" t="s">
        <v>1979</v>
      </c>
      <c r="D1042" s="22" t="s">
        <v>2051</v>
      </c>
      <c r="E1042" s="22" t="s">
        <v>7816</v>
      </c>
      <c r="F1042" s="22">
        <v>33.284664480000004</v>
      </c>
      <c r="G1042" s="22">
        <v>44.355148337800003</v>
      </c>
      <c r="H1042" s="21" t="s">
        <v>1449</v>
      </c>
      <c r="I1042" s="21" t="s">
        <v>1982</v>
      </c>
      <c r="J1042" s="21" t="s">
        <v>2052</v>
      </c>
      <c r="K1042" s="24">
        <v>201</v>
      </c>
      <c r="L1042" s="24">
        <v>1206</v>
      </c>
      <c r="M1042" s="23">
        <v>165</v>
      </c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>
        <v>14</v>
      </c>
      <c r="Z1042" s="23"/>
      <c r="AA1042" s="23">
        <v>22</v>
      </c>
      <c r="AB1042" s="23"/>
      <c r="AC1042" s="23"/>
      <c r="AD1042" s="23"/>
      <c r="AE1042" s="23"/>
      <c r="AF1042" s="23">
        <v>47</v>
      </c>
      <c r="AG1042" s="23"/>
      <c r="AH1042" s="23"/>
      <c r="AI1042" s="23"/>
      <c r="AJ1042" s="23"/>
      <c r="AK1042" s="23">
        <v>154</v>
      </c>
      <c r="AL1042" s="23"/>
      <c r="AM1042" s="23"/>
      <c r="AN1042" s="23"/>
      <c r="AO1042" s="23">
        <v>136</v>
      </c>
      <c r="AP1042" s="23"/>
      <c r="AQ1042" s="23">
        <v>14</v>
      </c>
      <c r="AR1042" s="23"/>
      <c r="AS1042" s="23">
        <v>51</v>
      </c>
      <c r="AT1042" s="23"/>
      <c r="AU1042" s="14" t="str">
        <f>HYPERLINK("http://www.openstreetmap.org/?mlat=33.2872&amp;mlon=44.3544&amp;zoom=12#map=12/33.2872/44.3544","Maplink1")</f>
        <v>Maplink1</v>
      </c>
      <c r="AV1042" s="14" t="str">
        <f>HYPERLINK("https://www.google.iq/maps/search/+33.2872,44.3544/@33.2872,44.3544,14z?hl=en","Maplink2")</f>
        <v>Maplink2</v>
      </c>
      <c r="AW1042" s="14" t="str">
        <f>HYPERLINK("http://www.bing.com/maps/?lvl=14&amp;sty=h&amp;cp=33.2872~44.3544&amp;sp=point.33.2872_44.3544_Al Qadissiya-604","Maplink3")</f>
        <v>Maplink3</v>
      </c>
    </row>
    <row r="1043" spans="1:49" ht="15" customHeight="1" x14ac:dyDescent="0.25">
      <c r="A1043" s="21">
        <v>25952</v>
      </c>
      <c r="B1043" s="22" t="s">
        <v>11</v>
      </c>
      <c r="C1043" s="22" t="s">
        <v>1979</v>
      </c>
      <c r="D1043" s="22" t="s">
        <v>2053</v>
      </c>
      <c r="E1043" s="22" t="s">
        <v>7817</v>
      </c>
      <c r="F1043" s="22">
        <v>33.290050397599998</v>
      </c>
      <c r="G1043" s="22">
        <v>44.341881629100001</v>
      </c>
      <c r="H1043" s="21" t="s">
        <v>1449</v>
      </c>
      <c r="I1043" s="21" t="s">
        <v>1982</v>
      </c>
      <c r="J1043" s="21"/>
      <c r="K1043" s="24">
        <v>80</v>
      </c>
      <c r="L1043" s="24">
        <v>480</v>
      </c>
      <c r="M1043" s="23">
        <v>45</v>
      </c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>
        <v>17</v>
      </c>
      <c r="Z1043" s="23"/>
      <c r="AA1043" s="23">
        <v>18</v>
      </c>
      <c r="AB1043" s="23"/>
      <c r="AC1043" s="23"/>
      <c r="AD1043" s="23"/>
      <c r="AE1043" s="23"/>
      <c r="AF1043" s="23">
        <v>23</v>
      </c>
      <c r="AG1043" s="23"/>
      <c r="AH1043" s="23"/>
      <c r="AI1043" s="23"/>
      <c r="AJ1043" s="23"/>
      <c r="AK1043" s="23">
        <v>57</v>
      </c>
      <c r="AL1043" s="23"/>
      <c r="AM1043" s="23"/>
      <c r="AN1043" s="23"/>
      <c r="AO1043" s="23"/>
      <c r="AP1043" s="23">
        <v>17</v>
      </c>
      <c r="AQ1043" s="23"/>
      <c r="AR1043" s="23">
        <v>8</v>
      </c>
      <c r="AS1043" s="23">
        <v>55</v>
      </c>
      <c r="AT1043" s="23"/>
      <c r="AU1043" s="14" t="str">
        <f>HYPERLINK("http://www.openstreetmap.org/?mlat=33.2894&amp;mlon=44.3509&amp;zoom=12#map=12/33.2894/44.3509","Maplink1")</f>
        <v>Maplink1</v>
      </c>
      <c r="AV1043" s="14" t="str">
        <f>HYPERLINK("https://www.google.iq/maps/search/+33.2894,44.3509/@33.2894,44.3509,14z?hl=en","Maplink2")</f>
        <v>Maplink2</v>
      </c>
      <c r="AW1043" s="14" t="str">
        <f>HYPERLINK("http://www.bing.com/maps/?lvl=14&amp;sty=h&amp;cp=33.2894~44.3509&amp;sp=point.33.2894_44.3509_Al Qadissiya-606","Maplink3")</f>
        <v>Maplink3</v>
      </c>
    </row>
    <row r="1044" spans="1:49" ht="15" customHeight="1" x14ac:dyDescent="0.25">
      <c r="A1044" s="21">
        <v>7587</v>
      </c>
      <c r="B1044" s="22" t="s">
        <v>11</v>
      </c>
      <c r="C1044" s="22" t="s">
        <v>1979</v>
      </c>
      <c r="D1044" s="22" t="s">
        <v>8531</v>
      </c>
      <c r="E1044" s="22" t="s">
        <v>2094</v>
      </c>
      <c r="F1044" s="22">
        <v>33.142770817399999</v>
      </c>
      <c r="G1044" s="22">
        <v>44.306226911800003</v>
      </c>
      <c r="H1044" s="21" t="s">
        <v>1449</v>
      </c>
      <c r="I1044" s="21" t="s">
        <v>1982</v>
      </c>
      <c r="J1044" s="21" t="s">
        <v>2095</v>
      </c>
      <c r="K1044" s="24">
        <v>848</v>
      </c>
      <c r="L1044" s="24">
        <v>5088</v>
      </c>
      <c r="M1044" s="23">
        <v>804</v>
      </c>
      <c r="N1044" s="23"/>
      <c r="O1044" s="23">
        <v>44</v>
      </c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>
        <v>271</v>
      </c>
      <c r="AG1044" s="23"/>
      <c r="AH1044" s="23"/>
      <c r="AI1044" s="23"/>
      <c r="AJ1044" s="23"/>
      <c r="AK1044" s="23">
        <v>577</v>
      </c>
      <c r="AL1044" s="23"/>
      <c r="AM1044" s="23"/>
      <c r="AN1044" s="23"/>
      <c r="AO1044" s="23"/>
      <c r="AP1044" s="23">
        <v>297</v>
      </c>
      <c r="AQ1044" s="23"/>
      <c r="AR1044" s="23"/>
      <c r="AS1044" s="23">
        <v>551</v>
      </c>
      <c r="AT1044" s="23"/>
      <c r="AU1044" s="14" t="str">
        <f>HYPERLINK("http://www.openstreetmap.org/?mlat=33.2251&amp;mlon=44.2251&amp;zoom=12#map=12/33.2251/44.2251","Maplink1")</f>
        <v>Maplink1</v>
      </c>
      <c r="AV1044" s="14" t="str">
        <f>HYPERLINK("https://www.google.iq/maps/search/+33.2251,44.2251/@33.2251,44.2251,14z?hl=en","Maplink2")</f>
        <v>Maplink2</v>
      </c>
      <c r="AW1044" s="14" t="str">
        <f>HYPERLINK("http://www.bing.com/maps/?lvl=14&amp;sty=h&amp;cp=33.2251~44.2251&amp;sp=point.33.2251_44.2251_Al-Rasheed-Al Radwania","Maplink3")</f>
        <v>Maplink3</v>
      </c>
    </row>
    <row r="1045" spans="1:49" ht="15" customHeight="1" x14ac:dyDescent="0.25">
      <c r="A1045" s="21">
        <v>25951</v>
      </c>
      <c r="B1045" s="22" t="s">
        <v>11</v>
      </c>
      <c r="C1045" s="22" t="s">
        <v>1979</v>
      </c>
      <c r="D1045" s="22" t="s">
        <v>2054</v>
      </c>
      <c r="E1045" s="22" t="s">
        <v>2055</v>
      </c>
      <c r="F1045" s="22">
        <v>33.229100342999999</v>
      </c>
      <c r="G1045" s="22">
        <v>44.324886705799997</v>
      </c>
      <c r="H1045" s="21" t="s">
        <v>1449</v>
      </c>
      <c r="I1045" s="21" t="s">
        <v>1982</v>
      </c>
      <c r="J1045" s="21"/>
      <c r="K1045" s="24">
        <v>297</v>
      </c>
      <c r="L1045" s="24">
        <v>1782</v>
      </c>
      <c r="M1045" s="23">
        <v>110</v>
      </c>
      <c r="N1045" s="23">
        <v>2</v>
      </c>
      <c r="O1045" s="23"/>
      <c r="P1045" s="23"/>
      <c r="Q1045" s="23"/>
      <c r="R1045" s="23">
        <v>3</v>
      </c>
      <c r="S1045" s="23"/>
      <c r="T1045" s="23"/>
      <c r="U1045" s="23">
        <v>1</v>
      </c>
      <c r="V1045" s="23"/>
      <c r="W1045" s="23"/>
      <c r="X1045" s="23"/>
      <c r="Y1045" s="23">
        <v>90</v>
      </c>
      <c r="Z1045" s="23"/>
      <c r="AA1045" s="23">
        <v>91</v>
      </c>
      <c r="AB1045" s="23"/>
      <c r="AC1045" s="23"/>
      <c r="AD1045" s="23"/>
      <c r="AE1045" s="23"/>
      <c r="AF1045" s="23">
        <v>89</v>
      </c>
      <c r="AG1045" s="23"/>
      <c r="AH1045" s="23"/>
      <c r="AI1045" s="23"/>
      <c r="AJ1045" s="23"/>
      <c r="AK1045" s="23">
        <v>208</v>
      </c>
      <c r="AL1045" s="23"/>
      <c r="AM1045" s="23"/>
      <c r="AN1045" s="23"/>
      <c r="AO1045" s="23"/>
      <c r="AP1045" s="23">
        <v>115</v>
      </c>
      <c r="AQ1045" s="23"/>
      <c r="AR1045" s="23">
        <v>72</v>
      </c>
      <c r="AS1045" s="23">
        <v>110</v>
      </c>
      <c r="AT1045" s="23"/>
      <c r="AU1045" s="14" t="str">
        <f>HYPERLINK("http://www.openstreetmap.org/?mlat=33.2172&amp;mlon=44.3425&amp;zoom=12#map=12/33.2172/44.3425","Maplink1")</f>
        <v>Maplink1</v>
      </c>
      <c r="AV1045" s="14" t="str">
        <f>HYPERLINK("https://www.google.iq/maps/search/+33.2172,44.3425/@33.2172,44.3425,14z?hl=en","Maplink2")</f>
        <v>Maplink2</v>
      </c>
      <c r="AW1045" s="14" t="str">
        <f>HYPERLINK("http://www.bing.com/maps/?lvl=14&amp;sty=h&amp;cp=33.2172~44.3425&amp;sp=point.33.2172_44.3425_Al Raie 861","Maplink3")</f>
        <v>Maplink3</v>
      </c>
    </row>
    <row r="1046" spans="1:49" ht="15" customHeight="1" x14ac:dyDescent="0.25">
      <c r="A1046" s="21">
        <v>27189</v>
      </c>
      <c r="B1046" s="22" t="s">
        <v>11</v>
      </c>
      <c r="C1046" s="22" t="s">
        <v>1979</v>
      </c>
      <c r="D1046" s="22" t="s">
        <v>7431</v>
      </c>
      <c r="E1046" s="22" t="s">
        <v>2056</v>
      </c>
      <c r="F1046" s="22">
        <v>33.256068066700003</v>
      </c>
      <c r="G1046" s="22">
        <v>44.336859025099997</v>
      </c>
      <c r="H1046" s="21"/>
      <c r="I1046" s="21"/>
      <c r="J1046" s="21"/>
      <c r="K1046" s="24">
        <v>22</v>
      </c>
      <c r="L1046" s="24">
        <v>132</v>
      </c>
      <c r="M1046" s="23">
        <v>8</v>
      </c>
      <c r="N1046" s="23"/>
      <c r="O1046" s="23"/>
      <c r="P1046" s="23"/>
      <c r="Q1046" s="23"/>
      <c r="R1046" s="23"/>
      <c r="S1046" s="23"/>
      <c r="T1046" s="23"/>
      <c r="U1046" s="23">
        <v>2</v>
      </c>
      <c r="V1046" s="23"/>
      <c r="W1046" s="23"/>
      <c r="X1046" s="23"/>
      <c r="Y1046" s="23">
        <v>12</v>
      </c>
      <c r="Z1046" s="23"/>
      <c r="AA1046" s="23"/>
      <c r="AB1046" s="23"/>
      <c r="AC1046" s="23"/>
      <c r="AD1046" s="23"/>
      <c r="AE1046" s="23"/>
      <c r="AF1046" s="23">
        <v>8</v>
      </c>
      <c r="AG1046" s="23"/>
      <c r="AH1046" s="23"/>
      <c r="AI1046" s="23"/>
      <c r="AJ1046" s="23"/>
      <c r="AK1046" s="23">
        <v>14</v>
      </c>
      <c r="AL1046" s="23"/>
      <c r="AM1046" s="23"/>
      <c r="AN1046" s="23"/>
      <c r="AO1046" s="23"/>
      <c r="AP1046" s="23">
        <v>12</v>
      </c>
      <c r="AQ1046" s="23"/>
      <c r="AR1046" s="23"/>
      <c r="AS1046" s="23">
        <v>10</v>
      </c>
      <c r="AT1046" s="23"/>
      <c r="AU1046" s="14" t="str">
        <f>HYPERLINK("http://www.openstreetmap.org/?mlat=33.2466&amp;mlon=44.3253&amp;zoom=12#map=12/33.2466/44.3253","Maplink1")</f>
        <v>Maplink1</v>
      </c>
      <c r="AV1046" s="14" t="str">
        <f>HYPERLINK("https://www.google.iq/maps/search/+33.2466,44.3253/@33.2466,44.3253,14z?hl=en","Maplink2")</f>
        <v>Maplink2</v>
      </c>
      <c r="AW1046" s="14" t="str">
        <f>HYPERLINK("http://www.bing.com/maps/?lvl=14&amp;sty=h&amp;cp=33.2466~44.3253&amp;sp=point.33.2466_44.3253_Al Resala - 849","Maplink3")</f>
        <v>Maplink3</v>
      </c>
    </row>
    <row r="1047" spans="1:49" ht="15" customHeight="1" x14ac:dyDescent="0.25">
      <c r="A1047" s="21">
        <v>24447</v>
      </c>
      <c r="B1047" s="22" t="s">
        <v>11</v>
      </c>
      <c r="C1047" s="22" t="s">
        <v>1979</v>
      </c>
      <c r="D1047" s="22" t="s">
        <v>2059</v>
      </c>
      <c r="E1047" s="22" t="s">
        <v>2060</v>
      </c>
      <c r="F1047" s="22">
        <v>33.247090843300001</v>
      </c>
      <c r="G1047" s="22">
        <v>44.328495844599999</v>
      </c>
      <c r="H1047" s="21" t="s">
        <v>1449</v>
      </c>
      <c r="I1047" s="21" t="s">
        <v>1982</v>
      </c>
      <c r="J1047" s="21"/>
      <c r="K1047" s="24">
        <v>110</v>
      </c>
      <c r="L1047" s="24">
        <v>660</v>
      </c>
      <c r="M1047" s="23">
        <v>53</v>
      </c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>
        <v>34</v>
      </c>
      <c r="Z1047" s="23"/>
      <c r="AA1047" s="23">
        <v>23</v>
      </c>
      <c r="AB1047" s="23"/>
      <c r="AC1047" s="23"/>
      <c r="AD1047" s="23"/>
      <c r="AE1047" s="23"/>
      <c r="AF1047" s="23">
        <v>30</v>
      </c>
      <c r="AG1047" s="23"/>
      <c r="AH1047" s="23"/>
      <c r="AI1047" s="23"/>
      <c r="AJ1047" s="23"/>
      <c r="AK1047" s="23">
        <v>80</v>
      </c>
      <c r="AL1047" s="23"/>
      <c r="AM1047" s="23"/>
      <c r="AN1047" s="23"/>
      <c r="AO1047" s="23"/>
      <c r="AP1047" s="23">
        <v>29</v>
      </c>
      <c r="AQ1047" s="23"/>
      <c r="AR1047" s="23">
        <v>4</v>
      </c>
      <c r="AS1047" s="23">
        <v>77</v>
      </c>
      <c r="AT1047" s="23"/>
      <c r="AU1047" s="14" t="str">
        <f>HYPERLINK("http://www.openstreetmap.org/?mlat=33.2466&amp;mlon=44.3253&amp;zoom=12#map=12/33.2466/44.3253","Maplink1")</f>
        <v>Maplink1</v>
      </c>
      <c r="AV1047" s="14" t="str">
        <f>HYPERLINK("https://www.google.iq/maps/search/+33.2466,44.3253/@33.2466,44.3253,14z?hl=en","Maplink2")</f>
        <v>Maplink2</v>
      </c>
      <c r="AW1047" s="14" t="str">
        <f>HYPERLINK("http://www.bing.com/maps/?lvl=14&amp;sty=h&amp;cp=33.2466~44.3253&amp;sp=point.33.2466_44.3253_Al Resala-851","Maplink3")</f>
        <v>Maplink3</v>
      </c>
    </row>
    <row r="1048" spans="1:49" ht="15" customHeight="1" x14ac:dyDescent="0.25">
      <c r="A1048" s="21">
        <v>27190</v>
      </c>
      <c r="B1048" s="22" t="s">
        <v>11</v>
      </c>
      <c r="C1048" s="22" t="s">
        <v>1979</v>
      </c>
      <c r="D1048" s="22" t="s">
        <v>7432</v>
      </c>
      <c r="E1048" s="22" t="s">
        <v>2057</v>
      </c>
      <c r="F1048" s="22">
        <v>33.241515248299997</v>
      </c>
      <c r="G1048" s="22">
        <v>44.324469756399999</v>
      </c>
      <c r="H1048" s="21"/>
      <c r="I1048" s="21"/>
      <c r="J1048" s="21"/>
      <c r="K1048" s="24">
        <v>43</v>
      </c>
      <c r="L1048" s="24">
        <v>258</v>
      </c>
      <c r="M1048" s="23">
        <v>14</v>
      </c>
      <c r="N1048" s="23"/>
      <c r="O1048" s="23">
        <v>2</v>
      </c>
      <c r="P1048" s="23"/>
      <c r="Q1048" s="23"/>
      <c r="R1048" s="23">
        <v>5</v>
      </c>
      <c r="S1048" s="23"/>
      <c r="T1048" s="23"/>
      <c r="U1048" s="23"/>
      <c r="V1048" s="23"/>
      <c r="W1048" s="23"/>
      <c r="X1048" s="23"/>
      <c r="Y1048" s="23">
        <v>10</v>
      </c>
      <c r="Z1048" s="23"/>
      <c r="AA1048" s="23">
        <v>12</v>
      </c>
      <c r="AB1048" s="23"/>
      <c r="AC1048" s="23"/>
      <c r="AD1048" s="23"/>
      <c r="AE1048" s="23"/>
      <c r="AF1048" s="23">
        <v>13</v>
      </c>
      <c r="AG1048" s="23"/>
      <c r="AH1048" s="23"/>
      <c r="AI1048" s="23"/>
      <c r="AJ1048" s="23"/>
      <c r="AK1048" s="23">
        <v>30</v>
      </c>
      <c r="AL1048" s="23"/>
      <c r="AM1048" s="23"/>
      <c r="AN1048" s="23"/>
      <c r="AO1048" s="23"/>
      <c r="AP1048" s="23">
        <v>18</v>
      </c>
      <c r="AQ1048" s="23"/>
      <c r="AR1048" s="23"/>
      <c r="AS1048" s="23">
        <v>25</v>
      </c>
      <c r="AT1048" s="23"/>
      <c r="AU1048" s="14" t="str">
        <f>HYPERLINK("http://www.openstreetmap.org/?mlat=33.246&amp;mlon=44.3258&amp;zoom=12#map=12/33.246/44.3258","Maplink1")</f>
        <v>Maplink1</v>
      </c>
      <c r="AV1048" s="14" t="str">
        <f>HYPERLINK("https://www.google.iq/maps/search/+33.246,44.3258/@33.246,44.3258,14z?hl=en","Maplink2")</f>
        <v>Maplink2</v>
      </c>
      <c r="AW1048" s="14" t="str">
        <f>HYPERLINK("http://www.bing.com/maps/?lvl=14&amp;sty=h&amp;cp=33.246~44.3258&amp;sp=point.33.246_44.3258_Al Resala - 853","Maplink3")</f>
        <v>Maplink3</v>
      </c>
    </row>
    <row r="1049" spans="1:49" ht="15" customHeight="1" x14ac:dyDescent="0.25">
      <c r="A1049" s="21">
        <v>27191</v>
      </c>
      <c r="B1049" s="22" t="s">
        <v>11</v>
      </c>
      <c r="C1049" s="22" t="s">
        <v>1979</v>
      </c>
      <c r="D1049" s="22" t="s">
        <v>7433</v>
      </c>
      <c r="E1049" s="22" t="s">
        <v>2058</v>
      </c>
      <c r="F1049" s="22">
        <v>33.246104794499999</v>
      </c>
      <c r="G1049" s="22">
        <v>44.325400571800003</v>
      </c>
      <c r="H1049" s="21"/>
      <c r="I1049" s="21"/>
      <c r="J1049" s="21"/>
      <c r="K1049" s="24">
        <v>77</v>
      </c>
      <c r="L1049" s="24">
        <v>462</v>
      </c>
      <c r="M1049" s="23">
        <v>32</v>
      </c>
      <c r="N1049" s="23"/>
      <c r="O1049" s="23"/>
      <c r="P1049" s="23"/>
      <c r="Q1049" s="23"/>
      <c r="R1049" s="23">
        <v>8</v>
      </c>
      <c r="S1049" s="23"/>
      <c r="T1049" s="23"/>
      <c r="U1049" s="23"/>
      <c r="V1049" s="23"/>
      <c r="W1049" s="23"/>
      <c r="X1049" s="23"/>
      <c r="Y1049" s="23">
        <v>10</v>
      </c>
      <c r="Z1049" s="23"/>
      <c r="AA1049" s="23">
        <v>27</v>
      </c>
      <c r="AB1049" s="23"/>
      <c r="AC1049" s="23"/>
      <c r="AD1049" s="23"/>
      <c r="AE1049" s="23"/>
      <c r="AF1049" s="23">
        <v>27</v>
      </c>
      <c r="AG1049" s="23"/>
      <c r="AH1049" s="23"/>
      <c r="AI1049" s="23"/>
      <c r="AJ1049" s="23"/>
      <c r="AK1049" s="23">
        <v>50</v>
      </c>
      <c r="AL1049" s="23"/>
      <c r="AM1049" s="23"/>
      <c r="AN1049" s="23"/>
      <c r="AO1049" s="23"/>
      <c r="AP1049" s="23">
        <v>49</v>
      </c>
      <c r="AQ1049" s="23"/>
      <c r="AR1049" s="23"/>
      <c r="AS1049" s="23">
        <v>28</v>
      </c>
      <c r="AT1049" s="23"/>
      <c r="AU1049" s="14" t="str">
        <f>HYPERLINK("http://www.openstreetmap.org/?mlat=33.2477&amp;mlon=44.3271&amp;zoom=12#map=12/33.2477/44.3271","Maplink1")</f>
        <v>Maplink1</v>
      </c>
      <c r="AV1049" s="14" t="str">
        <f>HYPERLINK("https://www.google.iq/maps/search/+33.2477,44.3271/@33.2477,44.3271,14z?hl=en","Maplink2")</f>
        <v>Maplink2</v>
      </c>
      <c r="AW1049" s="14" t="str">
        <f>HYPERLINK("http://www.bing.com/maps/?lvl=14&amp;sty=h&amp;cp=33.2477~44.3271&amp;sp=point.33.2477_44.3271_Al Resala - 855","Maplink3")</f>
        <v>Maplink3</v>
      </c>
    </row>
    <row r="1050" spans="1:49" ht="15" customHeight="1" x14ac:dyDescent="0.25">
      <c r="A1050" s="21">
        <v>27289</v>
      </c>
      <c r="B1050" s="22" t="s">
        <v>11</v>
      </c>
      <c r="C1050" s="22" t="s">
        <v>1979</v>
      </c>
      <c r="D1050" s="22" t="s">
        <v>7434</v>
      </c>
      <c r="E1050" s="22" t="s">
        <v>7818</v>
      </c>
      <c r="F1050" s="22">
        <v>33.323968642799997</v>
      </c>
      <c r="G1050" s="22">
        <v>44.393573762700001</v>
      </c>
      <c r="H1050" s="21"/>
      <c r="I1050" s="21"/>
      <c r="J1050" s="21"/>
      <c r="K1050" s="24">
        <v>230</v>
      </c>
      <c r="L1050" s="24">
        <v>1380</v>
      </c>
      <c r="M1050" s="23">
        <v>118</v>
      </c>
      <c r="N1050" s="23"/>
      <c r="O1050" s="23">
        <v>2</v>
      </c>
      <c r="P1050" s="23"/>
      <c r="Q1050" s="23"/>
      <c r="R1050" s="23">
        <v>2</v>
      </c>
      <c r="S1050" s="23"/>
      <c r="T1050" s="23"/>
      <c r="U1050" s="23">
        <v>1</v>
      </c>
      <c r="V1050" s="23"/>
      <c r="W1050" s="23"/>
      <c r="X1050" s="23"/>
      <c r="Y1050" s="23">
        <v>64</v>
      </c>
      <c r="Z1050" s="23"/>
      <c r="AA1050" s="23">
        <v>43</v>
      </c>
      <c r="AB1050" s="23"/>
      <c r="AC1050" s="23"/>
      <c r="AD1050" s="23"/>
      <c r="AE1050" s="23"/>
      <c r="AF1050" s="23">
        <v>50</v>
      </c>
      <c r="AG1050" s="23"/>
      <c r="AH1050" s="23"/>
      <c r="AI1050" s="23"/>
      <c r="AJ1050" s="23"/>
      <c r="AK1050" s="23">
        <v>180</v>
      </c>
      <c r="AL1050" s="23"/>
      <c r="AM1050" s="23"/>
      <c r="AN1050" s="23"/>
      <c r="AO1050" s="23"/>
      <c r="AP1050" s="23">
        <v>49</v>
      </c>
      <c r="AQ1050" s="23">
        <v>5</v>
      </c>
      <c r="AR1050" s="23">
        <v>115</v>
      </c>
      <c r="AS1050" s="23">
        <v>52</v>
      </c>
      <c r="AT1050" s="23">
        <v>9</v>
      </c>
      <c r="AU1050" s="14" t="str">
        <f>HYPERLINK("http://www.openstreetmap.org/?mlat=33.3341&amp;mlon=44.3743&amp;zoom=12#map=12/33.3341/44.3743","Maplink1")</f>
        <v>Maplink1</v>
      </c>
      <c r="AV1050" s="14" t="str">
        <f>HYPERLINK("https://www.google.iq/maps/search/+33.3341,44.3743/@33.3341,44.3743,14z?hl=en","Maplink2")</f>
        <v>Maplink2</v>
      </c>
      <c r="AW1050" s="14" t="str">
        <f>HYPERLINK("http://www.bing.com/maps/?lvl=14&amp;sty=h&amp;cp=33.3341~44.3743&amp;sp=point.33.3341_44.3743_Al Salahiya - 222","Maplink3")</f>
        <v>Maplink3</v>
      </c>
    </row>
    <row r="1051" spans="1:49" ht="15" customHeight="1" x14ac:dyDescent="0.25">
      <c r="A1051" s="21">
        <v>7496</v>
      </c>
      <c r="B1051" s="22" t="s">
        <v>11</v>
      </c>
      <c r="C1051" s="22" t="s">
        <v>1979</v>
      </c>
      <c r="D1051" s="22" t="s">
        <v>7819</v>
      </c>
      <c r="E1051" s="22" t="s">
        <v>7820</v>
      </c>
      <c r="F1051" s="22">
        <v>33.225457695000003</v>
      </c>
      <c r="G1051" s="22">
        <v>44.368807256399997</v>
      </c>
      <c r="H1051" s="21" t="s">
        <v>1449</v>
      </c>
      <c r="I1051" s="21" t="s">
        <v>1982</v>
      </c>
      <c r="J1051" s="21" t="s">
        <v>2061</v>
      </c>
      <c r="K1051" s="24">
        <v>525</v>
      </c>
      <c r="L1051" s="24">
        <v>3150</v>
      </c>
      <c r="M1051" s="23">
        <v>125</v>
      </c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>
        <v>400</v>
      </c>
      <c r="AB1051" s="23"/>
      <c r="AC1051" s="23"/>
      <c r="AD1051" s="23"/>
      <c r="AE1051" s="23"/>
      <c r="AF1051" s="23"/>
      <c r="AG1051" s="23"/>
      <c r="AH1051" s="23">
        <v>525</v>
      </c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>
        <v>400</v>
      </c>
      <c r="AS1051" s="23">
        <v>125</v>
      </c>
      <c r="AT1051" s="23"/>
      <c r="AU1051" s="14" t="str">
        <f>HYPERLINK("http://www.openstreetmap.org/?mlat=33.24&amp;mlon=44.35&amp;zoom=12#map=12/33.24/44.35","Maplink1")</f>
        <v>Maplink1</v>
      </c>
      <c r="AV1051" s="14" t="str">
        <f>HYPERLINK("https://www.google.iq/maps/search/+33.24,44.35/@33.24,44.35,14z?hl=en","Maplink2")</f>
        <v>Maplink2</v>
      </c>
      <c r="AW1051" s="14" t="str">
        <f>HYPERLINK("http://www.bing.com/maps/?lvl=14&amp;sty=h&amp;cp=33.24~44.35&amp;sp=point.33.24_44.35_Al Saydeya-Al Kazkazaniyah Complex","Maplink3")</f>
        <v>Maplink3</v>
      </c>
    </row>
    <row r="1052" spans="1:49" ht="15" customHeight="1" x14ac:dyDescent="0.25">
      <c r="A1052" s="21">
        <v>23575</v>
      </c>
      <c r="B1052" s="22" t="s">
        <v>11</v>
      </c>
      <c r="C1052" s="22" t="s">
        <v>1979</v>
      </c>
      <c r="D1052" s="22" t="s">
        <v>2062</v>
      </c>
      <c r="E1052" s="22" t="s">
        <v>2063</v>
      </c>
      <c r="F1052" s="22">
        <v>33.243788369000001</v>
      </c>
      <c r="G1052" s="22">
        <v>44.3631230481</v>
      </c>
      <c r="H1052" s="21" t="s">
        <v>1449</v>
      </c>
      <c r="I1052" s="21" t="s">
        <v>1982</v>
      </c>
      <c r="J1052" s="21" t="s">
        <v>2064</v>
      </c>
      <c r="K1052" s="24">
        <v>200</v>
      </c>
      <c r="L1052" s="24">
        <v>1200</v>
      </c>
      <c r="M1052" s="23">
        <v>200</v>
      </c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>
        <v>31</v>
      </c>
      <c r="AG1052" s="23"/>
      <c r="AH1052" s="23"/>
      <c r="AI1052" s="23"/>
      <c r="AJ1052" s="23">
        <v>30</v>
      </c>
      <c r="AK1052" s="23">
        <v>119</v>
      </c>
      <c r="AL1052" s="23"/>
      <c r="AM1052" s="23">
        <v>20</v>
      </c>
      <c r="AN1052" s="23"/>
      <c r="AO1052" s="23">
        <v>22</v>
      </c>
      <c r="AP1052" s="23"/>
      <c r="AQ1052" s="23"/>
      <c r="AR1052" s="23"/>
      <c r="AS1052" s="23">
        <v>178</v>
      </c>
      <c r="AT1052" s="23"/>
      <c r="AU1052" s="14" t="str">
        <f>HYPERLINK("http://www.openstreetmap.org/?mlat=33.2657&amp;mlon=44.2525&amp;zoom=12#map=12/33.2657/44.2525","Maplink1")</f>
        <v>Maplink1</v>
      </c>
      <c r="AV1052" s="14" t="str">
        <f>HYPERLINK("https://www.google.iq/maps/search/+33.2657,44.2525/@33.2657,44.2525,14z?hl=en","Maplink2")</f>
        <v>Maplink2</v>
      </c>
      <c r="AW1052" s="14" t="str">
        <f>HYPERLINK("http://www.bing.com/maps/?lvl=14&amp;sty=h&amp;cp=33.2657~44.2525&amp;sp=point.33.2657_44.2525_Al Saydiya-823","Maplink3")</f>
        <v>Maplink3</v>
      </c>
    </row>
    <row r="1053" spans="1:49" ht="15" customHeight="1" x14ac:dyDescent="0.25">
      <c r="A1053" s="21">
        <v>25458</v>
      </c>
      <c r="B1053" s="22" t="s">
        <v>11</v>
      </c>
      <c r="C1053" s="22" t="s">
        <v>1979</v>
      </c>
      <c r="D1053" s="22" t="s">
        <v>2065</v>
      </c>
      <c r="E1053" s="22" t="s">
        <v>7821</v>
      </c>
      <c r="F1053" s="22">
        <v>33.253689475400002</v>
      </c>
      <c r="G1053" s="22">
        <v>44.357479364</v>
      </c>
      <c r="H1053" s="21" t="s">
        <v>1449</v>
      </c>
      <c r="I1053" s="21" t="s">
        <v>1982</v>
      </c>
      <c r="J1053" s="21"/>
      <c r="K1053" s="24">
        <v>424</v>
      </c>
      <c r="L1053" s="24">
        <v>2544</v>
      </c>
      <c r="M1053" s="23">
        <v>322</v>
      </c>
      <c r="N1053" s="23">
        <v>8</v>
      </c>
      <c r="O1053" s="23">
        <v>13</v>
      </c>
      <c r="P1053" s="23"/>
      <c r="Q1053" s="23"/>
      <c r="R1053" s="23"/>
      <c r="S1053" s="23"/>
      <c r="T1053" s="23"/>
      <c r="U1053" s="23"/>
      <c r="V1053" s="23"/>
      <c r="W1053" s="23"/>
      <c r="X1053" s="23"/>
      <c r="Y1053" s="23">
        <v>50</v>
      </c>
      <c r="Z1053" s="23"/>
      <c r="AA1053" s="23">
        <v>31</v>
      </c>
      <c r="AB1053" s="23"/>
      <c r="AC1053" s="23"/>
      <c r="AD1053" s="23"/>
      <c r="AE1053" s="23"/>
      <c r="AF1053" s="23">
        <v>150</v>
      </c>
      <c r="AG1053" s="23"/>
      <c r="AH1053" s="23"/>
      <c r="AI1053" s="23"/>
      <c r="AJ1053" s="23">
        <v>16</v>
      </c>
      <c r="AK1053" s="23">
        <v>215</v>
      </c>
      <c r="AL1053" s="23">
        <v>43</v>
      </c>
      <c r="AM1053" s="23"/>
      <c r="AN1053" s="23"/>
      <c r="AO1053" s="23">
        <v>16</v>
      </c>
      <c r="AP1053" s="23">
        <v>58</v>
      </c>
      <c r="AQ1053" s="23">
        <v>5</v>
      </c>
      <c r="AR1053" s="23">
        <v>96</v>
      </c>
      <c r="AS1053" s="23">
        <v>249</v>
      </c>
      <c r="AT1053" s="23"/>
      <c r="AU1053" s="14" t="str">
        <f>HYPERLINK("http://www.openstreetmap.org/?mlat=33.2657&amp;mlon=44.2525&amp;zoom=12#map=12/33.2657/44.2525","Maplink1")</f>
        <v>Maplink1</v>
      </c>
      <c r="AV1053" s="14" t="str">
        <f>HYPERLINK("https://www.google.iq/maps/search/+33.2657,44.2525/@33.2657,44.2525,14z?hl=en","Maplink2")</f>
        <v>Maplink2</v>
      </c>
      <c r="AW1053" s="14" t="str">
        <f>HYPERLINK("http://www.bing.com/maps/?lvl=14&amp;sty=h&amp;cp=33.2657~44.2525&amp;sp=point.33.2657_44.2525_Al Sedea-821","Maplink3")</f>
        <v>Maplink3</v>
      </c>
    </row>
    <row r="1054" spans="1:49" ht="15" customHeight="1" x14ac:dyDescent="0.25">
      <c r="A1054" s="21">
        <v>24081</v>
      </c>
      <c r="B1054" s="22" t="s">
        <v>11</v>
      </c>
      <c r="C1054" s="22" t="s">
        <v>1979</v>
      </c>
      <c r="D1054" s="22" t="s">
        <v>2066</v>
      </c>
      <c r="E1054" s="22" t="s">
        <v>7822</v>
      </c>
      <c r="F1054" s="22">
        <v>33.250926030999999</v>
      </c>
      <c r="G1054" s="22">
        <v>44.356397528599999</v>
      </c>
      <c r="H1054" s="21" t="s">
        <v>1449</v>
      </c>
      <c r="I1054" s="21" t="s">
        <v>1982</v>
      </c>
      <c r="J1054" s="21" t="s">
        <v>2067</v>
      </c>
      <c r="K1054" s="24">
        <v>263</v>
      </c>
      <c r="L1054" s="24">
        <v>1578</v>
      </c>
      <c r="M1054" s="23">
        <v>195</v>
      </c>
      <c r="N1054" s="23"/>
      <c r="O1054" s="23">
        <v>39</v>
      </c>
      <c r="P1054" s="23"/>
      <c r="Q1054" s="23"/>
      <c r="R1054" s="23"/>
      <c r="S1054" s="23"/>
      <c r="T1054" s="23"/>
      <c r="U1054" s="23"/>
      <c r="V1054" s="23"/>
      <c r="W1054" s="23"/>
      <c r="X1054" s="23"/>
      <c r="Y1054" s="23">
        <v>29</v>
      </c>
      <c r="Z1054" s="23"/>
      <c r="AA1054" s="23"/>
      <c r="AB1054" s="23"/>
      <c r="AC1054" s="23"/>
      <c r="AD1054" s="23"/>
      <c r="AE1054" s="23"/>
      <c r="AF1054" s="23">
        <v>14</v>
      </c>
      <c r="AG1054" s="23"/>
      <c r="AH1054" s="23"/>
      <c r="AI1054" s="23"/>
      <c r="AJ1054" s="23">
        <v>22</v>
      </c>
      <c r="AK1054" s="23">
        <v>227</v>
      </c>
      <c r="AL1054" s="23"/>
      <c r="AM1054" s="23"/>
      <c r="AN1054" s="23"/>
      <c r="AO1054" s="23">
        <v>20</v>
      </c>
      <c r="AP1054" s="23"/>
      <c r="AQ1054" s="23">
        <v>29</v>
      </c>
      <c r="AR1054" s="23">
        <v>39</v>
      </c>
      <c r="AS1054" s="23">
        <v>175</v>
      </c>
      <c r="AT1054" s="23"/>
      <c r="AU1054" s="14" t="str">
        <f>HYPERLINK("http://www.openstreetmap.org/?mlat=33.2455&amp;mlon=44.3628&amp;zoom=12#map=12/33.2455/44.3628","Maplink1")</f>
        <v>Maplink1</v>
      </c>
      <c r="AV1054" s="14" t="str">
        <f>HYPERLINK("https://www.google.iq/maps/search/+33.2455,44.3628/@33.2455,44.3628,14z?hl=en","Maplink2")</f>
        <v>Maplink2</v>
      </c>
      <c r="AW1054" s="14" t="str">
        <f>HYPERLINK("http://www.bing.com/maps/?lvl=14&amp;sty=h&amp;cp=33.2455~44.3628&amp;sp=point.33.2455_44.3628_Al Sedea-825","Maplink3")</f>
        <v>Maplink3</v>
      </c>
    </row>
    <row r="1055" spans="1:49" ht="15" customHeight="1" x14ac:dyDescent="0.25">
      <c r="A1055" s="21">
        <v>27409</v>
      </c>
      <c r="B1055" s="22" t="s">
        <v>11</v>
      </c>
      <c r="C1055" s="22" t="s">
        <v>1979</v>
      </c>
      <c r="D1055" s="22" t="s">
        <v>7435</v>
      </c>
      <c r="E1055" s="22" t="s">
        <v>7823</v>
      </c>
      <c r="F1055" s="22">
        <v>33.234942679100001</v>
      </c>
      <c r="G1055" s="22">
        <v>44.346529449000002</v>
      </c>
      <c r="H1055" s="21" t="s">
        <v>1449</v>
      </c>
      <c r="I1055" s="21" t="s">
        <v>1982</v>
      </c>
      <c r="J1055" s="21"/>
      <c r="K1055" s="24">
        <v>57</v>
      </c>
      <c r="L1055" s="24">
        <v>342</v>
      </c>
      <c r="M1055" s="23">
        <v>35</v>
      </c>
      <c r="N1055" s="23"/>
      <c r="O1055" s="23">
        <v>6</v>
      </c>
      <c r="P1055" s="23"/>
      <c r="Q1055" s="23"/>
      <c r="R1055" s="23"/>
      <c r="S1055" s="23"/>
      <c r="T1055" s="23"/>
      <c r="U1055" s="23"/>
      <c r="V1055" s="23"/>
      <c r="W1055" s="23"/>
      <c r="X1055" s="23"/>
      <c r="Y1055" s="23">
        <v>6</v>
      </c>
      <c r="Z1055" s="23"/>
      <c r="AA1055" s="23">
        <v>10</v>
      </c>
      <c r="AB1055" s="23"/>
      <c r="AC1055" s="23"/>
      <c r="AD1055" s="23"/>
      <c r="AE1055" s="23"/>
      <c r="AF1055" s="23">
        <v>7</v>
      </c>
      <c r="AG1055" s="23"/>
      <c r="AH1055" s="23"/>
      <c r="AI1055" s="23"/>
      <c r="AJ1055" s="23"/>
      <c r="AK1055" s="23">
        <v>50</v>
      </c>
      <c r="AL1055" s="23"/>
      <c r="AM1055" s="23"/>
      <c r="AN1055" s="23"/>
      <c r="AO1055" s="23"/>
      <c r="AP1055" s="23">
        <v>6</v>
      </c>
      <c r="AQ1055" s="23"/>
      <c r="AR1055" s="23">
        <v>37</v>
      </c>
      <c r="AS1055" s="23">
        <v>14</v>
      </c>
      <c r="AT1055" s="23"/>
      <c r="AU1055" s="14" t="str">
        <f>HYPERLINK("http://www.openstreetmap.org/?mlat=33.2334&amp;mlon=44.3517&amp;zoom=12#map=12/33.2334/44.3517","Maplink1")</f>
        <v>Maplink1</v>
      </c>
      <c r="AV1055" s="14" t="str">
        <f>HYPERLINK("https://www.google.iq/maps/search/+33.2334,44.3517/@33.2334,44.3517,14z?hl=en","Maplink2")</f>
        <v>Maplink2</v>
      </c>
      <c r="AW1055" s="14" t="str">
        <f>HYPERLINK("http://www.bing.com/maps/?lvl=14&amp;sty=h&amp;cp=33.2334~44.3517&amp;sp=point.33.2334_44.3517_Al Shabab - 835","Maplink3")</f>
        <v>Maplink3</v>
      </c>
    </row>
    <row r="1056" spans="1:49" ht="15" customHeight="1" x14ac:dyDescent="0.25">
      <c r="A1056" s="21">
        <v>24120</v>
      </c>
      <c r="B1056" s="22" t="s">
        <v>11</v>
      </c>
      <c r="C1056" s="22" t="s">
        <v>1979</v>
      </c>
      <c r="D1056" s="22" t="s">
        <v>2068</v>
      </c>
      <c r="E1056" s="22" t="s">
        <v>7824</v>
      </c>
      <c r="F1056" s="22">
        <v>33.233598237400003</v>
      </c>
      <c r="G1056" s="22">
        <v>44.329357692899997</v>
      </c>
      <c r="H1056" s="21" t="s">
        <v>1449</v>
      </c>
      <c r="I1056" s="21" t="s">
        <v>1982</v>
      </c>
      <c r="J1056" s="21" t="s">
        <v>2069</v>
      </c>
      <c r="K1056" s="24">
        <v>97</v>
      </c>
      <c r="L1056" s="24">
        <v>582</v>
      </c>
      <c r="M1056" s="23">
        <v>70</v>
      </c>
      <c r="N1056" s="23"/>
      <c r="O1056" s="23"/>
      <c r="P1056" s="23"/>
      <c r="Q1056" s="23"/>
      <c r="R1056" s="23">
        <v>6</v>
      </c>
      <c r="S1056" s="23"/>
      <c r="T1056" s="23"/>
      <c r="U1056" s="23">
        <v>2</v>
      </c>
      <c r="V1056" s="23"/>
      <c r="W1056" s="23"/>
      <c r="X1056" s="23"/>
      <c r="Y1056" s="23">
        <v>4</v>
      </c>
      <c r="Z1056" s="23"/>
      <c r="AA1056" s="23">
        <v>15</v>
      </c>
      <c r="AB1056" s="23"/>
      <c r="AC1056" s="23"/>
      <c r="AD1056" s="23"/>
      <c r="AE1056" s="23"/>
      <c r="AF1056" s="23">
        <v>10</v>
      </c>
      <c r="AG1056" s="23"/>
      <c r="AH1056" s="23"/>
      <c r="AI1056" s="23"/>
      <c r="AJ1056" s="23"/>
      <c r="AK1056" s="23">
        <v>87</v>
      </c>
      <c r="AL1056" s="23"/>
      <c r="AM1056" s="23"/>
      <c r="AN1056" s="23"/>
      <c r="AO1056" s="23">
        <v>19</v>
      </c>
      <c r="AP1056" s="23">
        <v>10</v>
      </c>
      <c r="AQ1056" s="23"/>
      <c r="AR1056" s="23"/>
      <c r="AS1056" s="23">
        <v>68</v>
      </c>
      <c r="AT1056" s="23"/>
      <c r="AU1056" s="14" t="str">
        <f>HYPERLINK("http://www.openstreetmap.org/?mlat=33.2334&amp;mlon=44.3517&amp;zoom=12#map=12/33.2334/44.3517","Maplink1")</f>
        <v>Maplink1</v>
      </c>
      <c r="AV1056" s="14" t="str">
        <f>HYPERLINK("https://www.google.iq/maps/search/+33.2334,44.3517/@33.2334,44.3517,14z?hl=en","Maplink2")</f>
        <v>Maplink2</v>
      </c>
      <c r="AW1056" s="14" t="str">
        <f>HYPERLINK("http://www.bing.com/maps/?lvl=14&amp;sty=h&amp;cp=33.2334~44.3517&amp;sp=point.33.2334_44.3517_Al Shabab-839","Maplink3")</f>
        <v>Maplink3</v>
      </c>
    </row>
    <row r="1057" spans="1:49" ht="15" customHeight="1" x14ac:dyDescent="0.25">
      <c r="A1057" s="21">
        <v>25830</v>
      </c>
      <c r="B1057" s="22" t="s">
        <v>11</v>
      </c>
      <c r="C1057" s="22" t="s">
        <v>1979</v>
      </c>
      <c r="D1057" s="22" t="s">
        <v>8532</v>
      </c>
      <c r="E1057" s="22" t="s">
        <v>7838</v>
      </c>
      <c r="F1057" s="22">
        <v>33.249140987700002</v>
      </c>
      <c r="G1057" s="22">
        <v>44.320265105200001</v>
      </c>
      <c r="H1057" s="21" t="s">
        <v>1449</v>
      </c>
      <c r="I1057" s="21" t="s">
        <v>1982</v>
      </c>
      <c r="J1057" s="21"/>
      <c r="K1057" s="24">
        <v>61</v>
      </c>
      <c r="L1057" s="24">
        <v>366</v>
      </c>
      <c r="M1057" s="23">
        <v>35</v>
      </c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>
        <v>16</v>
      </c>
      <c r="Z1057" s="23"/>
      <c r="AA1057" s="23">
        <v>10</v>
      </c>
      <c r="AB1057" s="23"/>
      <c r="AC1057" s="23"/>
      <c r="AD1057" s="23"/>
      <c r="AE1057" s="23"/>
      <c r="AF1057" s="23">
        <v>15</v>
      </c>
      <c r="AG1057" s="23"/>
      <c r="AH1057" s="23"/>
      <c r="AI1057" s="23"/>
      <c r="AJ1057" s="23"/>
      <c r="AK1057" s="23">
        <v>46</v>
      </c>
      <c r="AL1057" s="23"/>
      <c r="AM1057" s="23"/>
      <c r="AN1057" s="23"/>
      <c r="AO1057" s="23"/>
      <c r="AP1057" s="23">
        <v>25</v>
      </c>
      <c r="AQ1057" s="23">
        <v>8</v>
      </c>
      <c r="AR1057" s="23">
        <v>12</v>
      </c>
      <c r="AS1057" s="23">
        <v>16</v>
      </c>
      <c r="AT1057" s="23"/>
      <c r="AU1057" s="14" t="str">
        <f>HYPERLINK("http://www.openstreetmap.org/?mlat=33.2424&amp;mlon=44.3105&amp;zoom=12#map=12/33.2424/44.3105","Maplink1")</f>
        <v>Maplink1</v>
      </c>
      <c r="AV1057" s="14" t="str">
        <f>HYPERLINK("https://www.google.iq/maps/search/+33.2424,44.3105/@33.2424,44.3105,14z?hl=en","Maplink2")</f>
        <v>Maplink2</v>
      </c>
      <c r="AW1057" s="14" t="str">
        <f>HYPERLINK("http://www.bing.com/maps/?lvl=14&amp;sty=h&amp;cp=33.2424~44.3105&amp;sp=point.33.2424_44.3105_Al-Rasheed-Hay Al Shurta-857","Maplink3")</f>
        <v>Maplink3</v>
      </c>
    </row>
    <row r="1058" spans="1:49" ht="15" customHeight="1" x14ac:dyDescent="0.25">
      <c r="A1058" s="21">
        <v>23325</v>
      </c>
      <c r="B1058" s="22" t="s">
        <v>11</v>
      </c>
      <c r="C1058" s="22" t="s">
        <v>1979</v>
      </c>
      <c r="D1058" s="22" t="s">
        <v>8533</v>
      </c>
      <c r="E1058" s="22" t="s">
        <v>7856</v>
      </c>
      <c r="F1058" s="22">
        <v>33.246195102400002</v>
      </c>
      <c r="G1058" s="22">
        <v>44.307972347700002</v>
      </c>
      <c r="H1058" s="21" t="s">
        <v>1449</v>
      </c>
      <c r="I1058" s="21" t="s">
        <v>1982</v>
      </c>
      <c r="J1058" s="21" t="s">
        <v>2135</v>
      </c>
      <c r="K1058" s="24">
        <v>84</v>
      </c>
      <c r="L1058" s="24">
        <v>504</v>
      </c>
      <c r="M1058" s="23">
        <v>36</v>
      </c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>
        <v>34</v>
      </c>
      <c r="Z1058" s="23"/>
      <c r="AA1058" s="23">
        <v>14</v>
      </c>
      <c r="AB1058" s="23"/>
      <c r="AC1058" s="23"/>
      <c r="AD1058" s="23"/>
      <c r="AE1058" s="23"/>
      <c r="AF1058" s="23">
        <v>23</v>
      </c>
      <c r="AG1058" s="23"/>
      <c r="AH1058" s="23"/>
      <c r="AI1058" s="23"/>
      <c r="AJ1058" s="23">
        <v>6</v>
      </c>
      <c r="AK1058" s="23">
        <v>55</v>
      </c>
      <c r="AL1058" s="23"/>
      <c r="AM1058" s="23"/>
      <c r="AN1058" s="23"/>
      <c r="AO1058" s="23">
        <v>6</v>
      </c>
      <c r="AP1058" s="23">
        <v>29</v>
      </c>
      <c r="AQ1058" s="23">
        <v>16</v>
      </c>
      <c r="AR1058" s="23">
        <v>7</v>
      </c>
      <c r="AS1058" s="23">
        <v>26</v>
      </c>
      <c r="AT1058" s="23"/>
      <c r="AU1058" s="14" t="str">
        <f>HYPERLINK("http://www.openstreetmap.org/?mlat=33.2842&amp;mlon=44.3311&amp;zoom=12#map=12/33.2842/44.3311","Maplink1")</f>
        <v>Maplink1</v>
      </c>
      <c r="AV1058" s="14" t="str">
        <f>HYPERLINK("https://www.google.iq/maps/search/+33.2842,44.3311/@33.2842,44.3311,14z?hl=en","Maplink2")</f>
        <v>Maplink2</v>
      </c>
      <c r="AW1058" s="14" t="str">
        <f>HYPERLINK("http://www.bing.com/maps/?lvl=14&amp;sty=h&amp;cp=33.2842~44.3311&amp;sp=point.33.2842_44.3311_Hay Al Shurta-865","Maplink3")</f>
        <v>Maplink3</v>
      </c>
    </row>
    <row r="1059" spans="1:49" ht="15" customHeight="1" x14ac:dyDescent="0.25">
      <c r="A1059" s="21">
        <v>23085</v>
      </c>
      <c r="B1059" s="22" t="s">
        <v>11</v>
      </c>
      <c r="C1059" s="22" t="s">
        <v>1979</v>
      </c>
      <c r="D1059" s="22" t="s">
        <v>2070</v>
      </c>
      <c r="E1059" s="22" t="s">
        <v>7825</v>
      </c>
      <c r="F1059" s="22">
        <v>33.243074608800001</v>
      </c>
      <c r="G1059" s="22">
        <v>44.3013816709</v>
      </c>
      <c r="H1059" s="21" t="s">
        <v>1449</v>
      </c>
      <c r="I1059" s="21" t="s">
        <v>1982</v>
      </c>
      <c r="J1059" s="21" t="s">
        <v>2071</v>
      </c>
      <c r="K1059" s="24">
        <v>19</v>
      </c>
      <c r="L1059" s="24">
        <v>114</v>
      </c>
      <c r="M1059" s="23">
        <v>3</v>
      </c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>
        <v>13</v>
      </c>
      <c r="Z1059" s="23"/>
      <c r="AA1059" s="23">
        <v>3</v>
      </c>
      <c r="AB1059" s="23"/>
      <c r="AC1059" s="23"/>
      <c r="AD1059" s="23"/>
      <c r="AE1059" s="23"/>
      <c r="AF1059" s="23">
        <v>7</v>
      </c>
      <c r="AG1059" s="23"/>
      <c r="AH1059" s="23"/>
      <c r="AI1059" s="23"/>
      <c r="AJ1059" s="23"/>
      <c r="AK1059" s="23">
        <v>12</v>
      </c>
      <c r="AL1059" s="23"/>
      <c r="AM1059" s="23"/>
      <c r="AN1059" s="23"/>
      <c r="AO1059" s="23"/>
      <c r="AP1059" s="23">
        <v>19</v>
      </c>
      <c r="AQ1059" s="23"/>
      <c r="AR1059" s="23"/>
      <c r="AS1059" s="23"/>
      <c r="AT1059" s="23"/>
      <c r="AU1059" s="14" t="str">
        <f>HYPERLINK("http://www.openstreetmap.org/?mlat=33.2336&amp;mlon=44.3217&amp;zoom=12#map=12/33.2336/44.3217","Maplink1")</f>
        <v>Maplink1</v>
      </c>
      <c r="AV1059" s="14" t="str">
        <f>HYPERLINK("https://www.google.iq/maps/search/+33.2336,44.3217/@33.2336,44.3217,14z?hl=en","Maplink2")</f>
        <v>Maplink2</v>
      </c>
      <c r="AW1059" s="14" t="str">
        <f>HYPERLINK("http://www.bing.com/maps/?lvl=14&amp;sty=h&amp;cp=33.2336~44.3217&amp;sp=point.33.2336_44.3217_Al Shurta-869","Maplink3")</f>
        <v>Maplink3</v>
      </c>
    </row>
    <row r="1060" spans="1:49" ht="15" customHeight="1" x14ac:dyDescent="0.25">
      <c r="A1060" s="21">
        <v>23086</v>
      </c>
      <c r="B1060" s="22" t="s">
        <v>11</v>
      </c>
      <c r="C1060" s="22" t="s">
        <v>1979</v>
      </c>
      <c r="D1060" s="22" t="s">
        <v>2072</v>
      </c>
      <c r="E1060" s="22" t="s">
        <v>7826</v>
      </c>
      <c r="F1060" s="22">
        <v>33.249572947600001</v>
      </c>
      <c r="G1060" s="22">
        <v>44.312028596099999</v>
      </c>
      <c r="H1060" s="21" t="s">
        <v>1449</v>
      </c>
      <c r="I1060" s="21" t="s">
        <v>1982</v>
      </c>
      <c r="J1060" s="21" t="s">
        <v>2073</v>
      </c>
      <c r="K1060" s="24">
        <v>100</v>
      </c>
      <c r="L1060" s="24">
        <v>600</v>
      </c>
      <c r="M1060" s="23">
        <v>33</v>
      </c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>
        <v>55</v>
      </c>
      <c r="Z1060" s="23"/>
      <c r="AA1060" s="23">
        <v>12</v>
      </c>
      <c r="AB1060" s="23"/>
      <c r="AC1060" s="23"/>
      <c r="AD1060" s="23"/>
      <c r="AE1060" s="23"/>
      <c r="AF1060" s="23">
        <v>23</v>
      </c>
      <c r="AG1060" s="23"/>
      <c r="AH1060" s="23"/>
      <c r="AI1060" s="23"/>
      <c r="AJ1060" s="23">
        <v>33</v>
      </c>
      <c r="AK1060" s="23">
        <v>44</v>
      </c>
      <c r="AL1060" s="23"/>
      <c r="AM1060" s="23"/>
      <c r="AN1060" s="23"/>
      <c r="AO1060" s="23">
        <v>7</v>
      </c>
      <c r="AP1060" s="23">
        <v>41</v>
      </c>
      <c r="AQ1060" s="23">
        <v>5</v>
      </c>
      <c r="AR1060" s="23">
        <v>23</v>
      </c>
      <c r="AS1060" s="23">
        <v>24</v>
      </c>
      <c r="AT1060" s="23"/>
      <c r="AU1060" s="14" t="str">
        <f>HYPERLINK("http://www.openstreetmap.org/?mlat=33.2336&amp;mlon=44.3217&amp;zoom=12#map=12/33.2336/44.3217","Maplink1")</f>
        <v>Maplink1</v>
      </c>
      <c r="AV1060" s="14" t="str">
        <f>HYPERLINK("https://www.google.iq/maps/search/+33.2336,44.3217/@33.2336,44.3217,14z?hl=en","Maplink2")</f>
        <v>Maplink2</v>
      </c>
      <c r="AW1060" s="14" t="str">
        <f>HYPERLINK("http://www.bing.com/maps/?lvl=14&amp;sty=h&amp;cp=33.2336~44.3217&amp;sp=point.33.2336_44.3217_Al Shurta-875","Maplink3")</f>
        <v>Maplink3</v>
      </c>
    </row>
    <row r="1061" spans="1:49" ht="15" customHeight="1" x14ac:dyDescent="0.25">
      <c r="A1061" s="21">
        <v>25459</v>
      </c>
      <c r="B1061" s="22" t="s">
        <v>11</v>
      </c>
      <c r="C1061" s="22" t="s">
        <v>1979</v>
      </c>
      <c r="D1061" s="22" t="s">
        <v>2075</v>
      </c>
      <c r="E1061" s="22" t="s">
        <v>7827</v>
      </c>
      <c r="F1061" s="22">
        <v>33.242247470899997</v>
      </c>
      <c r="G1061" s="22">
        <v>44.3031676238</v>
      </c>
      <c r="H1061" s="21" t="s">
        <v>1449</v>
      </c>
      <c r="I1061" s="21" t="s">
        <v>1982</v>
      </c>
      <c r="J1061" s="21"/>
      <c r="K1061" s="24">
        <v>100</v>
      </c>
      <c r="L1061" s="24">
        <v>600</v>
      </c>
      <c r="M1061" s="23">
        <v>69</v>
      </c>
      <c r="N1061" s="23"/>
      <c r="O1061" s="23"/>
      <c r="P1061" s="23"/>
      <c r="Q1061" s="23"/>
      <c r="R1061" s="23">
        <v>2</v>
      </c>
      <c r="S1061" s="23"/>
      <c r="T1061" s="23"/>
      <c r="U1061" s="23"/>
      <c r="V1061" s="23"/>
      <c r="W1061" s="23"/>
      <c r="X1061" s="23"/>
      <c r="Y1061" s="23">
        <v>21</v>
      </c>
      <c r="Z1061" s="23"/>
      <c r="AA1061" s="23">
        <v>8</v>
      </c>
      <c r="AB1061" s="23"/>
      <c r="AC1061" s="23"/>
      <c r="AD1061" s="23"/>
      <c r="AE1061" s="23"/>
      <c r="AF1061" s="23">
        <v>32</v>
      </c>
      <c r="AG1061" s="23"/>
      <c r="AH1061" s="23"/>
      <c r="AI1061" s="23"/>
      <c r="AJ1061" s="23"/>
      <c r="AK1061" s="23">
        <v>68</v>
      </c>
      <c r="AL1061" s="23"/>
      <c r="AM1061" s="23"/>
      <c r="AN1061" s="23"/>
      <c r="AO1061" s="23">
        <v>11</v>
      </c>
      <c r="AP1061" s="23">
        <v>31</v>
      </c>
      <c r="AQ1061" s="23">
        <v>3</v>
      </c>
      <c r="AR1061" s="23">
        <v>35</v>
      </c>
      <c r="AS1061" s="23">
        <v>20</v>
      </c>
      <c r="AT1061" s="23"/>
      <c r="AU1061" s="14" t="str">
        <f>HYPERLINK("http://www.openstreetmap.org/?mlat=33.2725&amp;mlon=44.3459&amp;zoom=12#map=12/33.2725/44.3459","Maplink1")</f>
        <v>Maplink1</v>
      </c>
      <c r="AV1061" s="14" t="str">
        <f>HYPERLINK("https://www.google.iq/maps/search/+33.2725,44.3459/@33.2725,44.3459,14z?hl=en","Maplink2")</f>
        <v>Maplink2</v>
      </c>
      <c r="AW1061" s="14" t="str">
        <f>HYPERLINK("http://www.bing.com/maps/?lvl=14&amp;sty=h&amp;cp=33.2725~44.3459&amp;sp=point.33.2725_44.3459_Al Shurtah-867","Maplink3")</f>
        <v>Maplink3</v>
      </c>
    </row>
    <row r="1062" spans="1:49" ht="15" customHeight="1" x14ac:dyDescent="0.25">
      <c r="A1062" s="21">
        <v>7523</v>
      </c>
      <c r="B1062" s="22" t="s">
        <v>11</v>
      </c>
      <c r="C1062" s="22" t="s">
        <v>1979</v>
      </c>
      <c r="D1062" s="22" t="s">
        <v>8534</v>
      </c>
      <c r="E1062" s="22" t="s">
        <v>7858</v>
      </c>
      <c r="F1062" s="22">
        <v>33.246763623299998</v>
      </c>
      <c r="G1062" s="22">
        <v>44.303385205200001</v>
      </c>
      <c r="H1062" s="21" t="s">
        <v>1449</v>
      </c>
      <c r="I1062" s="21" t="s">
        <v>1982</v>
      </c>
      <c r="J1062" s="21"/>
      <c r="K1062" s="24">
        <v>46</v>
      </c>
      <c r="L1062" s="24">
        <v>276</v>
      </c>
      <c r="M1062" s="23">
        <v>20</v>
      </c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>
        <v>26</v>
      </c>
      <c r="Z1062" s="23"/>
      <c r="AA1062" s="23"/>
      <c r="AB1062" s="23"/>
      <c r="AC1062" s="23"/>
      <c r="AD1062" s="23"/>
      <c r="AE1062" s="23"/>
      <c r="AF1062" s="23">
        <v>19</v>
      </c>
      <c r="AG1062" s="23"/>
      <c r="AH1062" s="23"/>
      <c r="AI1062" s="23"/>
      <c r="AJ1062" s="23"/>
      <c r="AK1062" s="23">
        <v>27</v>
      </c>
      <c r="AL1062" s="23"/>
      <c r="AM1062" s="23"/>
      <c r="AN1062" s="23"/>
      <c r="AO1062" s="23"/>
      <c r="AP1062" s="23">
        <v>18</v>
      </c>
      <c r="AQ1062" s="23"/>
      <c r="AR1062" s="23">
        <v>19</v>
      </c>
      <c r="AS1062" s="23">
        <v>9</v>
      </c>
      <c r="AT1062" s="23"/>
      <c r="AU1062" s="14" t="str">
        <f>HYPERLINK("http://www.openstreetmap.org/?mlat=33.2336&amp;mlon=44.3217&amp;zoom=12#map=12/33.2336/44.3217","Maplink1")</f>
        <v>Maplink1</v>
      </c>
      <c r="AV1062" s="14" t="str">
        <f>HYPERLINK("https://www.google.iq/maps/search/+33.2336,44.3217/@33.2336,44.3217,14z?hl=en","Maplink2")</f>
        <v>Maplink2</v>
      </c>
      <c r="AW1062" s="14" t="str">
        <f>HYPERLINK("http://www.bing.com/maps/?lvl=14&amp;sty=h&amp;cp=33.2336~44.3217&amp;sp=point.33.2336_44.3217_Markaz Karkh-Al Shurtah-873","Maplink3")</f>
        <v>Maplink3</v>
      </c>
    </row>
    <row r="1063" spans="1:49" ht="15" customHeight="1" x14ac:dyDescent="0.25">
      <c r="A1063" s="21">
        <v>23984</v>
      </c>
      <c r="B1063" s="22" t="s">
        <v>11</v>
      </c>
      <c r="C1063" s="22" t="s">
        <v>1979</v>
      </c>
      <c r="D1063" s="22" t="s">
        <v>8535</v>
      </c>
      <c r="E1063" s="22" t="s">
        <v>7828</v>
      </c>
      <c r="F1063" s="22">
        <v>33.249352472200002</v>
      </c>
      <c r="G1063" s="22">
        <v>44.395447525000002</v>
      </c>
      <c r="H1063" s="21" t="s">
        <v>1449</v>
      </c>
      <c r="I1063" s="21" t="s">
        <v>1982</v>
      </c>
      <c r="J1063" s="21" t="s">
        <v>2076</v>
      </c>
      <c r="K1063" s="24">
        <v>837</v>
      </c>
      <c r="L1063" s="24">
        <v>5022</v>
      </c>
      <c r="M1063" s="23">
        <v>715</v>
      </c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>
        <v>122</v>
      </c>
      <c r="AB1063" s="23"/>
      <c r="AC1063" s="23"/>
      <c r="AD1063" s="23"/>
      <c r="AE1063" s="23"/>
      <c r="AF1063" s="23">
        <v>196</v>
      </c>
      <c r="AG1063" s="23"/>
      <c r="AH1063" s="23"/>
      <c r="AI1063" s="23"/>
      <c r="AJ1063" s="23"/>
      <c r="AK1063" s="23">
        <v>641</v>
      </c>
      <c r="AL1063" s="23"/>
      <c r="AM1063" s="23"/>
      <c r="AN1063" s="23"/>
      <c r="AO1063" s="23">
        <v>270</v>
      </c>
      <c r="AP1063" s="23">
        <v>87</v>
      </c>
      <c r="AQ1063" s="23">
        <v>47</v>
      </c>
      <c r="AR1063" s="23">
        <v>148</v>
      </c>
      <c r="AS1063" s="23">
        <v>249</v>
      </c>
      <c r="AT1063" s="23">
        <v>36</v>
      </c>
      <c r="AU1063" s="14" t="str">
        <f>HYPERLINK("http://www.openstreetmap.org/?mlat=33.2522&amp;mlon=44.3953&amp;zoom=12#map=12/33.2522/44.3953","Maplink1")</f>
        <v>Maplink1</v>
      </c>
      <c r="AV1063" s="14" t="str">
        <f>HYPERLINK("https://www.google.iq/maps/search/+33.2522,44.3953/@33.2522,44.3953,14z?hl=en","Maplink2")</f>
        <v>Maplink2</v>
      </c>
      <c r="AW1063" s="14" t="str">
        <f>HYPERLINK("http://www.bing.com/maps/?lvl=14&amp;sty=h&amp;cp=33.2522~44.3953&amp;sp=point.33.2522_44.3953_Al Toma-826","Maplink3")</f>
        <v>Maplink3</v>
      </c>
    </row>
    <row r="1064" spans="1:49" ht="15" customHeight="1" x14ac:dyDescent="0.25">
      <c r="A1064" s="21">
        <v>23986</v>
      </c>
      <c r="B1064" s="22" t="s">
        <v>11</v>
      </c>
      <c r="C1064" s="22" t="s">
        <v>1979</v>
      </c>
      <c r="D1064" s="22" t="s">
        <v>8536</v>
      </c>
      <c r="E1064" s="22" t="s">
        <v>7829</v>
      </c>
      <c r="F1064" s="22">
        <v>33.251847589500002</v>
      </c>
      <c r="G1064" s="22">
        <v>44.3907559576</v>
      </c>
      <c r="H1064" s="21" t="s">
        <v>1449</v>
      </c>
      <c r="I1064" s="21" t="s">
        <v>1982</v>
      </c>
      <c r="J1064" s="21" t="s">
        <v>2077</v>
      </c>
      <c r="K1064" s="24">
        <v>934</v>
      </c>
      <c r="L1064" s="24">
        <v>5604</v>
      </c>
      <c r="M1064" s="23">
        <v>864</v>
      </c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>
        <v>70</v>
      </c>
      <c r="AB1064" s="23"/>
      <c r="AC1064" s="23"/>
      <c r="AD1064" s="23"/>
      <c r="AE1064" s="23"/>
      <c r="AF1064" s="23">
        <v>562</v>
      </c>
      <c r="AG1064" s="23"/>
      <c r="AH1064" s="23"/>
      <c r="AI1064" s="23"/>
      <c r="AJ1064" s="23"/>
      <c r="AK1064" s="23">
        <v>372</v>
      </c>
      <c r="AL1064" s="23"/>
      <c r="AM1064" s="23"/>
      <c r="AN1064" s="23"/>
      <c r="AO1064" s="23">
        <v>605</v>
      </c>
      <c r="AP1064" s="23">
        <v>79</v>
      </c>
      <c r="AQ1064" s="23"/>
      <c r="AR1064" s="23"/>
      <c r="AS1064" s="23">
        <v>234</v>
      </c>
      <c r="AT1064" s="23">
        <v>16</v>
      </c>
      <c r="AU1064" s="14" t="str">
        <f>HYPERLINK("http://www.openstreetmap.org/?mlat=33.2524&amp;mlon=44.3912&amp;zoom=12#map=12/33.2524/44.3912","Maplink1")</f>
        <v>Maplink1</v>
      </c>
      <c r="AV1064" s="14" t="str">
        <f>HYPERLINK("https://www.google.iq/maps/search/+33.2524,44.3912/@33.2524,44.3912,14z?hl=en","Maplink2")</f>
        <v>Maplink2</v>
      </c>
      <c r="AW1064" s="14" t="str">
        <f>HYPERLINK("http://www.bing.com/maps/?lvl=14&amp;sty=h&amp;cp=33.2524~44.3912&amp;sp=point.33.2524_44.3912_Al Wadi-824","Maplink3")</f>
        <v>Maplink3</v>
      </c>
    </row>
    <row r="1065" spans="1:49" ht="15" customHeight="1" x14ac:dyDescent="0.25">
      <c r="A1065" s="21">
        <v>24986</v>
      </c>
      <c r="B1065" s="22" t="s">
        <v>11</v>
      </c>
      <c r="C1065" s="22" t="s">
        <v>1979</v>
      </c>
      <c r="D1065" s="22" t="s">
        <v>2078</v>
      </c>
      <c r="E1065" s="22" t="s">
        <v>7830</v>
      </c>
      <c r="F1065" s="22">
        <v>33.293469999999999</v>
      </c>
      <c r="G1065" s="22">
        <v>44.345010000000002</v>
      </c>
      <c r="H1065" s="21" t="s">
        <v>1449</v>
      </c>
      <c r="I1065" s="21" t="s">
        <v>1982</v>
      </c>
      <c r="J1065" s="21"/>
      <c r="K1065" s="24">
        <v>209</v>
      </c>
      <c r="L1065" s="24">
        <v>1254</v>
      </c>
      <c r="M1065" s="23">
        <v>189</v>
      </c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>
        <v>20</v>
      </c>
      <c r="Z1065" s="23"/>
      <c r="AA1065" s="23"/>
      <c r="AB1065" s="23"/>
      <c r="AC1065" s="23"/>
      <c r="AD1065" s="23"/>
      <c r="AE1065" s="23"/>
      <c r="AF1065" s="23">
        <v>45</v>
      </c>
      <c r="AG1065" s="23"/>
      <c r="AH1065" s="23"/>
      <c r="AI1065" s="23"/>
      <c r="AJ1065" s="23"/>
      <c r="AK1065" s="23">
        <v>164</v>
      </c>
      <c r="AL1065" s="23"/>
      <c r="AM1065" s="23"/>
      <c r="AN1065" s="23"/>
      <c r="AO1065" s="23"/>
      <c r="AP1065" s="23"/>
      <c r="AQ1065" s="23">
        <v>20</v>
      </c>
      <c r="AR1065" s="23">
        <v>165</v>
      </c>
      <c r="AS1065" s="23">
        <v>24</v>
      </c>
      <c r="AT1065" s="23"/>
      <c r="AU1065" s="14" t="str">
        <f t="shared" ref="AU1065:AU1071" si="4">HYPERLINK("http://www.openstreetmap.org/?mlat=33.3201&amp;mlon=44.3459&amp;zoom=12#map=12/33.3201/44.3459","Maplink1")</f>
        <v>Maplink1</v>
      </c>
      <c r="AV1065" s="14" t="str">
        <f t="shared" ref="AV1065:AV1071" si="5">HYPERLINK("https://www.google.iq/maps/search/+33.3201,44.3459/@33.3201,44.3459,14z?hl=en","Maplink2")</f>
        <v>Maplink2</v>
      </c>
      <c r="AW1065" s="14" t="str">
        <f>HYPERLINK("http://www.bing.com/maps/?lvl=14&amp;sty=h&amp;cp=33.3201~44.3459&amp;sp=point.33.3201_44.3459_Al Yarmok-614","Maplink3")</f>
        <v>Maplink3</v>
      </c>
    </row>
    <row r="1066" spans="1:49" ht="15" customHeight="1" x14ac:dyDescent="0.25">
      <c r="A1066" s="21">
        <v>24987</v>
      </c>
      <c r="B1066" s="22" t="s">
        <v>11</v>
      </c>
      <c r="C1066" s="22" t="s">
        <v>1979</v>
      </c>
      <c r="D1066" s="22" t="s">
        <v>2079</v>
      </c>
      <c r="E1066" s="22" t="s">
        <v>7831</v>
      </c>
      <c r="F1066" s="22">
        <v>33.303699999999999</v>
      </c>
      <c r="G1066" s="22">
        <v>44.339799999999997</v>
      </c>
      <c r="H1066" s="21" t="s">
        <v>1449</v>
      </c>
      <c r="I1066" s="21" t="s">
        <v>1982</v>
      </c>
      <c r="J1066" s="21"/>
      <c r="K1066" s="24">
        <v>255</v>
      </c>
      <c r="L1066" s="24">
        <v>1530</v>
      </c>
      <c r="M1066" s="23">
        <v>193</v>
      </c>
      <c r="N1066" s="23">
        <v>4</v>
      </c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>
        <v>31</v>
      </c>
      <c r="Z1066" s="23"/>
      <c r="AA1066" s="23">
        <v>27</v>
      </c>
      <c r="AB1066" s="23"/>
      <c r="AC1066" s="23"/>
      <c r="AD1066" s="23"/>
      <c r="AE1066" s="23"/>
      <c r="AF1066" s="23">
        <v>63</v>
      </c>
      <c r="AG1066" s="23"/>
      <c r="AH1066" s="23"/>
      <c r="AI1066" s="23"/>
      <c r="AJ1066" s="23"/>
      <c r="AK1066" s="23">
        <v>192</v>
      </c>
      <c r="AL1066" s="23"/>
      <c r="AM1066" s="23"/>
      <c r="AN1066" s="23"/>
      <c r="AO1066" s="23"/>
      <c r="AP1066" s="23">
        <v>10</v>
      </c>
      <c r="AQ1066" s="23">
        <v>22</v>
      </c>
      <c r="AR1066" s="23">
        <v>49</v>
      </c>
      <c r="AS1066" s="23">
        <v>174</v>
      </c>
      <c r="AT1066" s="23"/>
      <c r="AU1066" s="14" t="str">
        <f t="shared" si="4"/>
        <v>Maplink1</v>
      </c>
      <c r="AV1066" s="14" t="str">
        <f t="shared" si="5"/>
        <v>Maplink2</v>
      </c>
      <c r="AW1066" s="14" t="str">
        <f>HYPERLINK("http://www.bing.com/maps/?lvl=14&amp;sty=h&amp;cp=33.3201~44.3459&amp;sp=point.33.3201_44.3459_Al Yarmouk-608","Maplink3")</f>
        <v>Maplink3</v>
      </c>
    </row>
    <row r="1067" spans="1:49" ht="15" customHeight="1" x14ac:dyDescent="0.25">
      <c r="A1067" s="21">
        <v>24062</v>
      </c>
      <c r="B1067" s="22" t="s">
        <v>11</v>
      </c>
      <c r="C1067" s="22" t="s">
        <v>1979</v>
      </c>
      <c r="D1067" s="22" t="s">
        <v>2080</v>
      </c>
      <c r="E1067" s="22" t="s">
        <v>2081</v>
      </c>
      <c r="F1067" s="22">
        <v>33.299599999999998</v>
      </c>
      <c r="G1067" s="22">
        <v>44.339799999999997</v>
      </c>
      <c r="H1067" s="21" t="s">
        <v>1449</v>
      </c>
      <c r="I1067" s="21" t="s">
        <v>1982</v>
      </c>
      <c r="J1067" s="21" t="s">
        <v>2082</v>
      </c>
      <c r="K1067" s="24">
        <v>229</v>
      </c>
      <c r="L1067" s="24">
        <v>1374</v>
      </c>
      <c r="M1067" s="23">
        <v>197</v>
      </c>
      <c r="N1067" s="23"/>
      <c r="O1067" s="23"/>
      <c r="P1067" s="23"/>
      <c r="Q1067" s="23"/>
      <c r="R1067" s="23">
        <v>3</v>
      </c>
      <c r="S1067" s="23"/>
      <c r="T1067" s="23"/>
      <c r="U1067" s="23"/>
      <c r="V1067" s="23"/>
      <c r="W1067" s="23"/>
      <c r="X1067" s="23"/>
      <c r="Y1067" s="23">
        <v>15</v>
      </c>
      <c r="Z1067" s="23"/>
      <c r="AA1067" s="23">
        <v>14</v>
      </c>
      <c r="AB1067" s="23"/>
      <c r="AC1067" s="23"/>
      <c r="AD1067" s="23"/>
      <c r="AE1067" s="23"/>
      <c r="AF1067" s="23">
        <v>96</v>
      </c>
      <c r="AG1067" s="23"/>
      <c r="AH1067" s="23"/>
      <c r="AI1067" s="23"/>
      <c r="AJ1067" s="23"/>
      <c r="AK1067" s="23">
        <v>133</v>
      </c>
      <c r="AL1067" s="23"/>
      <c r="AM1067" s="23"/>
      <c r="AN1067" s="23"/>
      <c r="AO1067" s="23">
        <v>90</v>
      </c>
      <c r="AP1067" s="23"/>
      <c r="AQ1067" s="23">
        <v>20</v>
      </c>
      <c r="AR1067" s="23">
        <v>34</v>
      </c>
      <c r="AS1067" s="23">
        <v>85</v>
      </c>
      <c r="AT1067" s="23"/>
      <c r="AU1067" s="14" t="str">
        <f t="shared" si="4"/>
        <v>Maplink1</v>
      </c>
      <c r="AV1067" s="14" t="str">
        <f t="shared" si="5"/>
        <v>Maplink2</v>
      </c>
      <c r="AW1067" s="14" t="str">
        <f>HYPERLINK("http://www.bing.com/maps/?lvl=14&amp;sty=h&amp;cp=33.3201~44.3459&amp;sp=point.33.3201_44.3459_Al Yarmouk-610","Maplink3")</f>
        <v>Maplink3</v>
      </c>
    </row>
    <row r="1068" spans="1:49" ht="15" customHeight="1" x14ac:dyDescent="0.25">
      <c r="A1068" s="21">
        <v>24072</v>
      </c>
      <c r="B1068" s="22" t="s">
        <v>11</v>
      </c>
      <c r="C1068" s="22" t="s">
        <v>1979</v>
      </c>
      <c r="D1068" s="22" t="s">
        <v>2083</v>
      </c>
      <c r="E1068" s="22" t="s">
        <v>7832</v>
      </c>
      <c r="F1068" s="22">
        <v>33.298966856699998</v>
      </c>
      <c r="G1068" s="22">
        <v>44.334087800200003</v>
      </c>
      <c r="H1068" s="21" t="s">
        <v>1449</v>
      </c>
      <c r="I1068" s="21" t="s">
        <v>1982</v>
      </c>
      <c r="J1068" s="21" t="s">
        <v>2084</v>
      </c>
      <c r="K1068" s="24">
        <v>263</v>
      </c>
      <c r="L1068" s="24">
        <v>1578</v>
      </c>
      <c r="M1068" s="23">
        <v>194</v>
      </c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>
        <v>35</v>
      </c>
      <c r="Z1068" s="23"/>
      <c r="AA1068" s="23">
        <v>34</v>
      </c>
      <c r="AB1068" s="23"/>
      <c r="AC1068" s="23"/>
      <c r="AD1068" s="23"/>
      <c r="AE1068" s="23"/>
      <c r="AF1068" s="23">
        <v>101</v>
      </c>
      <c r="AG1068" s="23"/>
      <c r="AH1068" s="23"/>
      <c r="AI1068" s="23"/>
      <c r="AJ1068" s="23"/>
      <c r="AK1068" s="23">
        <v>162</v>
      </c>
      <c r="AL1068" s="23"/>
      <c r="AM1068" s="23"/>
      <c r="AN1068" s="23"/>
      <c r="AO1068" s="23">
        <v>98</v>
      </c>
      <c r="AP1068" s="23"/>
      <c r="AQ1068" s="23">
        <v>35</v>
      </c>
      <c r="AR1068" s="23">
        <v>29</v>
      </c>
      <c r="AS1068" s="23">
        <v>101</v>
      </c>
      <c r="AT1068" s="23"/>
      <c r="AU1068" s="14" t="str">
        <f t="shared" si="4"/>
        <v>Maplink1</v>
      </c>
      <c r="AV1068" s="14" t="str">
        <f t="shared" si="5"/>
        <v>Maplink2</v>
      </c>
      <c r="AW1068" s="14" t="str">
        <f>HYPERLINK("http://www.bing.com/maps/?lvl=14&amp;sty=h&amp;cp=33.3201~44.3459&amp;sp=point.33.3201_44.3459_Al Yarmouk-612","Maplink3")</f>
        <v>Maplink3</v>
      </c>
    </row>
    <row r="1069" spans="1:49" ht="15" customHeight="1" x14ac:dyDescent="0.25">
      <c r="A1069" s="21">
        <v>24059</v>
      </c>
      <c r="B1069" s="22" t="s">
        <v>11</v>
      </c>
      <c r="C1069" s="22" t="s">
        <v>1979</v>
      </c>
      <c r="D1069" s="22" t="s">
        <v>2085</v>
      </c>
      <c r="E1069" s="22" t="s">
        <v>7833</v>
      </c>
      <c r="F1069" s="22">
        <v>33.295099999999998</v>
      </c>
      <c r="G1069" s="22">
        <v>44.335000000000001</v>
      </c>
      <c r="H1069" s="21" t="s">
        <v>1449</v>
      </c>
      <c r="I1069" s="21" t="s">
        <v>1982</v>
      </c>
      <c r="J1069" s="21" t="s">
        <v>2086</v>
      </c>
      <c r="K1069" s="24">
        <v>241</v>
      </c>
      <c r="L1069" s="24">
        <v>1446</v>
      </c>
      <c r="M1069" s="23">
        <v>180</v>
      </c>
      <c r="N1069" s="23">
        <v>2</v>
      </c>
      <c r="O1069" s="23"/>
      <c r="P1069" s="23"/>
      <c r="Q1069" s="23"/>
      <c r="R1069" s="23">
        <v>8</v>
      </c>
      <c r="S1069" s="23"/>
      <c r="T1069" s="23"/>
      <c r="U1069" s="23"/>
      <c r="V1069" s="23"/>
      <c r="W1069" s="23"/>
      <c r="X1069" s="23"/>
      <c r="Y1069" s="23">
        <v>33</v>
      </c>
      <c r="Z1069" s="23"/>
      <c r="AA1069" s="23">
        <v>18</v>
      </c>
      <c r="AB1069" s="23"/>
      <c r="AC1069" s="23"/>
      <c r="AD1069" s="23"/>
      <c r="AE1069" s="23"/>
      <c r="AF1069" s="23">
        <v>86</v>
      </c>
      <c r="AG1069" s="23"/>
      <c r="AH1069" s="23"/>
      <c r="AI1069" s="23"/>
      <c r="AJ1069" s="23"/>
      <c r="AK1069" s="23">
        <v>155</v>
      </c>
      <c r="AL1069" s="23"/>
      <c r="AM1069" s="23"/>
      <c r="AN1069" s="23"/>
      <c r="AO1069" s="23">
        <v>120</v>
      </c>
      <c r="AP1069" s="23"/>
      <c r="AQ1069" s="23">
        <v>12</v>
      </c>
      <c r="AR1069" s="23">
        <v>36</v>
      </c>
      <c r="AS1069" s="23">
        <v>73</v>
      </c>
      <c r="AT1069" s="23"/>
      <c r="AU1069" s="14" t="str">
        <f t="shared" si="4"/>
        <v>Maplink1</v>
      </c>
      <c r="AV1069" s="14" t="str">
        <f t="shared" si="5"/>
        <v>Maplink2</v>
      </c>
      <c r="AW1069" s="14" t="str">
        <f>HYPERLINK("http://www.bing.com/maps/?lvl=14&amp;sty=h&amp;cp=33.3201~44.3459&amp;sp=point.33.3201_44.3459_Al Yarmouk-616","Maplink3")</f>
        <v>Maplink3</v>
      </c>
    </row>
    <row r="1070" spans="1:49" ht="15" customHeight="1" x14ac:dyDescent="0.25">
      <c r="A1070" s="21">
        <v>25201</v>
      </c>
      <c r="B1070" s="22" t="s">
        <v>11</v>
      </c>
      <c r="C1070" s="22" t="s">
        <v>1979</v>
      </c>
      <c r="D1070" s="22" t="s">
        <v>2088</v>
      </c>
      <c r="E1070" s="22" t="s">
        <v>7834</v>
      </c>
      <c r="F1070" s="22">
        <v>33.335569999999997</v>
      </c>
      <c r="G1070" s="22">
        <v>44.335810000000002</v>
      </c>
      <c r="H1070" s="21" t="s">
        <v>1449</v>
      </c>
      <c r="I1070" s="21" t="s">
        <v>1982</v>
      </c>
      <c r="J1070" s="21"/>
      <c r="K1070" s="24">
        <v>23</v>
      </c>
      <c r="L1070" s="24">
        <v>138</v>
      </c>
      <c r="M1070" s="23">
        <v>8</v>
      </c>
      <c r="N1070" s="23"/>
      <c r="O1070" s="23"/>
      <c r="P1070" s="23"/>
      <c r="Q1070" s="23"/>
      <c r="R1070" s="23">
        <v>4</v>
      </c>
      <c r="S1070" s="23"/>
      <c r="T1070" s="23"/>
      <c r="U1070" s="23"/>
      <c r="V1070" s="23"/>
      <c r="W1070" s="23"/>
      <c r="X1070" s="23"/>
      <c r="Y1070" s="23"/>
      <c r="Z1070" s="23"/>
      <c r="AA1070" s="23">
        <v>11</v>
      </c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>
        <v>23</v>
      </c>
      <c r="AL1070" s="23"/>
      <c r="AM1070" s="23"/>
      <c r="AN1070" s="23"/>
      <c r="AO1070" s="23">
        <v>12</v>
      </c>
      <c r="AP1070" s="23"/>
      <c r="AQ1070" s="23">
        <v>4</v>
      </c>
      <c r="AR1070" s="23">
        <v>7</v>
      </c>
      <c r="AS1070" s="23"/>
      <c r="AT1070" s="23"/>
      <c r="AU1070" s="14" t="str">
        <f t="shared" si="4"/>
        <v>Maplink1</v>
      </c>
      <c r="AV1070" s="14" t="str">
        <f t="shared" si="5"/>
        <v>Maplink2</v>
      </c>
      <c r="AW1070" s="14" t="str">
        <f>HYPERLINK("http://www.bing.com/maps/?lvl=14&amp;sty=h&amp;cp=33.3201~44.3459&amp;sp=point.33.3201_44.3459_Al-Iskan 623","Maplink3")</f>
        <v>Maplink3</v>
      </c>
    </row>
    <row r="1071" spans="1:49" ht="15" customHeight="1" x14ac:dyDescent="0.25">
      <c r="A1071" s="21">
        <v>25202</v>
      </c>
      <c r="B1071" s="22" t="s">
        <v>11</v>
      </c>
      <c r="C1071" s="22" t="s">
        <v>1979</v>
      </c>
      <c r="D1071" s="22" t="s">
        <v>2089</v>
      </c>
      <c r="E1071" s="22" t="s">
        <v>7835</v>
      </c>
      <c r="F1071" s="22">
        <v>33.339869999999998</v>
      </c>
      <c r="G1071" s="22">
        <v>44.334980000000002</v>
      </c>
      <c r="H1071" s="21" t="s">
        <v>1449</v>
      </c>
      <c r="I1071" s="21" t="s">
        <v>1982</v>
      </c>
      <c r="J1071" s="21"/>
      <c r="K1071" s="24">
        <v>21</v>
      </c>
      <c r="L1071" s="24">
        <v>126</v>
      </c>
      <c r="M1071" s="23">
        <v>13</v>
      </c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>
        <v>8</v>
      </c>
      <c r="AB1071" s="23"/>
      <c r="AC1071" s="23"/>
      <c r="AD1071" s="23"/>
      <c r="AE1071" s="23"/>
      <c r="AF1071" s="23">
        <v>10</v>
      </c>
      <c r="AG1071" s="23"/>
      <c r="AH1071" s="23"/>
      <c r="AI1071" s="23"/>
      <c r="AJ1071" s="23"/>
      <c r="AK1071" s="23">
        <v>11</v>
      </c>
      <c r="AL1071" s="23"/>
      <c r="AM1071" s="23"/>
      <c r="AN1071" s="23"/>
      <c r="AO1071" s="23"/>
      <c r="AP1071" s="23"/>
      <c r="AQ1071" s="23"/>
      <c r="AR1071" s="23">
        <v>8</v>
      </c>
      <c r="AS1071" s="23">
        <v>13</v>
      </c>
      <c r="AT1071" s="23"/>
      <c r="AU1071" s="14" t="str">
        <f t="shared" si="4"/>
        <v>Maplink1</v>
      </c>
      <c r="AV1071" s="14" t="str">
        <f t="shared" si="5"/>
        <v>Maplink2</v>
      </c>
      <c r="AW1071" s="14" t="str">
        <f>HYPERLINK("http://www.bing.com/maps/?lvl=14&amp;sty=h&amp;cp=33.3201~44.3459&amp;sp=point.33.3201_44.3459_Al-Iskan-625","Maplink3")</f>
        <v>Maplink3</v>
      </c>
    </row>
    <row r="1072" spans="1:49" ht="15" customHeight="1" x14ac:dyDescent="0.25">
      <c r="A1072" s="21">
        <v>25931</v>
      </c>
      <c r="B1072" s="22" t="s">
        <v>11</v>
      </c>
      <c r="C1072" s="22" t="s">
        <v>1979</v>
      </c>
      <c r="D1072" s="22" t="s">
        <v>2090</v>
      </c>
      <c r="E1072" s="22" t="s">
        <v>7836</v>
      </c>
      <c r="F1072" s="22">
        <v>33.324842797599999</v>
      </c>
      <c r="G1072" s="22">
        <v>44.347171951100002</v>
      </c>
      <c r="H1072" s="21" t="s">
        <v>1449</v>
      </c>
      <c r="I1072" s="21" t="s">
        <v>1982</v>
      </c>
      <c r="J1072" s="21"/>
      <c r="K1072" s="24">
        <v>214</v>
      </c>
      <c r="L1072" s="24">
        <v>1284</v>
      </c>
      <c r="M1072" s="23">
        <v>200</v>
      </c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>
        <v>14</v>
      </c>
      <c r="Z1072" s="23"/>
      <c r="AA1072" s="23"/>
      <c r="AB1072" s="23"/>
      <c r="AC1072" s="23"/>
      <c r="AD1072" s="23"/>
      <c r="AE1072" s="23"/>
      <c r="AF1072" s="23">
        <v>45</v>
      </c>
      <c r="AG1072" s="23"/>
      <c r="AH1072" s="23"/>
      <c r="AI1072" s="23"/>
      <c r="AJ1072" s="23"/>
      <c r="AK1072" s="23">
        <v>169</v>
      </c>
      <c r="AL1072" s="23"/>
      <c r="AM1072" s="23"/>
      <c r="AN1072" s="23"/>
      <c r="AO1072" s="23"/>
      <c r="AP1072" s="23"/>
      <c r="AQ1072" s="23">
        <v>47</v>
      </c>
      <c r="AR1072" s="23">
        <v>8</v>
      </c>
      <c r="AS1072" s="23">
        <v>159</v>
      </c>
      <c r="AT1072" s="23"/>
      <c r="AU1072" s="14" t="str">
        <f>HYPERLINK("http://www.openstreetmap.org/?mlat=33.3031&amp;mlon=44.3562&amp;zoom=12#map=12/33.3031/44.3562","Maplink1")</f>
        <v>Maplink1</v>
      </c>
      <c r="AV1072" s="14" t="str">
        <f>HYPERLINK("https://www.google.iq/maps/search/+33.3031,44.3562/@33.3031,44.3562,14z?hl=en","Maplink2")</f>
        <v>Maplink2</v>
      </c>
      <c r="AW1072" s="14" t="str">
        <f>HYPERLINK("http://www.bing.com/maps/?lvl=14&amp;sty=h&amp;cp=33.3031~44.3562&amp;sp=point.33.3031_44.3562_Al-Mansour-601","Maplink3")</f>
        <v>Maplink3</v>
      </c>
    </row>
    <row r="1073" spans="1:49" ht="15" customHeight="1" x14ac:dyDescent="0.25">
      <c r="A1073" s="21">
        <v>25930</v>
      </c>
      <c r="B1073" s="22" t="s">
        <v>11</v>
      </c>
      <c r="C1073" s="22" t="s">
        <v>1979</v>
      </c>
      <c r="D1073" s="22" t="s">
        <v>2091</v>
      </c>
      <c r="E1073" s="22" t="s">
        <v>7837</v>
      </c>
      <c r="F1073" s="22">
        <v>33.3218487818</v>
      </c>
      <c r="G1073" s="22">
        <v>44.3383807596</v>
      </c>
      <c r="H1073" s="21" t="s">
        <v>1449</v>
      </c>
      <c r="I1073" s="21" t="s">
        <v>1982</v>
      </c>
      <c r="J1073" s="21"/>
      <c r="K1073" s="24">
        <v>182</v>
      </c>
      <c r="L1073" s="24">
        <v>1092</v>
      </c>
      <c r="M1073" s="23">
        <v>170</v>
      </c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>
        <v>12</v>
      </c>
      <c r="Z1073" s="23"/>
      <c r="AA1073" s="23"/>
      <c r="AB1073" s="23"/>
      <c r="AC1073" s="23"/>
      <c r="AD1073" s="23"/>
      <c r="AE1073" s="23"/>
      <c r="AF1073" s="23">
        <v>15</v>
      </c>
      <c r="AG1073" s="23"/>
      <c r="AH1073" s="23"/>
      <c r="AI1073" s="23"/>
      <c r="AJ1073" s="23"/>
      <c r="AK1073" s="23">
        <v>167</v>
      </c>
      <c r="AL1073" s="23"/>
      <c r="AM1073" s="23"/>
      <c r="AN1073" s="23"/>
      <c r="AO1073" s="23"/>
      <c r="AP1073" s="23">
        <v>43</v>
      </c>
      <c r="AQ1073" s="23">
        <v>12</v>
      </c>
      <c r="AR1073" s="23">
        <v>44</v>
      </c>
      <c r="AS1073" s="23">
        <v>83</v>
      </c>
      <c r="AT1073" s="23"/>
      <c r="AU1073" s="14" t="str">
        <f>HYPERLINK("http://www.openstreetmap.org/?mlat=33.3129&amp;mlon=44.3437&amp;zoom=12#map=12/33.3129/44.3437","Maplink1")</f>
        <v>Maplink1</v>
      </c>
      <c r="AV1073" s="14" t="str">
        <f>HYPERLINK("https://www.google.iq/maps/search/+33.3129,44.3437/@33.3129,44.3437,14z?hl=en","Maplink2")</f>
        <v>Maplink2</v>
      </c>
      <c r="AW1073" s="14" t="str">
        <f>HYPERLINK("http://www.bing.com/maps/?lvl=14&amp;sty=h&amp;cp=33.3129~44.3437&amp;sp=point.33.3129_44.3437_Al-Mansour-609","Maplink3")</f>
        <v>Maplink3</v>
      </c>
    </row>
    <row r="1074" spans="1:49" ht="15" customHeight="1" x14ac:dyDescent="0.25">
      <c r="A1074" s="21">
        <v>7584</v>
      </c>
      <c r="B1074" s="22" t="s">
        <v>11</v>
      </c>
      <c r="C1074" s="22" t="s">
        <v>1979</v>
      </c>
      <c r="D1074" s="22" t="s">
        <v>2096</v>
      </c>
      <c r="E1074" s="22" t="s">
        <v>2097</v>
      </c>
      <c r="F1074" s="22">
        <v>33.238467662600002</v>
      </c>
      <c r="G1074" s="22">
        <v>44.436441231499998</v>
      </c>
      <c r="H1074" s="21" t="s">
        <v>1449</v>
      </c>
      <c r="I1074" s="21" t="s">
        <v>1982</v>
      </c>
      <c r="J1074" s="21" t="s">
        <v>2098</v>
      </c>
      <c r="K1074" s="24">
        <v>98</v>
      </c>
      <c r="L1074" s="24">
        <v>588</v>
      </c>
      <c r="M1074" s="23">
        <v>77</v>
      </c>
      <c r="N1074" s="23"/>
      <c r="O1074" s="23">
        <v>4</v>
      </c>
      <c r="P1074" s="23"/>
      <c r="Q1074" s="23"/>
      <c r="R1074" s="23"/>
      <c r="S1074" s="23"/>
      <c r="T1074" s="23"/>
      <c r="U1074" s="23"/>
      <c r="V1074" s="23"/>
      <c r="W1074" s="23"/>
      <c r="X1074" s="23"/>
      <c r="Y1074" s="23">
        <v>7</v>
      </c>
      <c r="Z1074" s="23"/>
      <c r="AA1074" s="23">
        <v>10</v>
      </c>
      <c r="AB1074" s="23"/>
      <c r="AC1074" s="23"/>
      <c r="AD1074" s="23"/>
      <c r="AE1074" s="23"/>
      <c r="AF1074" s="23">
        <v>98</v>
      </c>
      <c r="AG1074" s="23"/>
      <c r="AH1074" s="23"/>
      <c r="AI1074" s="23"/>
      <c r="AJ1074" s="23"/>
      <c r="AK1074" s="23"/>
      <c r="AL1074" s="23"/>
      <c r="AM1074" s="23"/>
      <c r="AN1074" s="23"/>
      <c r="AO1074" s="23">
        <v>11</v>
      </c>
      <c r="AP1074" s="23">
        <v>25</v>
      </c>
      <c r="AQ1074" s="23"/>
      <c r="AR1074" s="23">
        <v>13</v>
      </c>
      <c r="AS1074" s="23">
        <v>20</v>
      </c>
      <c r="AT1074" s="23">
        <v>29</v>
      </c>
      <c r="AU1074" s="14" t="str">
        <f>HYPERLINK("http://www.openstreetmap.org/?mlat=33.2637&amp;mlon=44.4479&amp;zoom=12#map=12/33.2637/44.4479","Maplink1")</f>
        <v>Maplink1</v>
      </c>
      <c r="AV1074" s="14" t="str">
        <f>HYPERLINK("https://www.google.iq/maps/search/+33.2637,44.4479/@33.2637,44.4479,14z?hl=en","Maplink2")</f>
        <v>Maplink2</v>
      </c>
      <c r="AW1074" s="14" t="str">
        <f>HYPERLINK("http://www.bing.com/maps/?lvl=14&amp;sty=h&amp;cp=33.2637~44.4479&amp;sp=point.33.2637_44.4479_Albo_Aitha","Maplink3")</f>
        <v>Maplink3</v>
      </c>
    </row>
    <row r="1075" spans="1:49" ht="15" customHeight="1" x14ac:dyDescent="0.25">
      <c r="A1075" s="21">
        <v>23733</v>
      </c>
      <c r="B1075" s="22" t="s">
        <v>11</v>
      </c>
      <c r="C1075" s="22" t="s">
        <v>1979</v>
      </c>
      <c r="D1075" s="22" t="s">
        <v>8537</v>
      </c>
      <c r="E1075" s="22" t="s">
        <v>2106</v>
      </c>
      <c r="F1075" s="22">
        <v>33.202959999999997</v>
      </c>
      <c r="G1075" s="22">
        <v>44.467759999999998</v>
      </c>
      <c r="H1075" s="21" t="s">
        <v>1449</v>
      </c>
      <c r="I1075" s="21" t="s">
        <v>1982</v>
      </c>
      <c r="J1075" s="21" t="s">
        <v>2107</v>
      </c>
      <c r="K1075" s="24">
        <v>99</v>
      </c>
      <c r="L1075" s="24">
        <v>594</v>
      </c>
      <c r="M1075" s="23">
        <v>58</v>
      </c>
      <c r="N1075" s="23"/>
      <c r="O1075" s="23">
        <v>35</v>
      </c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>
        <v>6</v>
      </c>
      <c r="AB1075" s="23"/>
      <c r="AC1075" s="23"/>
      <c r="AD1075" s="23"/>
      <c r="AE1075" s="23"/>
      <c r="AF1075" s="23">
        <v>52</v>
      </c>
      <c r="AG1075" s="23"/>
      <c r="AH1075" s="23"/>
      <c r="AI1075" s="23"/>
      <c r="AJ1075" s="23"/>
      <c r="AK1075" s="23">
        <v>41</v>
      </c>
      <c r="AL1075" s="23"/>
      <c r="AM1075" s="23">
        <v>6</v>
      </c>
      <c r="AN1075" s="23"/>
      <c r="AO1075" s="23">
        <v>19</v>
      </c>
      <c r="AP1075" s="23"/>
      <c r="AQ1075" s="23">
        <v>6</v>
      </c>
      <c r="AR1075" s="23">
        <v>35</v>
      </c>
      <c r="AS1075" s="23">
        <v>23</v>
      </c>
      <c r="AT1075" s="23">
        <v>16</v>
      </c>
      <c r="AU1075" s="14" t="str">
        <f>HYPERLINK("http://www.openstreetmap.org/?mlat=33.2026&amp;mlon=44.4682&amp;zoom=12#map=12/33.2026/44.4682","Maplink1")</f>
        <v>Maplink1</v>
      </c>
      <c r="AV1075" s="14" t="str">
        <f>HYPERLINK("https://www.google.iq/maps/search/+33.2026,44.4682/@33.2026,44.4682,14z?hl=en","Maplink2")</f>
        <v>Maplink2</v>
      </c>
      <c r="AW1075" s="14" t="str">
        <f>HYPERLINK("http://www.bing.com/maps/?lvl=14&amp;sty=h&amp;cp=33.2026~44.4682&amp;sp=point.33.2026_44.4682_Gharb jbor","Maplink3")</f>
        <v>Maplink3</v>
      </c>
    </row>
    <row r="1076" spans="1:49" ht="15" customHeight="1" x14ac:dyDescent="0.25">
      <c r="A1076" s="21">
        <v>24078</v>
      </c>
      <c r="B1076" s="22" t="s">
        <v>11</v>
      </c>
      <c r="C1076" s="22" t="s">
        <v>1979</v>
      </c>
      <c r="D1076" s="22" t="s">
        <v>8538</v>
      </c>
      <c r="E1076" s="22" t="s">
        <v>7845</v>
      </c>
      <c r="F1076" s="22">
        <v>33.243802993800003</v>
      </c>
      <c r="G1076" s="22">
        <v>44.403864252799998</v>
      </c>
      <c r="H1076" s="21" t="s">
        <v>1449</v>
      </c>
      <c r="I1076" s="21" t="s">
        <v>1982</v>
      </c>
      <c r="J1076" s="21" t="s">
        <v>2105</v>
      </c>
      <c r="K1076" s="24">
        <v>45</v>
      </c>
      <c r="L1076" s="24">
        <v>270</v>
      </c>
      <c r="M1076" s="23">
        <v>37</v>
      </c>
      <c r="N1076" s="23"/>
      <c r="O1076" s="23"/>
      <c r="P1076" s="23"/>
      <c r="Q1076" s="23"/>
      <c r="R1076" s="23">
        <v>8</v>
      </c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>
        <v>33</v>
      </c>
      <c r="AG1076" s="23"/>
      <c r="AH1076" s="23"/>
      <c r="AI1076" s="23"/>
      <c r="AJ1076" s="23"/>
      <c r="AK1076" s="23">
        <v>12</v>
      </c>
      <c r="AL1076" s="23"/>
      <c r="AM1076" s="23"/>
      <c r="AN1076" s="23"/>
      <c r="AO1076" s="23">
        <v>32</v>
      </c>
      <c r="AP1076" s="23">
        <v>13</v>
      </c>
      <c r="AQ1076" s="23"/>
      <c r="AR1076" s="23"/>
      <c r="AS1076" s="23"/>
      <c r="AT1076" s="23"/>
      <c r="AU1076" s="14" t="str">
        <f>HYPERLINK("http://www.openstreetmap.org/?mlat=33.2397&amp;mlon=44.4043&amp;zoom=12#map=12/33.2397/44.4043","Maplink1")</f>
        <v>Maplink1</v>
      </c>
      <c r="AV1076" s="14" t="str">
        <f>HYPERLINK("https://www.google.iq/maps/search/+33.2397,44.4043/@33.2397,44.4043,14z?hl=en","Maplink2")</f>
        <v>Maplink2</v>
      </c>
      <c r="AW1076" s="14" t="str">
        <f>HYPERLINK("http://www.bing.com/maps/?lvl=14&amp;sty=h&amp;cp=33.2397~44.4043&amp;sp=point.33.2397_44.4043_Asia-836","Maplink3")</f>
        <v>Maplink3</v>
      </c>
    </row>
    <row r="1077" spans="1:49" ht="15" customHeight="1" x14ac:dyDescent="0.25">
      <c r="A1077" s="21">
        <v>26121</v>
      </c>
      <c r="B1077" s="22" t="s">
        <v>11</v>
      </c>
      <c r="C1077" s="22" t="s">
        <v>1979</v>
      </c>
      <c r="D1077" s="22" t="s">
        <v>7846</v>
      </c>
      <c r="E1077" s="22" t="s">
        <v>8539</v>
      </c>
      <c r="F1077" s="22">
        <v>33.331009321800003</v>
      </c>
      <c r="G1077" s="22">
        <v>44.292915221299999</v>
      </c>
      <c r="H1077" s="21" t="s">
        <v>1449</v>
      </c>
      <c r="I1077" s="21" t="s">
        <v>1982</v>
      </c>
      <c r="J1077" s="21"/>
      <c r="K1077" s="24">
        <v>223</v>
      </c>
      <c r="L1077" s="24">
        <v>1338</v>
      </c>
      <c r="M1077" s="23">
        <v>212</v>
      </c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>
        <v>10</v>
      </c>
      <c r="Z1077" s="23"/>
      <c r="AA1077" s="23">
        <v>1</v>
      </c>
      <c r="AB1077" s="23"/>
      <c r="AC1077" s="23"/>
      <c r="AD1077" s="23"/>
      <c r="AE1077" s="23">
        <v>223</v>
      </c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>
        <v>10</v>
      </c>
      <c r="AR1077" s="23">
        <v>1</v>
      </c>
      <c r="AS1077" s="23">
        <v>208</v>
      </c>
      <c r="AT1077" s="23">
        <v>4</v>
      </c>
      <c r="AU1077" s="14" t="str">
        <f>HYPERLINK("http://www.openstreetmap.org/?mlat=33.3291&amp;mlon=44.2928&amp;zoom=12#map=12/33.3291/44.2928","Maplink1")</f>
        <v>Maplink1</v>
      </c>
      <c r="AV1077" s="14" t="str">
        <f>HYPERLINK("https://www.google.iq/maps/search/+33.3291,44.2928/@33.3291,44.2928,14z?hl=en","Maplink2")</f>
        <v>Maplink2</v>
      </c>
      <c r="AW1077" s="14" t="str">
        <f>HYPERLINK("http://www.bing.com/maps/?lvl=14&amp;sty=h&amp;cp=33.3291~44.2928&amp;sp=point.33.3291_44.2928_Al Ghazaliyah Camp","Maplink3")</f>
        <v>Maplink3</v>
      </c>
    </row>
    <row r="1078" spans="1:49" ht="15" customHeight="1" x14ac:dyDescent="0.25">
      <c r="A1078" s="21">
        <v>26039</v>
      </c>
      <c r="B1078" s="22" t="s">
        <v>11</v>
      </c>
      <c r="C1078" s="22" t="s">
        <v>1979</v>
      </c>
      <c r="D1078" s="22" t="s">
        <v>2108</v>
      </c>
      <c r="E1078" s="22" t="s">
        <v>7847</v>
      </c>
      <c r="F1078" s="22">
        <v>33.299549524699998</v>
      </c>
      <c r="G1078" s="22">
        <v>44.323505647499999</v>
      </c>
      <c r="H1078" s="21" t="s">
        <v>1449</v>
      </c>
      <c r="I1078" s="21" t="s">
        <v>1982</v>
      </c>
      <c r="J1078" s="21"/>
      <c r="K1078" s="24">
        <v>301</v>
      </c>
      <c r="L1078" s="24">
        <v>1806</v>
      </c>
      <c r="M1078" s="23">
        <v>233</v>
      </c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>
        <v>68</v>
      </c>
      <c r="AB1078" s="23"/>
      <c r="AC1078" s="23"/>
      <c r="AD1078" s="23"/>
      <c r="AE1078" s="23"/>
      <c r="AF1078" s="23">
        <v>72</v>
      </c>
      <c r="AG1078" s="23"/>
      <c r="AH1078" s="23"/>
      <c r="AI1078" s="23"/>
      <c r="AJ1078" s="23"/>
      <c r="AK1078" s="23">
        <v>229</v>
      </c>
      <c r="AL1078" s="23"/>
      <c r="AM1078" s="23"/>
      <c r="AN1078" s="23"/>
      <c r="AO1078" s="23"/>
      <c r="AP1078" s="23"/>
      <c r="AQ1078" s="23">
        <v>111</v>
      </c>
      <c r="AR1078" s="23">
        <v>29</v>
      </c>
      <c r="AS1078" s="23">
        <v>161</v>
      </c>
      <c r="AT1078" s="23"/>
      <c r="AU1078" s="14" t="str">
        <f>HYPERLINK("http://www.openstreetmap.org/?mlat=33.3015&amp;mlon=44.3165&amp;zoom=12#map=12/33.3015/44.3165","Maplink1")</f>
        <v>Maplink1</v>
      </c>
      <c r="AV1078" s="14" t="str">
        <f>HYPERLINK("https://www.google.iq/maps/search/+33.3015,44.3165/@33.3015,44.3165,14z?hl=en","Maplink2")</f>
        <v>Maplink2</v>
      </c>
      <c r="AW1078" s="14" t="str">
        <f>HYPERLINK("http://www.bing.com/maps/?lvl=14&amp;sty=h&amp;cp=33.3015~44.3165&amp;sp=point.33.3015_44.3165_Hateen-620","Maplink3")</f>
        <v>Maplink3</v>
      </c>
    </row>
    <row r="1079" spans="1:49" ht="15" customHeight="1" x14ac:dyDescent="0.25">
      <c r="A1079" s="21">
        <v>26038</v>
      </c>
      <c r="B1079" s="22" t="s">
        <v>11</v>
      </c>
      <c r="C1079" s="22" t="s">
        <v>1979</v>
      </c>
      <c r="D1079" s="22" t="s">
        <v>2109</v>
      </c>
      <c r="E1079" s="22" t="s">
        <v>2110</v>
      </c>
      <c r="F1079" s="22">
        <v>33.307083849800001</v>
      </c>
      <c r="G1079" s="22">
        <v>44.323500534499999</v>
      </c>
      <c r="H1079" s="21" t="s">
        <v>1449</v>
      </c>
      <c r="I1079" s="21" t="s">
        <v>1982</v>
      </c>
      <c r="J1079" s="21"/>
      <c r="K1079" s="24">
        <v>267</v>
      </c>
      <c r="L1079" s="24">
        <v>1602</v>
      </c>
      <c r="M1079" s="23">
        <v>230</v>
      </c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>
        <v>4</v>
      </c>
      <c r="Z1079" s="23"/>
      <c r="AA1079" s="23">
        <v>33</v>
      </c>
      <c r="AB1079" s="23"/>
      <c r="AC1079" s="23"/>
      <c r="AD1079" s="23"/>
      <c r="AE1079" s="23"/>
      <c r="AF1079" s="23">
        <v>50</v>
      </c>
      <c r="AG1079" s="23"/>
      <c r="AH1079" s="23"/>
      <c r="AI1079" s="23"/>
      <c r="AJ1079" s="23"/>
      <c r="AK1079" s="23">
        <v>217</v>
      </c>
      <c r="AL1079" s="23"/>
      <c r="AM1079" s="23"/>
      <c r="AN1079" s="23"/>
      <c r="AO1079" s="23"/>
      <c r="AP1079" s="23">
        <v>63</v>
      </c>
      <c r="AQ1079" s="23"/>
      <c r="AR1079" s="23">
        <v>37</v>
      </c>
      <c r="AS1079" s="23">
        <v>167</v>
      </c>
      <c r="AT1079" s="23"/>
      <c r="AU1079" s="14" t="str">
        <f>HYPERLINK("http://www.openstreetmap.org/?mlat=33.3011&amp;mlon=44.3156&amp;zoom=12#map=12/33.3011/44.3156","Maplink1")</f>
        <v>Maplink1</v>
      </c>
      <c r="AV1079" s="14" t="str">
        <f>HYPERLINK("https://www.google.iq/maps/search/+33.3011,44.3156/@33.3011,44.3156,14z?hl=en","Maplink2")</f>
        <v>Maplink2</v>
      </c>
      <c r="AW1079" s="14" t="str">
        <f>HYPERLINK("http://www.bing.com/maps/?lvl=14&amp;sty=h&amp;cp=33.3011~44.3156&amp;sp=point.33.3011_44.3156_Hateen-622","Maplink3")</f>
        <v>Maplink3</v>
      </c>
    </row>
    <row r="1080" spans="1:49" ht="15" customHeight="1" x14ac:dyDescent="0.25">
      <c r="A1080" s="21">
        <v>24066</v>
      </c>
      <c r="B1080" s="22" t="s">
        <v>11</v>
      </c>
      <c r="C1080" s="22" t="s">
        <v>1979</v>
      </c>
      <c r="D1080" s="22" t="s">
        <v>2112</v>
      </c>
      <c r="E1080" s="22" t="s">
        <v>7848</v>
      </c>
      <c r="F1080" s="22">
        <v>33.334281281599999</v>
      </c>
      <c r="G1080" s="22">
        <v>44.300977187199997</v>
      </c>
      <c r="H1080" s="21" t="s">
        <v>1449</v>
      </c>
      <c r="I1080" s="21" t="s">
        <v>1982</v>
      </c>
      <c r="J1080" s="21" t="s">
        <v>2113</v>
      </c>
      <c r="K1080" s="24">
        <v>183</v>
      </c>
      <c r="L1080" s="24">
        <v>1098</v>
      </c>
      <c r="M1080" s="23">
        <v>132</v>
      </c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>
        <v>37</v>
      </c>
      <c r="Z1080" s="23"/>
      <c r="AA1080" s="23">
        <v>14</v>
      </c>
      <c r="AB1080" s="23"/>
      <c r="AC1080" s="23"/>
      <c r="AD1080" s="23"/>
      <c r="AE1080" s="23"/>
      <c r="AF1080" s="23">
        <v>67</v>
      </c>
      <c r="AG1080" s="23"/>
      <c r="AH1080" s="23"/>
      <c r="AI1080" s="23"/>
      <c r="AJ1080" s="23"/>
      <c r="AK1080" s="23">
        <v>116</v>
      </c>
      <c r="AL1080" s="23"/>
      <c r="AM1080" s="23"/>
      <c r="AN1080" s="23"/>
      <c r="AO1080" s="23">
        <v>44</v>
      </c>
      <c r="AP1080" s="23">
        <v>37</v>
      </c>
      <c r="AQ1080" s="23">
        <v>14</v>
      </c>
      <c r="AR1080" s="23">
        <v>15</v>
      </c>
      <c r="AS1080" s="23">
        <v>73</v>
      </c>
      <c r="AT1080" s="23"/>
      <c r="AU1080" s="14" t="str">
        <f>HYPERLINK("http://www.openstreetmap.org/?mlat=33.332&amp;mlon=44.308&amp;zoom=12#map=12/33.332/44.308","Maplink1")</f>
        <v>Maplink1</v>
      </c>
      <c r="AV1080" s="14" t="str">
        <f>HYPERLINK("https://www.google.iq/maps/search/+33.332,44.308/@33.332,44.308,14z?hl=en","Maplink2")</f>
        <v>Maplink2</v>
      </c>
      <c r="AW1080" s="14" t="str">
        <f>HYPERLINK("http://www.bing.com/maps/?lvl=14&amp;sty=h&amp;cp=33.332~44.308&amp;sp=point.33.332_44.308_Hay Al Adil-647","Maplink3")</f>
        <v>Maplink3</v>
      </c>
    </row>
    <row r="1081" spans="1:49" ht="15" customHeight="1" x14ac:dyDescent="0.25">
      <c r="A1081" s="21">
        <v>24067</v>
      </c>
      <c r="B1081" s="22" t="s">
        <v>11</v>
      </c>
      <c r="C1081" s="22" t="s">
        <v>1979</v>
      </c>
      <c r="D1081" s="22" t="s">
        <v>2114</v>
      </c>
      <c r="E1081" s="22" t="s">
        <v>7849</v>
      </c>
      <c r="F1081" s="22">
        <v>33.331852080300003</v>
      </c>
      <c r="G1081" s="22">
        <v>44.324131272700001</v>
      </c>
      <c r="H1081" s="21" t="s">
        <v>1449</v>
      </c>
      <c r="I1081" s="21" t="s">
        <v>1982</v>
      </c>
      <c r="J1081" s="21" t="s">
        <v>2115</v>
      </c>
      <c r="K1081" s="24">
        <v>189</v>
      </c>
      <c r="L1081" s="24">
        <v>1134</v>
      </c>
      <c r="M1081" s="23">
        <v>147</v>
      </c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>
        <v>42</v>
      </c>
      <c r="Z1081" s="23"/>
      <c r="AA1081" s="23"/>
      <c r="AB1081" s="23"/>
      <c r="AC1081" s="23"/>
      <c r="AD1081" s="23"/>
      <c r="AE1081" s="23"/>
      <c r="AF1081" s="23">
        <v>55</v>
      </c>
      <c r="AG1081" s="23"/>
      <c r="AH1081" s="23"/>
      <c r="AI1081" s="23"/>
      <c r="AJ1081" s="23"/>
      <c r="AK1081" s="23">
        <v>134</v>
      </c>
      <c r="AL1081" s="23"/>
      <c r="AM1081" s="23"/>
      <c r="AN1081" s="23"/>
      <c r="AO1081" s="23">
        <v>60</v>
      </c>
      <c r="AP1081" s="23"/>
      <c r="AQ1081" s="23"/>
      <c r="AR1081" s="23">
        <v>42</v>
      </c>
      <c r="AS1081" s="23">
        <v>87</v>
      </c>
      <c r="AT1081" s="23"/>
      <c r="AU1081" s="14" t="str">
        <f>HYPERLINK("http://www.openstreetmap.org/?mlat=33.332&amp;mlon=44.308&amp;zoom=12#map=12/33.332/44.308","Maplink1")</f>
        <v>Maplink1</v>
      </c>
      <c r="AV1081" s="14" t="str">
        <f>HYPERLINK("https://www.google.iq/maps/search/+33.332,44.308/@33.332,44.308,14z?hl=en","Maplink2")</f>
        <v>Maplink2</v>
      </c>
      <c r="AW1081" s="14" t="str">
        <f>HYPERLINK("http://www.bing.com/maps/?lvl=14&amp;sty=h&amp;cp=33.332~44.308&amp;sp=point.33.332_44.308_Hay Al Adil-657","Maplink3")</f>
        <v>Maplink3</v>
      </c>
    </row>
    <row r="1082" spans="1:49" ht="15" customHeight="1" x14ac:dyDescent="0.25">
      <c r="A1082" s="21">
        <v>23506</v>
      </c>
      <c r="B1082" s="22" t="s">
        <v>11</v>
      </c>
      <c r="C1082" s="22" t="s">
        <v>1979</v>
      </c>
      <c r="D1082" s="22" t="s">
        <v>2116</v>
      </c>
      <c r="E1082" s="22" t="s">
        <v>2117</v>
      </c>
      <c r="F1082" s="22">
        <v>33.278377961799997</v>
      </c>
      <c r="G1082" s="22">
        <v>44.336421373199997</v>
      </c>
      <c r="H1082" s="21" t="s">
        <v>1449</v>
      </c>
      <c r="I1082" s="21" t="s">
        <v>1982</v>
      </c>
      <c r="J1082" s="21" t="s">
        <v>2118</v>
      </c>
      <c r="K1082" s="24">
        <v>89</v>
      </c>
      <c r="L1082" s="24">
        <v>534</v>
      </c>
      <c r="M1082" s="23">
        <v>36</v>
      </c>
      <c r="N1082" s="23"/>
      <c r="O1082" s="23">
        <v>5</v>
      </c>
      <c r="P1082" s="23"/>
      <c r="Q1082" s="23"/>
      <c r="R1082" s="23"/>
      <c r="S1082" s="23"/>
      <c r="T1082" s="23"/>
      <c r="U1082" s="23">
        <v>2</v>
      </c>
      <c r="V1082" s="23"/>
      <c r="W1082" s="23"/>
      <c r="X1082" s="23"/>
      <c r="Y1082" s="23">
        <v>46</v>
      </c>
      <c r="Z1082" s="23"/>
      <c r="AA1082" s="23"/>
      <c r="AB1082" s="23"/>
      <c r="AC1082" s="23"/>
      <c r="AD1082" s="23"/>
      <c r="AE1082" s="23"/>
      <c r="AF1082" s="23">
        <v>14</v>
      </c>
      <c r="AG1082" s="23"/>
      <c r="AH1082" s="23"/>
      <c r="AI1082" s="23"/>
      <c r="AJ1082" s="23"/>
      <c r="AK1082" s="23">
        <v>75</v>
      </c>
      <c r="AL1082" s="23"/>
      <c r="AM1082" s="23"/>
      <c r="AN1082" s="23"/>
      <c r="AO1082" s="23">
        <v>15</v>
      </c>
      <c r="AP1082" s="23">
        <v>42</v>
      </c>
      <c r="AQ1082" s="23">
        <v>18</v>
      </c>
      <c r="AR1082" s="23">
        <v>14</v>
      </c>
      <c r="AS1082" s="23"/>
      <c r="AT1082" s="23"/>
      <c r="AU1082" s="14" t="str">
        <f>HYPERLINK("http://www.openstreetmap.org/?mlat=33.2722&amp;mlon=44.2269&amp;zoom=12#map=12/33.2722/44.2269","Maplink1")</f>
        <v>Maplink1</v>
      </c>
      <c r="AV1082" s="14" t="str">
        <f>HYPERLINK("https://www.google.iq/maps/search/+33.2722,44.2269/@33.2722,44.2269,14z?hl=en","Maplink2")</f>
        <v>Maplink2</v>
      </c>
      <c r="AW1082" s="14" t="str">
        <f>HYPERLINK("http://www.bing.com/maps/?lvl=14&amp;sty=h&amp;cp=33.2722~44.2269&amp;sp=point.33.2722_44.2269_Hay Al Amel-805","Maplink3")</f>
        <v>Maplink3</v>
      </c>
    </row>
    <row r="1083" spans="1:49" ht="15" customHeight="1" x14ac:dyDescent="0.25">
      <c r="A1083" s="21">
        <v>23507</v>
      </c>
      <c r="B1083" s="22" t="s">
        <v>11</v>
      </c>
      <c r="C1083" s="22" t="s">
        <v>1979</v>
      </c>
      <c r="D1083" s="22" t="s">
        <v>2119</v>
      </c>
      <c r="E1083" s="22" t="s">
        <v>8183</v>
      </c>
      <c r="F1083" s="22">
        <v>33.272199999999998</v>
      </c>
      <c r="G1083" s="22">
        <v>44.328400000000002</v>
      </c>
      <c r="H1083" s="21" t="s">
        <v>1449</v>
      </c>
      <c r="I1083" s="21" t="s">
        <v>1982</v>
      </c>
      <c r="J1083" s="21" t="s">
        <v>2120</v>
      </c>
      <c r="K1083" s="24">
        <v>33</v>
      </c>
      <c r="L1083" s="24">
        <v>198</v>
      </c>
      <c r="M1083" s="23">
        <v>19</v>
      </c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>
        <v>7</v>
      </c>
      <c r="Z1083" s="23"/>
      <c r="AA1083" s="23">
        <v>7</v>
      </c>
      <c r="AB1083" s="23"/>
      <c r="AC1083" s="23"/>
      <c r="AD1083" s="23"/>
      <c r="AE1083" s="23"/>
      <c r="AF1083" s="23">
        <v>5</v>
      </c>
      <c r="AG1083" s="23"/>
      <c r="AH1083" s="23"/>
      <c r="AI1083" s="23"/>
      <c r="AJ1083" s="23"/>
      <c r="AK1083" s="23">
        <v>28</v>
      </c>
      <c r="AL1083" s="23"/>
      <c r="AM1083" s="23"/>
      <c r="AN1083" s="23"/>
      <c r="AO1083" s="23">
        <v>8</v>
      </c>
      <c r="AP1083" s="23">
        <v>7</v>
      </c>
      <c r="AQ1083" s="23">
        <v>6</v>
      </c>
      <c r="AR1083" s="23">
        <v>12</v>
      </c>
      <c r="AS1083" s="23"/>
      <c r="AT1083" s="23"/>
      <c r="AU1083" s="14" t="str">
        <f>HYPERLINK("http://www.openstreetmap.org/?mlat=33.2775&amp;mlon=44.342&amp;zoom=12#map=12/33.2775/44.342","Maplink1")</f>
        <v>Maplink1</v>
      </c>
      <c r="AV1083" s="14" t="str">
        <f>HYPERLINK("https://www.google.iq/maps/search/+33.2775,44.342/@33.2775,44.342,14z?hl=en","Maplink2")</f>
        <v>Maplink2</v>
      </c>
      <c r="AW1083" s="14" t="str">
        <f>HYPERLINK("http://www.bing.com/maps/?lvl=14&amp;sty=h&amp;cp=33.2775~44.342&amp;sp=point.33.2775_44.342_Hay Al Amel-811","Maplink3")</f>
        <v>Maplink3</v>
      </c>
    </row>
    <row r="1084" spans="1:49" ht="15" customHeight="1" x14ac:dyDescent="0.25">
      <c r="A1084" s="21">
        <v>23324</v>
      </c>
      <c r="B1084" s="22" t="s">
        <v>11</v>
      </c>
      <c r="C1084" s="22" t="s">
        <v>1979</v>
      </c>
      <c r="D1084" s="22" t="s">
        <v>7436</v>
      </c>
      <c r="E1084" s="22" t="s">
        <v>7850</v>
      </c>
      <c r="F1084" s="22">
        <v>33.280360000000002</v>
      </c>
      <c r="G1084" s="22">
        <v>44.323729999999998</v>
      </c>
      <c r="H1084" s="21"/>
      <c r="I1084" s="21"/>
      <c r="J1084" s="21" t="s">
        <v>2111</v>
      </c>
      <c r="K1084" s="24">
        <v>62</v>
      </c>
      <c r="L1084" s="24">
        <v>372</v>
      </c>
      <c r="M1084" s="23">
        <v>26</v>
      </c>
      <c r="N1084" s="23">
        <v>1</v>
      </c>
      <c r="O1084" s="23">
        <v>1</v>
      </c>
      <c r="P1084" s="23"/>
      <c r="Q1084" s="23"/>
      <c r="R1084" s="23">
        <v>1</v>
      </c>
      <c r="S1084" s="23"/>
      <c r="T1084" s="23"/>
      <c r="U1084" s="23"/>
      <c r="V1084" s="23"/>
      <c r="W1084" s="23"/>
      <c r="X1084" s="23"/>
      <c r="Y1084" s="23">
        <v>2</v>
      </c>
      <c r="Z1084" s="23"/>
      <c r="AA1084" s="23">
        <v>31</v>
      </c>
      <c r="AB1084" s="23"/>
      <c r="AC1084" s="23"/>
      <c r="AD1084" s="23"/>
      <c r="AE1084" s="23"/>
      <c r="AF1084" s="23">
        <v>10</v>
      </c>
      <c r="AG1084" s="23"/>
      <c r="AH1084" s="23"/>
      <c r="AI1084" s="23"/>
      <c r="AJ1084" s="23"/>
      <c r="AK1084" s="23">
        <v>52</v>
      </c>
      <c r="AL1084" s="23"/>
      <c r="AM1084" s="23"/>
      <c r="AN1084" s="23"/>
      <c r="AO1084" s="23">
        <v>10</v>
      </c>
      <c r="AP1084" s="23">
        <v>20</v>
      </c>
      <c r="AQ1084" s="23">
        <v>32</v>
      </c>
      <c r="AR1084" s="23"/>
      <c r="AS1084" s="23"/>
      <c r="AT1084" s="23"/>
      <c r="AU1084" s="14" t="str">
        <f>HYPERLINK("http://www.openstreetmap.org/?mlat=33.3308&amp;mlon=44.3911&amp;zoom=12#map=12/33.3308/44.3911","Maplink1")</f>
        <v>Maplink1</v>
      </c>
      <c r="AV1084" s="14" t="str">
        <f>HYPERLINK("https://www.google.iq/maps/search/+33.3308,44.3911/@33.3308,44.3911,14z?hl=en","Maplink2")</f>
        <v>Maplink2</v>
      </c>
      <c r="AW1084" s="14" t="str">
        <f>HYPERLINK("http://www.bing.com/maps/?lvl=14&amp;sty=h&amp;cp=33.3308~44.3911&amp;sp=point.33.3308_44.3911_Hay Al A'mil - 801","Maplink3")</f>
        <v>Maplink3</v>
      </c>
    </row>
    <row r="1085" spans="1:49" ht="15" customHeight="1" x14ac:dyDescent="0.25">
      <c r="A1085" s="21">
        <v>23284</v>
      </c>
      <c r="B1085" s="22" t="s">
        <v>11</v>
      </c>
      <c r="C1085" s="22" t="s">
        <v>1979</v>
      </c>
      <c r="D1085" s="22" t="s">
        <v>2121</v>
      </c>
      <c r="E1085" s="22" t="s">
        <v>8184</v>
      </c>
      <c r="F1085" s="22">
        <v>33.283552988499999</v>
      </c>
      <c r="G1085" s="22">
        <v>44.337970836399997</v>
      </c>
      <c r="H1085" s="21" t="s">
        <v>1449</v>
      </c>
      <c r="I1085" s="21" t="s">
        <v>1982</v>
      </c>
      <c r="J1085" s="21" t="s">
        <v>2122</v>
      </c>
      <c r="K1085" s="24">
        <v>105</v>
      </c>
      <c r="L1085" s="24">
        <v>630</v>
      </c>
      <c r="M1085" s="23">
        <v>54</v>
      </c>
      <c r="N1085" s="23"/>
      <c r="O1085" s="23">
        <v>8</v>
      </c>
      <c r="P1085" s="23"/>
      <c r="Q1085" s="23"/>
      <c r="R1085" s="23">
        <v>6</v>
      </c>
      <c r="S1085" s="23"/>
      <c r="T1085" s="23"/>
      <c r="U1085" s="23"/>
      <c r="V1085" s="23"/>
      <c r="W1085" s="23"/>
      <c r="X1085" s="23"/>
      <c r="Y1085" s="23">
        <v>6</v>
      </c>
      <c r="Z1085" s="23"/>
      <c r="AA1085" s="23">
        <v>31</v>
      </c>
      <c r="AB1085" s="23"/>
      <c r="AC1085" s="23"/>
      <c r="AD1085" s="23"/>
      <c r="AE1085" s="23"/>
      <c r="AF1085" s="23">
        <v>28</v>
      </c>
      <c r="AG1085" s="23"/>
      <c r="AH1085" s="23"/>
      <c r="AI1085" s="23"/>
      <c r="AJ1085" s="23"/>
      <c r="AK1085" s="23">
        <v>77</v>
      </c>
      <c r="AL1085" s="23"/>
      <c r="AM1085" s="23"/>
      <c r="AN1085" s="23"/>
      <c r="AO1085" s="23">
        <v>20</v>
      </c>
      <c r="AP1085" s="23">
        <v>6</v>
      </c>
      <c r="AQ1085" s="23"/>
      <c r="AR1085" s="23">
        <v>48</v>
      </c>
      <c r="AS1085" s="23">
        <v>31</v>
      </c>
      <c r="AT1085" s="23"/>
      <c r="AU1085" s="14" t="str">
        <f>HYPERLINK("http://www.openstreetmap.org/?mlat=33.2751&amp;mlon=44.3236&amp;zoom=12#map=12/33.2751/44.3236","Maplink1")</f>
        <v>Maplink1</v>
      </c>
      <c r="AV1085" s="14" t="str">
        <f>HYPERLINK("https://www.google.iq/maps/search/+33.2751,44.3236/@33.2751,44.3236,14z?hl=en","Maplink2")</f>
        <v>Maplink2</v>
      </c>
      <c r="AW1085" s="14" t="str">
        <f>HYPERLINK("http://www.bing.com/maps/?lvl=14&amp;sty=h&amp;cp=33.2751~44.3236&amp;sp=point.33.2751_44.3236_Hay Al Amil-803","Maplink3")</f>
        <v>Maplink3</v>
      </c>
    </row>
    <row r="1086" spans="1:49" ht="15" customHeight="1" x14ac:dyDescent="0.25">
      <c r="A1086" s="21">
        <v>25203</v>
      </c>
      <c r="B1086" s="22" t="s">
        <v>11</v>
      </c>
      <c r="C1086" s="22" t="s">
        <v>1979</v>
      </c>
      <c r="D1086" s="22" t="s">
        <v>2123</v>
      </c>
      <c r="E1086" s="22" t="s">
        <v>8185</v>
      </c>
      <c r="F1086" s="22">
        <v>33.27561</v>
      </c>
      <c r="G1086" s="22">
        <v>44.327829999999999</v>
      </c>
      <c r="H1086" s="21" t="s">
        <v>1449</v>
      </c>
      <c r="I1086" s="21" t="s">
        <v>1982</v>
      </c>
      <c r="J1086" s="21"/>
      <c r="K1086" s="24">
        <v>50</v>
      </c>
      <c r="L1086" s="24">
        <v>300</v>
      </c>
      <c r="M1086" s="23">
        <v>20</v>
      </c>
      <c r="N1086" s="23"/>
      <c r="O1086" s="23">
        <v>4</v>
      </c>
      <c r="P1086" s="23"/>
      <c r="Q1086" s="23"/>
      <c r="R1086" s="23"/>
      <c r="S1086" s="23"/>
      <c r="T1086" s="23"/>
      <c r="U1086" s="23">
        <v>4</v>
      </c>
      <c r="V1086" s="23"/>
      <c r="W1086" s="23"/>
      <c r="X1086" s="23"/>
      <c r="Y1086" s="23">
        <v>19</v>
      </c>
      <c r="Z1086" s="23"/>
      <c r="AA1086" s="23">
        <v>3</v>
      </c>
      <c r="AB1086" s="23"/>
      <c r="AC1086" s="23"/>
      <c r="AD1086" s="23"/>
      <c r="AE1086" s="23"/>
      <c r="AF1086" s="23">
        <v>13</v>
      </c>
      <c r="AG1086" s="23"/>
      <c r="AH1086" s="23"/>
      <c r="AI1086" s="23"/>
      <c r="AJ1086" s="23"/>
      <c r="AK1086" s="23">
        <v>37</v>
      </c>
      <c r="AL1086" s="23"/>
      <c r="AM1086" s="23"/>
      <c r="AN1086" s="23"/>
      <c r="AO1086" s="23"/>
      <c r="AP1086" s="23">
        <v>14</v>
      </c>
      <c r="AQ1086" s="23"/>
      <c r="AR1086" s="23">
        <v>29</v>
      </c>
      <c r="AS1086" s="23">
        <v>7</v>
      </c>
      <c r="AT1086" s="23"/>
      <c r="AU1086" s="14" t="str">
        <f>HYPERLINK("http://www.openstreetmap.org/?mlat=33.2727&amp;mlon=44.3375&amp;zoom=12#map=12/33.2727/44.3375","Maplink1")</f>
        <v>Maplink1</v>
      </c>
      <c r="AV1086" s="14" t="str">
        <f>HYPERLINK("https://www.google.iq/maps/search/+33.2727,44.3375/@33.2727,44.3375,14z?hl=en","Maplink2")</f>
        <v>Maplink2</v>
      </c>
      <c r="AW1086" s="14" t="str">
        <f>HYPERLINK("http://www.bing.com/maps/?lvl=14&amp;sty=h&amp;cp=33.2727~44.3375&amp;sp=point.33.2727_44.3375_Hay Al Amil-807","Maplink3")</f>
        <v>Maplink3</v>
      </c>
    </row>
    <row r="1087" spans="1:49" ht="15" customHeight="1" x14ac:dyDescent="0.25">
      <c r="A1087" s="21">
        <v>25204</v>
      </c>
      <c r="B1087" s="22" t="s">
        <v>11</v>
      </c>
      <c r="C1087" s="22" t="s">
        <v>1979</v>
      </c>
      <c r="D1087" s="22" t="s">
        <v>2124</v>
      </c>
      <c r="E1087" s="22" t="s">
        <v>8186</v>
      </c>
      <c r="F1087" s="22">
        <v>33.277265994700002</v>
      </c>
      <c r="G1087" s="22">
        <v>44.331322754299997</v>
      </c>
      <c r="H1087" s="21" t="s">
        <v>1449</v>
      </c>
      <c r="I1087" s="21" t="s">
        <v>1982</v>
      </c>
      <c r="J1087" s="21"/>
      <c r="K1087" s="24">
        <v>102</v>
      </c>
      <c r="L1087" s="24">
        <v>612</v>
      </c>
      <c r="M1087" s="23">
        <v>23</v>
      </c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>
        <v>64</v>
      </c>
      <c r="Z1087" s="23"/>
      <c r="AA1087" s="23">
        <v>15</v>
      </c>
      <c r="AB1087" s="23"/>
      <c r="AC1087" s="23"/>
      <c r="AD1087" s="23"/>
      <c r="AE1087" s="23"/>
      <c r="AF1087" s="23">
        <v>27</v>
      </c>
      <c r="AG1087" s="23"/>
      <c r="AH1087" s="23"/>
      <c r="AI1087" s="23"/>
      <c r="AJ1087" s="23"/>
      <c r="AK1087" s="23">
        <v>75</v>
      </c>
      <c r="AL1087" s="23"/>
      <c r="AM1087" s="23"/>
      <c r="AN1087" s="23"/>
      <c r="AO1087" s="23">
        <v>23</v>
      </c>
      <c r="AP1087" s="23"/>
      <c r="AQ1087" s="23">
        <v>48</v>
      </c>
      <c r="AR1087" s="23">
        <v>31</v>
      </c>
      <c r="AS1087" s="23"/>
      <c r="AT1087" s="23"/>
      <c r="AU1087" s="14" t="str">
        <f>HYPERLINK("http://www.openstreetmap.org/?mlat=33.2723&amp;mlon=44.2269&amp;zoom=12#map=12/33.2723/44.2269","Maplink1")</f>
        <v>Maplink1</v>
      </c>
      <c r="AV1087" s="14" t="str">
        <f>HYPERLINK("https://www.google.iq/maps/search/+33.2723,44.2269/@33.2723,44.2269,14z?hl=en","Maplink2")</f>
        <v>Maplink2</v>
      </c>
      <c r="AW1087" s="14" t="str">
        <f>HYPERLINK("http://www.bing.com/maps/?lvl=14&amp;sty=h&amp;cp=33.2723~44.2269&amp;sp=point.33.2723_44.2269_Hay Al Amil-809","Maplink3")</f>
        <v>Maplink3</v>
      </c>
    </row>
    <row r="1088" spans="1:49" ht="15" customHeight="1" x14ac:dyDescent="0.25">
      <c r="A1088" s="21">
        <v>23285</v>
      </c>
      <c r="B1088" s="22" t="s">
        <v>11</v>
      </c>
      <c r="C1088" s="22" t="s">
        <v>1979</v>
      </c>
      <c r="D1088" s="22" t="s">
        <v>2125</v>
      </c>
      <c r="E1088" s="22" t="s">
        <v>8187</v>
      </c>
      <c r="F1088" s="22">
        <v>33.274122074200001</v>
      </c>
      <c r="G1088" s="22">
        <v>44.328075430799998</v>
      </c>
      <c r="H1088" s="21" t="s">
        <v>1449</v>
      </c>
      <c r="I1088" s="21" t="s">
        <v>1982</v>
      </c>
      <c r="J1088" s="21" t="s">
        <v>2126</v>
      </c>
      <c r="K1088" s="24">
        <v>67</v>
      </c>
      <c r="L1088" s="24">
        <v>402</v>
      </c>
      <c r="M1088" s="23">
        <v>29</v>
      </c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>
        <v>29</v>
      </c>
      <c r="Z1088" s="23"/>
      <c r="AA1088" s="23">
        <v>9</v>
      </c>
      <c r="AB1088" s="23"/>
      <c r="AC1088" s="23"/>
      <c r="AD1088" s="23"/>
      <c r="AE1088" s="23"/>
      <c r="AF1088" s="23">
        <v>14</v>
      </c>
      <c r="AG1088" s="23"/>
      <c r="AH1088" s="23"/>
      <c r="AI1088" s="23"/>
      <c r="AJ1088" s="23"/>
      <c r="AK1088" s="23">
        <v>53</v>
      </c>
      <c r="AL1088" s="23"/>
      <c r="AM1088" s="23"/>
      <c r="AN1088" s="23"/>
      <c r="AO1088" s="23"/>
      <c r="AP1088" s="23">
        <v>21</v>
      </c>
      <c r="AQ1088" s="23"/>
      <c r="AR1088" s="23">
        <v>19</v>
      </c>
      <c r="AS1088" s="23">
        <v>27</v>
      </c>
      <c r="AT1088" s="23"/>
      <c r="AU1088" s="14" t="str">
        <f>HYPERLINK("http://www.openstreetmap.org/?mlat=33.2777&amp;mlon=44.3354&amp;zoom=12#map=12/33.2777/44.3354","Maplink1")</f>
        <v>Maplink1</v>
      </c>
      <c r="AV1088" s="14" t="str">
        <f>HYPERLINK("https://www.google.iq/maps/search/+33.2777,44.3354/@33.2777,44.3354,14z?hl=en","Maplink2")</f>
        <v>Maplink2</v>
      </c>
      <c r="AW1088" s="14" t="str">
        <f>HYPERLINK("http://www.bing.com/maps/?lvl=14&amp;sty=h&amp;cp=33.2777~44.3354&amp;sp=point.33.2777_44.3354_Hay Al Amil-813","Maplink3")</f>
        <v>Maplink3</v>
      </c>
    </row>
    <row r="1089" spans="1:49" ht="15" customHeight="1" x14ac:dyDescent="0.25">
      <c r="A1089" s="21">
        <v>25205</v>
      </c>
      <c r="B1089" s="22" t="s">
        <v>11</v>
      </c>
      <c r="C1089" s="22" t="s">
        <v>1979</v>
      </c>
      <c r="D1089" s="22" t="s">
        <v>2127</v>
      </c>
      <c r="E1089" s="22" t="s">
        <v>8188</v>
      </c>
      <c r="F1089" s="22">
        <v>33.269620000000003</v>
      </c>
      <c r="G1089" s="22">
        <v>44.32882</v>
      </c>
      <c r="H1089" s="21" t="s">
        <v>1449</v>
      </c>
      <c r="I1089" s="21" t="s">
        <v>1982</v>
      </c>
      <c r="J1089" s="21"/>
      <c r="K1089" s="24">
        <v>24</v>
      </c>
      <c r="L1089" s="24">
        <v>144</v>
      </c>
      <c r="M1089" s="23">
        <v>9</v>
      </c>
      <c r="N1089" s="23"/>
      <c r="O1089" s="23">
        <v>3</v>
      </c>
      <c r="P1089" s="23"/>
      <c r="Q1089" s="23"/>
      <c r="R1089" s="23"/>
      <c r="S1089" s="23"/>
      <c r="T1089" s="23"/>
      <c r="U1089" s="23"/>
      <c r="V1089" s="23"/>
      <c r="W1089" s="23"/>
      <c r="X1089" s="23"/>
      <c r="Y1089" s="23">
        <v>5</v>
      </c>
      <c r="Z1089" s="23"/>
      <c r="AA1089" s="23">
        <v>7</v>
      </c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>
        <v>24</v>
      </c>
      <c r="AL1089" s="23"/>
      <c r="AM1089" s="23"/>
      <c r="AN1089" s="23"/>
      <c r="AO1089" s="23"/>
      <c r="AP1089" s="23">
        <v>4</v>
      </c>
      <c r="AQ1089" s="23"/>
      <c r="AR1089" s="23">
        <v>11</v>
      </c>
      <c r="AS1089" s="23">
        <v>9</v>
      </c>
      <c r="AT1089" s="23"/>
      <c r="AU1089" s="14" t="str">
        <f>HYPERLINK("http://www.openstreetmap.org/?mlat=33.3112&amp;mlon=44.3362&amp;zoom=12#map=12/33.3112/44.3362","Maplink1")</f>
        <v>Maplink1</v>
      </c>
      <c r="AV1089" s="14" t="str">
        <f>HYPERLINK("https://www.google.iq/maps/search/+33.3112,44.3362/@33.3112,44.3362,14z?hl=en","Maplink2")</f>
        <v>Maplink2</v>
      </c>
      <c r="AW1089" s="14" t="str">
        <f>HYPERLINK("http://www.bing.com/maps/?lvl=14&amp;sty=h&amp;cp=33.3112~44.3362&amp;sp=point.33.3112_44.3362_Hay Al Amil-815","Maplink3")</f>
        <v>Maplink3</v>
      </c>
    </row>
    <row r="1090" spans="1:49" ht="15" customHeight="1" x14ac:dyDescent="0.25">
      <c r="A1090" s="21">
        <v>7640</v>
      </c>
      <c r="B1090" s="22" t="s">
        <v>11</v>
      </c>
      <c r="C1090" s="22" t="s">
        <v>1979</v>
      </c>
      <c r="D1090" s="22" t="s">
        <v>2128</v>
      </c>
      <c r="E1090" s="22" t="s">
        <v>7851</v>
      </c>
      <c r="F1090" s="22">
        <v>33.252363415399998</v>
      </c>
      <c r="G1090" s="22">
        <v>44.423019620600002</v>
      </c>
      <c r="H1090" s="21" t="s">
        <v>1449</v>
      </c>
      <c r="I1090" s="21" t="s">
        <v>1982</v>
      </c>
      <c r="J1090" s="21" t="s">
        <v>2129</v>
      </c>
      <c r="K1090" s="24">
        <v>254</v>
      </c>
      <c r="L1090" s="24">
        <v>1524</v>
      </c>
      <c r="M1090" s="23">
        <v>210</v>
      </c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>
        <v>44</v>
      </c>
      <c r="AB1090" s="23"/>
      <c r="AC1090" s="23"/>
      <c r="AD1090" s="23"/>
      <c r="AE1090" s="23"/>
      <c r="AF1090" s="23">
        <v>82</v>
      </c>
      <c r="AG1090" s="23"/>
      <c r="AH1090" s="23"/>
      <c r="AI1090" s="23"/>
      <c r="AJ1090" s="23"/>
      <c r="AK1090" s="23">
        <v>172</v>
      </c>
      <c r="AL1090" s="23"/>
      <c r="AM1090" s="23"/>
      <c r="AN1090" s="23"/>
      <c r="AO1090" s="23">
        <v>141</v>
      </c>
      <c r="AP1090" s="23">
        <v>43</v>
      </c>
      <c r="AQ1090" s="23"/>
      <c r="AR1090" s="23">
        <v>46</v>
      </c>
      <c r="AS1090" s="23">
        <v>21</v>
      </c>
      <c r="AT1090" s="23">
        <v>3</v>
      </c>
      <c r="AU1090" s="14" t="str">
        <f>HYPERLINK("http://www.openstreetmap.org/?mlat=33.2553&amp;mlon=44.4222&amp;zoom=12#map=12/33.2553/44.4222","Maplink1")</f>
        <v>Maplink1</v>
      </c>
      <c r="AV1090" s="14" t="str">
        <f>HYPERLINK("https://www.google.iq/maps/search/+33.2553,44.4222/@33.2553,44.4222,14z?hl=en","Maplink2")</f>
        <v>Maplink2</v>
      </c>
      <c r="AW1090" s="14" t="str">
        <f>HYPERLINK("http://www.bing.com/maps/?lvl=14&amp;sty=h&amp;cp=33.2553~44.4222&amp;sp=point.33.2553_44.4222_Hay al jamiyah-842","Maplink3")</f>
        <v>Maplink3</v>
      </c>
    </row>
    <row r="1091" spans="1:49" ht="15" customHeight="1" x14ac:dyDescent="0.25">
      <c r="A1091" s="21">
        <v>27412</v>
      </c>
      <c r="B1091" s="22" t="s">
        <v>11</v>
      </c>
      <c r="C1091" s="22" t="s">
        <v>1979</v>
      </c>
      <c r="D1091" s="22" t="s">
        <v>7437</v>
      </c>
      <c r="E1091" s="22" t="s">
        <v>7852</v>
      </c>
      <c r="F1091" s="22">
        <v>33.262599356099997</v>
      </c>
      <c r="G1091" s="22">
        <v>44.315493682400003</v>
      </c>
      <c r="H1091" s="21" t="s">
        <v>1449</v>
      </c>
      <c r="I1091" s="21" t="s">
        <v>1982</v>
      </c>
      <c r="J1091" s="21"/>
      <c r="K1091" s="24">
        <v>136</v>
      </c>
      <c r="L1091" s="24">
        <v>816</v>
      </c>
      <c r="M1091" s="23">
        <v>93</v>
      </c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>
        <v>35</v>
      </c>
      <c r="Z1091" s="23"/>
      <c r="AA1091" s="23">
        <v>8</v>
      </c>
      <c r="AB1091" s="23"/>
      <c r="AC1091" s="23"/>
      <c r="AD1091" s="23"/>
      <c r="AE1091" s="23"/>
      <c r="AF1091" s="23">
        <v>37</v>
      </c>
      <c r="AG1091" s="23"/>
      <c r="AH1091" s="23"/>
      <c r="AI1091" s="23"/>
      <c r="AJ1091" s="23"/>
      <c r="AK1091" s="23">
        <v>99</v>
      </c>
      <c r="AL1091" s="23"/>
      <c r="AM1091" s="23"/>
      <c r="AN1091" s="23"/>
      <c r="AO1091" s="23"/>
      <c r="AP1091" s="23"/>
      <c r="AQ1091" s="23">
        <v>27</v>
      </c>
      <c r="AR1091" s="23">
        <v>65</v>
      </c>
      <c r="AS1091" s="23">
        <v>44</v>
      </c>
      <c r="AT1091" s="23"/>
      <c r="AU1091" s="14" t="str">
        <f>HYPERLINK("http://www.openstreetmap.org/?mlat=33.2729&amp;mlon=44.2994&amp;zoom=12#map=12/33.2729/44.2994","Maplink1")</f>
        <v>Maplink1</v>
      </c>
      <c r="AV1091" s="14" t="str">
        <f>HYPERLINK("https://www.google.iq/maps/search/+33.2729,44.2994/@33.2729,44.2994,14z?hl=en","Maplink2")</f>
        <v>Maplink2</v>
      </c>
      <c r="AW1091" s="14" t="str">
        <f>HYPERLINK("http://www.bing.com/maps/?lvl=14&amp;sty=h&amp;cp=33.2729~44.2994&amp;sp=point.33.2729_44.2994_Hay Al Jehad - 879","Maplink3")</f>
        <v>Maplink3</v>
      </c>
    </row>
    <row r="1092" spans="1:49" ht="15" customHeight="1" x14ac:dyDescent="0.25">
      <c r="A1092" s="21">
        <v>26100</v>
      </c>
      <c r="B1092" s="22" t="s">
        <v>11</v>
      </c>
      <c r="C1092" s="22" t="s">
        <v>1979</v>
      </c>
      <c r="D1092" s="22" t="s">
        <v>2130</v>
      </c>
      <c r="E1092" s="22" t="s">
        <v>7853</v>
      </c>
      <c r="F1092" s="22">
        <v>33.278820000000003</v>
      </c>
      <c r="G1092" s="22">
        <v>44.29157</v>
      </c>
      <c r="H1092" s="21" t="s">
        <v>1449</v>
      </c>
      <c r="I1092" s="21" t="s">
        <v>1982</v>
      </c>
      <c r="J1092" s="21"/>
      <c r="K1092" s="24">
        <v>134</v>
      </c>
      <c r="L1092" s="24">
        <v>804</v>
      </c>
      <c r="M1092" s="23">
        <v>87</v>
      </c>
      <c r="N1092" s="23"/>
      <c r="O1092" s="23"/>
      <c r="P1092" s="23"/>
      <c r="Q1092" s="23"/>
      <c r="R1092" s="23">
        <v>20</v>
      </c>
      <c r="S1092" s="23"/>
      <c r="T1092" s="23"/>
      <c r="U1092" s="23"/>
      <c r="V1092" s="23"/>
      <c r="W1092" s="23"/>
      <c r="X1092" s="23"/>
      <c r="Y1092" s="23">
        <v>27</v>
      </c>
      <c r="Z1092" s="23"/>
      <c r="AA1092" s="23"/>
      <c r="AB1092" s="23"/>
      <c r="AC1092" s="23"/>
      <c r="AD1092" s="23"/>
      <c r="AE1092" s="23"/>
      <c r="AF1092" s="23">
        <v>47</v>
      </c>
      <c r="AG1092" s="23"/>
      <c r="AH1092" s="23"/>
      <c r="AI1092" s="23"/>
      <c r="AJ1092" s="23"/>
      <c r="AK1092" s="23">
        <v>87</v>
      </c>
      <c r="AL1092" s="23"/>
      <c r="AM1092" s="23"/>
      <c r="AN1092" s="23"/>
      <c r="AO1092" s="23">
        <v>60</v>
      </c>
      <c r="AP1092" s="23"/>
      <c r="AQ1092" s="23">
        <v>54</v>
      </c>
      <c r="AR1092" s="23"/>
      <c r="AS1092" s="23">
        <v>18</v>
      </c>
      <c r="AT1092" s="23">
        <v>2</v>
      </c>
      <c r="AU1092" s="14" t="str">
        <f>HYPERLINK("http://www.openstreetmap.org/?mlat=33.2723&amp;mlon=44.2994&amp;zoom=12#map=12/33.2723/44.2994","Maplink1")</f>
        <v>Maplink1</v>
      </c>
      <c r="AV1092" s="14" t="str">
        <f>HYPERLINK("https://www.google.iq/maps/search/+33.2723,44.2994/@33.2723,44.2994,14z?hl=en","Maplink2")</f>
        <v>Maplink2</v>
      </c>
      <c r="AW1092" s="14" t="str">
        <f>HYPERLINK("http://www.bing.com/maps/?lvl=14&amp;sty=h&amp;cp=33.2723~44.2994&amp;sp=point.33.2723_44.2994_Hay Al Jehad-881","Maplink3")</f>
        <v>Maplink3</v>
      </c>
    </row>
    <row r="1093" spans="1:49" ht="15" customHeight="1" x14ac:dyDescent="0.25">
      <c r="A1093" s="21">
        <v>21989</v>
      </c>
      <c r="B1093" s="22" t="s">
        <v>11</v>
      </c>
      <c r="C1093" s="22" t="s">
        <v>1979</v>
      </c>
      <c r="D1093" s="22" t="s">
        <v>2131</v>
      </c>
      <c r="E1093" s="22" t="s">
        <v>2132</v>
      </c>
      <c r="F1093" s="22">
        <v>33.266422544299999</v>
      </c>
      <c r="G1093" s="22">
        <v>44.298121154199997</v>
      </c>
      <c r="H1093" s="21" t="s">
        <v>1449</v>
      </c>
      <c r="I1093" s="21" t="s">
        <v>1982</v>
      </c>
      <c r="J1093" s="21" t="s">
        <v>2133</v>
      </c>
      <c r="K1093" s="24">
        <v>116</v>
      </c>
      <c r="L1093" s="24">
        <v>696</v>
      </c>
      <c r="M1093" s="23">
        <v>42</v>
      </c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>
        <v>26</v>
      </c>
      <c r="Z1093" s="23"/>
      <c r="AA1093" s="23">
        <v>48</v>
      </c>
      <c r="AB1093" s="23"/>
      <c r="AC1093" s="23"/>
      <c r="AD1093" s="23"/>
      <c r="AE1093" s="23"/>
      <c r="AF1093" s="23">
        <v>46</v>
      </c>
      <c r="AG1093" s="23"/>
      <c r="AH1093" s="23"/>
      <c r="AI1093" s="23"/>
      <c r="AJ1093" s="23"/>
      <c r="AK1093" s="23">
        <v>70</v>
      </c>
      <c r="AL1093" s="23"/>
      <c r="AM1093" s="23"/>
      <c r="AN1093" s="23"/>
      <c r="AO1093" s="23">
        <v>18</v>
      </c>
      <c r="AP1093" s="23"/>
      <c r="AQ1093" s="23">
        <v>26</v>
      </c>
      <c r="AR1093" s="23">
        <v>58</v>
      </c>
      <c r="AS1093" s="23">
        <v>14</v>
      </c>
      <c r="AT1093" s="23"/>
      <c r="AU1093" s="14" t="str">
        <f>HYPERLINK("http://www.openstreetmap.org/?mlat=33.2729&amp;mlon=44.2994&amp;zoom=12#map=12/33.2729/44.2994","Maplink1")</f>
        <v>Maplink1</v>
      </c>
      <c r="AV1093" s="14" t="str">
        <f>HYPERLINK("https://www.google.iq/maps/search/+33.2729,44.2994/@33.2729,44.2994,14z?hl=en","Maplink2")</f>
        <v>Maplink2</v>
      </c>
      <c r="AW1093" s="14" t="str">
        <f>HYPERLINK("http://www.bing.com/maps/?lvl=14&amp;sty=h&amp;cp=33.2729~44.2994&amp;sp=point.33.2729_44.2994_Hay Al Jehad-883","Maplink3")</f>
        <v>Maplink3</v>
      </c>
    </row>
    <row r="1094" spans="1:49" ht="15" customHeight="1" x14ac:dyDescent="0.25">
      <c r="A1094" s="21">
        <v>26101</v>
      </c>
      <c r="B1094" s="22" t="s">
        <v>11</v>
      </c>
      <c r="C1094" s="22" t="s">
        <v>1979</v>
      </c>
      <c r="D1094" s="22" t="s">
        <v>2134</v>
      </c>
      <c r="E1094" s="22" t="s">
        <v>7854</v>
      </c>
      <c r="F1094" s="22">
        <v>33.2642816858</v>
      </c>
      <c r="G1094" s="22">
        <v>44.307085665700001</v>
      </c>
      <c r="H1094" s="21" t="s">
        <v>1449</v>
      </c>
      <c r="I1094" s="21" t="s">
        <v>1982</v>
      </c>
      <c r="J1094" s="21"/>
      <c r="K1094" s="24">
        <v>134</v>
      </c>
      <c r="L1094" s="24">
        <v>804</v>
      </c>
      <c r="M1094" s="23">
        <v>95</v>
      </c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>
        <v>21</v>
      </c>
      <c r="Z1094" s="23"/>
      <c r="AA1094" s="23">
        <v>18</v>
      </c>
      <c r="AB1094" s="23"/>
      <c r="AC1094" s="23"/>
      <c r="AD1094" s="23"/>
      <c r="AE1094" s="23"/>
      <c r="AF1094" s="23">
        <v>35</v>
      </c>
      <c r="AG1094" s="23"/>
      <c r="AH1094" s="23"/>
      <c r="AI1094" s="23"/>
      <c r="AJ1094" s="23"/>
      <c r="AK1094" s="23">
        <v>99</v>
      </c>
      <c r="AL1094" s="23"/>
      <c r="AM1094" s="23"/>
      <c r="AN1094" s="23"/>
      <c r="AO1094" s="23">
        <v>19</v>
      </c>
      <c r="AP1094" s="23"/>
      <c r="AQ1094" s="23">
        <v>22</v>
      </c>
      <c r="AR1094" s="23">
        <v>44</v>
      </c>
      <c r="AS1094" s="23">
        <v>44</v>
      </c>
      <c r="AT1094" s="23">
        <v>5</v>
      </c>
      <c r="AU1094" s="14" t="str">
        <f>HYPERLINK("http://www.openstreetmap.org/?mlat=33.2722&amp;mlon=44.2999&amp;zoom=12#map=12/33.2722/44.2999","Maplink1")</f>
        <v>Maplink1</v>
      </c>
      <c r="AV1094" s="14" t="str">
        <f>HYPERLINK("https://www.google.iq/maps/search/+33.2722,44.2999/@33.2722,44.2999,14z?hl=en","Maplink2")</f>
        <v>Maplink2</v>
      </c>
      <c r="AW1094" s="14" t="str">
        <f>HYPERLINK("http://www.bing.com/maps/?lvl=14&amp;sty=h&amp;cp=33.2722~44.2999&amp;sp=point.33.2722_44.2999_Hay Al Jehad-887","Maplink3")</f>
        <v>Maplink3</v>
      </c>
    </row>
    <row r="1095" spans="1:49" ht="15" customHeight="1" x14ac:dyDescent="0.25">
      <c r="A1095" s="21">
        <v>27411</v>
      </c>
      <c r="B1095" s="22" t="s">
        <v>11</v>
      </c>
      <c r="C1095" s="22" t="s">
        <v>1979</v>
      </c>
      <c r="D1095" s="22" t="s">
        <v>7438</v>
      </c>
      <c r="E1095" s="22" t="s">
        <v>7855</v>
      </c>
      <c r="F1095" s="22">
        <v>33.279600000000002</v>
      </c>
      <c r="G1095" s="22">
        <v>44.290399999999998</v>
      </c>
      <c r="H1095" s="21" t="s">
        <v>1449</v>
      </c>
      <c r="I1095" s="21" t="s">
        <v>1982</v>
      </c>
      <c r="J1095" s="21"/>
      <c r="K1095" s="24">
        <v>66</v>
      </c>
      <c r="L1095" s="24">
        <v>396</v>
      </c>
      <c r="M1095" s="23">
        <v>46</v>
      </c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>
        <v>12</v>
      </c>
      <c r="Z1095" s="23"/>
      <c r="AA1095" s="23">
        <v>8</v>
      </c>
      <c r="AB1095" s="23"/>
      <c r="AC1095" s="23"/>
      <c r="AD1095" s="23"/>
      <c r="AE1095" s="23"/>
      <c r="AF1095" s="23">
        <v>29</v>
      </c>
      <c r="AG1095" s="23"/>
      <c r="AH1095" s="23"/>
      <c r="AI1095" s="23"/>
      <c r="AJ1095" s="23"/>
      <c r="AK1095" s="23">
        <v>37</v>
      </c>
      <c r="AL1095" s="23"/>
      <c r="AM1095" s="23"/>
      <c r="AN1095" s="23"/>
      <c r="AO1095" s="23"/>
      <c r="AP1095" s="23"/>
      <c r="AQ1095" s="23">
        <v>12</v>
      </c>
      <c r="AR1095" s="23">
        <v>20</v>
      </c>
      <c r="AS1095" s="23">
        <v>34</v>
      </c>
      <c r="AT1095" s="23"/>
      <c r="AU1095" s="14" t="str">
        <f>HYPERLINK("http://www.openstreetmap.org/?mlat=33.2725&amp;mlon=44.2997&amp;zoom=12#map=12/33.2725/44.2997","Maplink1")</f>
        <v>Maplink1</v>
      </c>
      <c r="AV1095" s="14" t="str">
        <f>HYPERLINK("https://www.google.iq/maps/search/+33.2725,44.2997/@33.2725,44.2997,14z?hl=en","Maplink2")</f>
        <v>Maplink2</v>
      </c>
      <c r="AW1095" s="14" t="str">
        <f>HYPERLINK("http://www.bing.com/maps/?lvl=14&amp;sty=h&amp;cp=33.2725~44.2997&amp;sp=point.33.2725_44.2997_Hay Al Jehad - 891","Maplink3")</f>
        <v>Maplink3</v>
      </c>
    </row>
    <row r="1096" spans="1:49" ht="15" customHeight="1" x14ac:dyDescent="0.25">
      <c r="A1096" s="21">
        <v>7583</v>
      </c>
      <c r="B1096" s="22" t="s">
        <v>11</v>
      </c>
      <c r="C1096" s="22" t="s">
        <v>1979</v>
      </c>
      <c r="D1096" s="22" t="s">
        <v>2136</v>
      </c>
      <c r="E1096" s="22" t="s">
        <v>2137</v>
      </c>
      <c r="F1096" s="22">
        <v>33.192003194599998</v>
      </c>
      <c r="G1096" s="22">
        <v>44.413720003400002</v>
      </c>
      <c r="H1096" s="21" t="s">
        <v>1449</v>
      </c>
      <c r="I1096" s="21" t="s">
        <v>1982</v>
      </c>
      <c r="J1096" s="21" t="s">
        <v>2138</v>
      </c>
      <c r="K1096" s="24">
        <v>151</v>
      </c>
      <c r="L1096" s="24">
        <v>906</v>
      </c>
      <c r="M1096" s="23">
        <v>139</v>
      </c>
      <c r="N1096" s="23"/>
      <c r="O1096" s="23">
        <v>12</v>
      </c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>
        <v>78</v>
      </c>
      <c r="AG1096" s="23"/>
      <c r="AH1096" s="23"/>
      <c r="AI1096" s="23"/>
      <c r="AJ1096" s="23"/>
      <c r="AK1096" s="23">
        <v>29</v>
      </c>
      <c r="AL1096" s="23"/>
      <c r="AM1096" s="23">
        <v>44</v>
      </c>
      <c r="AN1096" s="23"/>
      <c r="AO1096" s="23"/>
      <c r="AP1096" s="23">
        <v>77</v>
      </c>
      <c r="AQ1096" s="23"/>
      <c r="AR1096" s="23">
        <v>19</v>
      </c>
      <c r="AS1096" s="23">
        <v>33</v>
      </c>
      <c r="AT1096" s="23">
        <v>22</v>
      </c>
      <c r="AU1096" s="14" t="str">
        <f>HYPERLINK("http://www.openstreetmap.org/?mlat=33.192&amp;mlon=44.4094&amp;zoom=12#map=12/33.192/44.4094","Maplink1")</f>
        <v>Maplink1</v>
      </c>
      <c r="AV1096" s="14" t="str">
        <f>HYPERLINK("https://www.google.iq/maps/search/+33.192,44.4094/@33.192,44.4094,14z?hl=en","Maplink2")</f>
        <v>Maplink2</v>
      </c>
      <c r="AW1096" s="14" t="str">
        <f>HYPERLINK("http://www.bing.com/maps/?lvl=14&amp;sty=h&amp;cp=33.192~44.4094&amp;sp=point.33.192_44.4094_Hoor Rajab","Maplink3")</f>
        <v>Maplink3</v>
      </c>
    </row>
    <row r="1097" spans="1:49" ht="15" customHeight="1" x14ac:dyDescent="0.25">
      <c r="A1097" s="21">
        <v>25774</v>
      </c>
      <c r="B1097" s="22" t="s">
        <v>11</v>
      </c>
      <c r="C1097" s="22" t="s">
        <v>1979</v>
      </c>
      <c r="D1097" s="22" t="s">
        <v>8540</v>
      </c>
      <c r="E1097" s="22" t="s">
        <v>2093</v>
      </c>
      <c r="F1097" s="22">
        <v>33.317383448599998</v>
      </c>
      <c r="G1097" s="22">
        <v>44.291053181499997</v>
      </c>
      <c r="H1097" s="21" t="s">
        <v>1449</v>
      </c>
      <c r="I1097" s="21" t="s">
        <v>1982</v>
      </c>
      <c r="J1097" s="21"/>
      <c r="K1097" s="24">
        <v>120</v>
      </c>
      <c r="L1097" s="24">
        <v>720</v>
      </c>
      <c r="M1097" s="23">
        <v>120</v>
      </c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>
        <v>120</v>
      </c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23"/>
      <c r="AS1097" s="23">
        <v>113</v>
      </c>
      <c r="AT1097" s="23">
        <v>7</v>
      </c>
      <c r="AU1097" s="14" t="str">
        <f>HYPERLINK("http://www.openstreetmap.org/?mlat=33.3176&amp;mlon=44.2908&amp;zoom=12#map=12/33.3176/44.2908","Maplink1")</f>
        <v>Maplink1</v>
      </c>
      <c r="AV1097" s="14" t="str">
        <f>HYPERLINK("https://www.google.iq/maps/search/+33.3176,44.2908/@33.3176,44.2908,14z?hl=en","Maplink2")</f>
        <v>Maplink2</v>
      </c>
      <c r="AW1097" s="14" t="str">
        <f>HYPERLINK("http://www.bing.com/maps/?lvl=14&amp;sty=h&amp;cp=33.3176~44.2908&amp;sp=point.33.3176_44.2908_Al-Mansour-Al Khadraa Camp","Maplink3")</f>
        <v>Maplink3</v>
      </c>
    </row>
    <row r="1098" spans="1:49" ht="15" customHeight="1" x14ac:dyDescent="0.25">
      <c r="A1098" s="21">
        <v>21784</v>
      </c>
      <c r="B1098" s="22" t="s">
        <v>11</v>
      </c>
      <c r="C1098" s="22" t="s">
        <v>1979</v>
      </c>
      <c r="D1098" s="22" t="s">
        <v>8541</v>
      </c>
      <c r="E1098" s="22" t="s">
        <v>8542</v>
      </c>
      <c r="F1098" s="22">
        <v>33.3341123513</v>
      </c>
      <c r="G1098" s="22">
        <v>44.3758008979</v>
      </c>
      <c r="H1098" s="21" t="s">
        <v>1449</v>
      </c>
      <c r="I1098" s="21" t="s">
        <v>1982</v>
      </c>
      <c r="J1098" s="21" t="s">
        <v>2144</v>
      </c>
      <c r="K1098" s="24">
        <v>212</v>
      </c>
      <c r="L1098" s="24">
        <v>1272</v>
      </c>
      <c r="M1098" s="23">
        <v>121</v>
      </c>
      <c r="N1098" s="23"/>
      <c r="O1098" s="23"/>
      <c r="P1098" s="23"/>
      <c r="Q1098" s="23"/>
      <c r="R1098" s="23">
        <v>12</v>
      </c>
      <c r="S1098" s="23"/>
      <c r="T1098" s="23"/>
      <c r="U1098" s="23"/>
      <c r="V1098" s="23"/>
      <c r="W1098" s="23"/>
      <c r="X1098" s="23"/>
      <c r="Y1098" s="23">
        <v>40</v>
      </c>
      <c r="Z1098" s="23"/>
      <c r="AA1098" s="23">
        <v>39</v>
      </c>
      <c r="AB1098" s="23"/>
      <c r="AC1098" s="23"/>
      <c r="AD1098" s="23"/>
      <c r="AE1098" s="23"/>
      <c r="AF1098" s="23">
        <v>44</v>
      </c>
      <c r="AG1098" s="23"/>
      <c r="AH1098" s="23"/>
      <c r="AI1098" s="23"/>
      <c r="AJ1098" s="23">
        <v>8</v>
      </c>
      <c r="AK1098" s="23">
        <v>148</v>
      </c>
      <c r="AL1098" s="23"/>
      <c r="AM1098" s="23">
        <v>12</v>
      </c>
      <c r="AN1098" s="23"/>
      <c r="AO1098" s="23">
        <v>23</v>
      </c>
      <c r="AP1098" s="23">
        <v>25</v>
      </c>
      <c r="AQ1098" s="23">
        <v>67</v>
      </c>
      <c r="AR1098" s="23">
        <v>85</v>
      </c>
      <c r="AS1098" s="23">
        <v>12</v>
      </c>
      <c r="AT1098" s="23"/>
      <c r="AU1098" s="14" t="str">
        <f>HYPERLINK("http://www.openstreetmap.org/?mlat=33.3341&amp;mlon=44.3743&amp;zoom=12#map=12/33.3341/44.3743","Maplink1")</f>
        <v>Maplink1</v>
      </c>
      <c r="AV1098" s="14" t="str">
        <f>HYPERLINK("https://www.google.iq/maps/search/+33.3341,44.3743/@33.3341,44.3743,14z?hl=en","Maplink2")</f>
        <v>Maplink2</v>
      </c>
      <c r="AW1098" s="14" t="str">
        <f>HYPERLINK("http://www.bing.com/maps/?lvl=14&amp;sty=h&amp;cp=33.3341~44.3743&amp;sp=point.33.3341_44.3743_Shikh Maroof - Mahalla 210","Maplink3")</f>
        <v>Maplink3</v>
      </c>
    </row>
    <row r="1099" spans="1:49" ht="15" customHeight="1" x14ac:dyDescent="0.25">
      <c r="A1099" s="21">
        <v>24069</v>
      </c>
      <c r="B1099" s="22" t="s">
        <v>11</v>
      </c>
      <c r="C1099" s="22" t="s">
        <v>1979</v>
      </c>
      <c r="D1099" s="22" t="s">
        <v>2141</v>
      </c>
      <c r="E1099" s="22" t="s">
        <v>7860</v>
      </c>
      <c r="F1099" s="22">
        <v>33.336689999999997</v>
      </c>
      <c r="G1099" s="22">
        <v>44.376950000000001</v>
      </c>
      <c r="H1099" s="21" t="s">
        <v>1449</v>
      </c>
      <c r="I1099" s="21" t="s">
        <v>1982</v>
      </c>
      <c r="J1099" s="21" t="s">
        <v>2142</v>
      </c>
      <c r="K1099" s="24">
        <v>32</v>
      </c>
      <c r="L1099" s="24">
        <v>192</v>
      </c>
      <c r="M1099" s="23">
        <v>30</v>
      </c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>
        <v>2</v>
      </c>
      <c r="AB1099" s="23"/>
      <c r="AC1099" s="23"/>
      <c r="AD1099" s="23"/>
      <c r="AE1099" s="23"/>
      <c r="AF1099" s="23">
        <v>15</v>
      </c>
      <c r="AG1099" s="23"/>
      <c r="AH1099" s="23"/>
      <c r="AI1099" s="23"/>
      <c r="AJ1099" s="23"/>
      <c r="AK1099" s="23">
        <v>17</v>
      </c>
      <c r="AL1099" s="23"/>
      <c r="AM1099" s="23"/>
      <c r="AN1099" s="23"/>
      <c r="AO1099" s="23"/>
      <c r="AP1099" s="23">
        <v>5</v>
      </c>
      <c r="AQ1099" s="23"/>
      <c r="AR1099" s="23">
        <v>19</v>
      </c>
      <c r="AS1099" s="23">
        <v>8</v>
      </c>
      <c r="AT1099" s="23"/>
      <c r="AU1099" s="14" t="str">
        <f>HYPERLINK("http://www.openstreetmap.org/?mlat=33.3341&amp;mlon=44.3756&amp;zoom=12#map=12/33.3341/44.3756","Maplink1")</f>
        <v>Maplink1</v>
      </c>
      <c r="AV1099" s="14" t="str">
        <f>HYPERLINK("https://www.google.iq/maps/search/+33.3341,44.3756/@33.3341,44.3756,14z?hl=en","Maplink2")</f>
        <v>Maplink2</v>
      </c>
      <c r="AW1099" s="14" t="str">
        <f>HYPERLINK("http://www.bing.com/maps/?lvl=14&amp;sty=h&amp;cp=33.3341~44.3756&amp;sp=point.33.3341_44.3756_Sheikh Maaroof-204","Maplink3")</f>
        <v>Maplink3</v>
      </c>
    </row>
    <row r="1100" spans="1:49" ht="15" customHeight="1" x14ac:dyDescent="0.25">
      <c r="A1100" s="21">
        <v>27193</v>
      </c>
      <c r="B1100" s="22" t="s">
        <v>11</v>
      </c>
      <c r="C1100" s="22" t="s">
        <v>1979</v>
      </c>
      <c r="D1100" s="22" t="s">
        <v>7439</v>
      </c>
      <c r="E1100" s="22" t="s">
        <v>7861</v>
      </c>
      <c r="F1100" s="22">
        <v>33.338120000000004</v>
      </c>
      <c r="G1100" s="22">
        <v>44.377380000000002</v>
      </c>
      <c r="H1100" s="21"/>
      <c r="I1100" s="21"/>
      <c r="J1100" s="21"/>
      <c r="K1100" s="24">
        <v>69</v>
      </c>
      <c r="L1100" s="24">
        <v>414</v>
      </c>
      <c r="M1100" s="23">
        <v>32</v>
      </c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>
        <v>19</v>
      </c>
      <c r="Z1100" s="23"/>
      <c r="AA1100" s="23">
        <v>18</v>
      </c>
      <c r="AB1100" s="23"/>
      <c r="AC1100" s="23"/>
      <c r="AD1100" s="23"/>
      <c r="AE1100" s="23"/>
      <c r="AF1100" s="23">
        <v>29</v>
      </c>
      <c r="AG1100" s="23"/>
      <c r="AH1100" s="23"/>
      <c r="AI1100" s="23"/>
      <c r="AJ1100" s="23"/>
      <c r="AK1100" s="23">
        <v>40</v>
      </c>
      <c r="AL1100" s="23"/>
      <c r="AM1100" s="23"/>
      <c r="AN1100" s="23"/>
      <c r="AO1100" s="23">
        <v>7</v>
      </c>
      <c r="AP1100" s="23">
        <v>19</v>
      </c>
      <c r="AQ1100" s="23"/>
      <c r="AR1100" s="23">
        <v>14</v>
      </c>
      <c r="AS1100" s="23">
        <v>29</v>
      </c>
      <c r="AT1100" s="23"/>
      <c r="AU1100" s="14" t="str">
        <f>HYPERLINK("http://www.openstreetmap.org/?mlat=33.3341&amp;mlon=44.3756&amp;zoom=12#map=12/33.3341/44.3756","Maplink1")</f>
        <v>Maplink1</v>
      </c>
      <c r="AV1100" s="14" t="str">
        <f>HYPERLINK("https://www.google.iq/maps/search/+33.3341,44.3756/@33.3341,44.3756,14z?hl=en","Maplink2")</f>
        <v>Maplink2</v>
      </c>
      <c r="AW1100" s="14" t="str">
        <f>HYPERLINK("http://www.bing.com/maps/?lvl=14&amp;sty=h&amp;cp=33.3341~44.3756&amp;sp=point.33.3341_44.3756_Sheikh Maaroof - 206","Maplink3")</f>
        <v>Maplink3</v>
      </c>
    </row>
    <row r="1101" spans="1:49" ht="15" customHeight="1" x14ac:dyDescent="0.25">
      <c r="A1101" s="21">
        <v>25991</v>
      </c>
      <c r="B1101" s="22" t="s">
        <v>11</v>
      </c>
      <c r="C1101" s="22" t="s">
        <v>1979</v>
      </c>
      <c r="D1101" s="22" t="s">
        <v>2143</v>
      </c>
      <c r="E1101" s="22" t="s">
        <v>7862</v>
      </c>
      <c r="F1101" s="22">
        <v>33.337699298899999</v>
      </c>
      <c r="G1101" s="22">
        <v>44.372665861599998</v>
      </c>
      <c r="H1101" s="21" t="s">
        <v>1449</v>
      </c>
      <c r="I1101" s="21" t="s">
        <v>1982</v>
      </c>
      <c r="J1101" s="21"/>
      <c r="K1101" s="24">
        <v>59</v>
      </c>
      <c r="L1101" s="24">
        <v>354</v>
      </c>
      <c r="M1101" s="23">
        <v>38</v>
      </c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>
        <v>12</v>
      </c>
      <c r="Z1101" s="23"/>
      <c r="AA1101" s="23">
        <v>9</v>
      </c>
      <c r="AB1101" s="23"/>
      <c r="AC1101" s="23"/>
      <c r="AD1101" s="23"/>
      <c r="AE1101" s="23"/>
      <c r="AF1101" s="23">
        <v>16</v>
      </c>
      <c r="AG1101" s="23"/>
      <c r="AH1101" s="23"/>
      <c r="AI1101" s="23"/>
      <c r="AJ1101" s="23"/>
      <c r="AK1101" s="23">
        <v>35</v>
      </c>
      <c r="AL1101" s="23"/>
      <c r="AM1101" s="23">
        <v>8</v>
      </c>
      <c r="AN1101" s="23"/>
      <c r="AO1101" s="23">
        <v>10</v>
      </c>
      <c r="AP1101" s="23">
        <v>12</v>
      </c>
      <c r="AQ1101" s="23"/>
      <c r="AR1101" s="23">
        <v>20</v>
      </c>
      <c r="AS1101" s="23">
        <v>17</v>
      </c>
      <c r="AT1101" s="23"/>
      <c r="AU1101" s="14" t="str">
        <f>HYPERLINK("http://www.openstreetmap.org/?mlat=33.3336&amp;mlon=44.3742&amp;zoom=12#map=12/33.3336/44.3742","Maplink1")</f>
        <v>Maplink1</v>
      </c>
      <c r="AV1101" s="14" t="str">
        <f>HYPERLINK("https://www.google.iq/maps/search/+33.3336,44.3742/@33.3336,44.3742,14z?hl=en","Maplink2")</f>
        <v>Maplink2</v>
      </c>
      <c r="AW1101" s="14" t="str">
        <f>HYPERLINK("http://www.bing.com/maps/?lvl=14&amp;sty=h&amp;cp=33.3336~44.3742&amp;sp=point.33.3336_44.3742_Sheikh Maaroof-208","Maplink3")</f>
        <v>Maplink3</v>
      </c>
    </row>
    <row r="1102" spans="1:49" ht="15" customHeight="1" x14ac:dyDescent="0.25">
      <c r="A1102" s="21">
        <v>27194</v>
      </c>
      <c r="B1102" s="22" t="s">
        <v>11</v>
      </c>
      <c r="C1102" s="22" t="s">
        <v>1979</v>
      </c>
      <c r="D1102" s="22" t="s">
        <v>7440</v>
      </c>
      <c r="E1102" s="22" t="s">
        <v>7863</v>
      </c>
      <c r="F1102" s="22">
        <v>33.333179932</v>
      </c>
      <c r="G1102" s="22">
        <v>44.378134804699997</v>
      </c>
      <c r="H1102" s="21"/>
      <c r="I1102" s="21"/>
      <c r="J1102" s="21"/>
      <c r="K1102" s="24">
        <v>72</v>
      </c>
      <c r="L1102" s="24">
        <v>432</v>
      </c>
      <c r="M1102" s="23">
        <v>50</v>
      </c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>
        <v>19</v>
      </c>
      <c r="Z1102" s="23"/>
      <c r="AA1102" s="23">
        <v>3</v>
      </c>
      <c r="AB1102" s="23"/>
      <c r="AC1102" s="23"/>
      <c r="AD1102" s="23"/>
      <c r="AE1102" s="23"/>
      <c r="AF1102" s="23">
        <v>22</v>
      </c>
      <c r="AG1102" s="23"/>
      <c r="AH1102" s="23"/>
      <c r="AI1102" s="23"/>
      <c r="AJ1102" s="23"/>
      <c r="AK1102" s="23">
        <v>50</v>
      </c>
      <c r="AL1102" s="23"/>
      <c r="AM1102" s="23"/>
      <c r="AN1102" s="23"/>
      <c r="AO1102" s="23"/>
      <c r="AP1102" s="23">
        <v>19</v>
      </c>
      <c r="AQ1102" s="23"/>
      <c r="AR1102" s="23">
        <v>32</v>
      </c>
      <c r="AS1102" s="23">
        <v>21</v>
      </c>
      <c r="AT1102" s="23"/>
      <c r="AU1102" s="14" t="str">
        <f>HYPERLINK("http://www.openstreetmap.org/?mlat=33.3341&amp;mlon=44.3743&amp;zoom=12#map=12/33.3341/44.3743","Maplink1")</f>
        <v>Maplink1</v>
      </c>
      <c r="AV1102" s="14" t="str">
        <f>HYPERLINK("https://www.google.iq/maps/search/+33.3341,44.3743/@33.3341,44.3743,14z?hl=en","Maplink2")</f>
        <v>Maplink2</v>
      </c>
      <c r="AW1102" s="14" t="str">
        <f>HYPERLINK("http://www.bing.com/maps/?lvl=14&amp;sty=h&amp;cp=33.3341~44.3743&amp;sp=point.33.3341_44.3743_Sheikh Maaroof - 214","Maplink3")</f>
        <v>Maplink3</v>
      </c>
    </row>
    <row r="1103" spans="1:49" ht="15" customHeight="1" x14ac:dyDescent="0.25">
      <c r="A1103" s="21">
        <v>24068</v>
      </c>
      <c r="B1103" s="22" t="s">
        <v>11</v>
      </c>
      <c r="C1103" s="22" t="s">
        <v>1979</v>
      </c>
      <c r="D1103" s="22" t="s">
        <v>1965</v>
      </c>
      <c r="E1103" s="22" t="s">
        <v>1966</v>
      </c>
      <c r="F1103" s="22">
        <v>33.341643563700003</v>
      </c>
      <c r="G1103" s="22">
        <v>44.357072339399998</v>
      </c>
      <c r="H1103" s="21" t="s">
        <v>1449</v>
      </c>
      <c r="I1103" s="21" t="s">
        <v>1872</v>
      </c>
      <c r="J1103" s="21" t="s">
        <v>1967</v>
      </c>
      <c r="K1103" s="24">
        <v>41</v>
      </c>
      <c r="L1103" s="24">
        <v>246</v>
      </c>
      <c r="M1103" s="23">
        <v>20</v>
      </c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>
        <v>13</v>
      </c>
      <c r="Z1103" s="23"/>
      <c r="AA1103" s="23">
        <v>8</v>
      </c>
      <c r="AB1103" s="23"/>
      <c r="AC1103" s="23"/>
      <c r="AD1103" s="23"/>
      <c r="AE1103" s="23"/>
      <c r="AF1103" s="23">
        <v>18</v>
      </c>
      <c r="AG1103" s="23"/>
      <c r="AH1103" s="23"/>
      <c r="AI1103" s="23"/>
      <c r="AJ1103" s="23"/>
      <c r="AK1103" s="23">
        <v>23</v>
      </c>
      <c r="AL1103" s="23"/>
      <c r="AM1103" s="23"/>
      <c r="AN1103" s="23"/>
      <c r="AO1103" s="23">
        <v>5</v>
      </c>
      <c r="AP1103" s="23">
        <v>13</v>
      </c>
      <c r="AQ1103" s="23"/>
      <c r="AR1103" s="23">
        <v>6</v>
      </c>
      <c r="AS1103" s="23">
        <v>17</v>
      </c>
      <c r="AT1103" s="23"/>
      <c r="AU1103" s="14" t="str">
        <f>HYPERLINK("http://www.openstreetmap.org/?mlat=33.3335&amp;mlon=44.352&amp;zoom=12#map=12/33.3335/44.352","Maplink1")</f>
        <v>Maplink1</v>
      </c>
      <c r="AV1103" s="14" t="str">
        <f>HYPERLINK("https://www.google.iq/maps/search/+33.3335,44.352/@33.3335,44.352,14z?hl=en","Maplink2")</f>
        <v>Maplink2</v>
      </c>
      <c r="AW1103" s="14" t="str">
        <f>HYPERLINK("http://www.bing.com/maps/?lvl=14&amp;sty=h&amp;cp=33.3335~44.352&amp;sp=point.33.3335_44.352_Shekh Junid-202","Maplink3")</f>
        <v>Maplink3</v>
      </c>
    </row>
    <row r="1104" spans="1:49" ht="15" customHeight="1" x14ac:dyDescent="0.25">
      <c r="A1104" s="21">
        <v>24075</v>
      </c>
      <c r="B1104" s="22" t="s">
        <v>11</v>
      </c>
      <c r="C1104" s="22" t="s">
        <v>1979</v>
      </c>
      <c r="D1104" s="22" t="s">
        <v>2145</v>
      </c>
      <c r="E1104" s="22" t="s">
        <v>7864</v>
      </c>
      <c r="F1104" s="22">
        <v>33.250928816299997</v>
      </c>
      <c r="G1104" s="22">
        <v>44.401896876999999</v>
      </c>
      <c r="H1104" s="21" t="s">
        <v>1449</v>
      </c>
      <c r="I1104" s="21" t="s">
        <v>1982</v>
      </c>
      <c r="J1104" s="21" t="s">
        <v>2146</v>
      </c>
      <c r="K1104" s="24">
        <v>302</v>
      </c>
      <c r="L1104" s="24">
        <v>1812</v>
      </c>
      <c r="M1104" s="23">
        <v>238</v>
      </c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>
        <v>50</v>
      </c>
      <c r="Z1104" s="23"/>
      <c r="AA1104" s="23">
        <v>14</v>
      </c>
      <c r="AB1104" s="23"/>
      <c r="AC1104" s="23"/>
      <c r="AD1104" s="23"/>
      <c r="AE1104" s="23"/>
      <c r="AF1104" s="23">
        <v>57</v>
      </c>
      <c r="AG1104" s="23"/>
      <c r="AH1104" s="23"/>
      <c r="AI1104" s="23"/>
      <c r="AJ1104" s="23"/>
      <c r="AK1104" s="23">
        <v>245</v>
      </c>
      <c r="AL1104" s="23"/>
      <c r="AM1104" s="23"/>
      <c r="AN1104" s="23"/>
      <c r="AO1104" s="23">
        <v>34</v>
      </c>
      <c r="AP1104" s="23"/>
      <c r="AQ1104" s="23"/>
      <c r="AR1104" s="23">
        <v>66</v>
      </c>
      <c r="AS1104" s="23">
        <v>192</v>
      </c>
      <c r="AT1104" s="23">
        <v>10</v>
      </c>
      <c r="AU1104" s="14" t="str">
        <f>HYPERLINK("http://www.openstreetmap.org/?mlat=33.2406&amp;mlon=44.4102&amp;zoom=12#map=12/33.2406/44.4102","Maplink1")</f>
        <v>Maplink1</v>
      </c>
      <c r="AV1104" s="14" t="str">
        <f>HYPERLINK("https://www.google.iq/maps/search/+33.2406,44.4102/@33.2406,44.4102,14z?hl=en","Maplink2")</f>
        <v>Maplink2</v>
      </c>
      <c r="AW1104" s="14" t="str">
        <f>HYPERLINK("http://www.bing.com/maps/?lvl=14&amp;sty=h&amp;cp=33.2406~44.4102&amp;sp=point.33.2406_44.4102_Shurta Al Masafi-840","Maplink3")</f>
        <v>Maplink3</v>
      </c>
    </row>
    <row r="1105" spans="1:49" ht="15" customHeight="1" x14ac:dyDescent="0.25">
      <c r="A1105" s="21">
        <v>24073</v>
      </c>
      <c r="B1105" s="22" t="s">
        <v>11</v>
      </c>
      <c r="C1105" s="22" t="s">
        <v>1979</v>
      </c>
      <c r="D1105" s="22" t="s">
        <v>8543</v>
      </c>
      <c r="E1105" s="22" t="s">
        <v>8544</v>
      </c>
      <c r="F1105" s="22">
        <v>33.242720419000001</v>
      </c>
      <c r="G1105" s="22">
        <v>44.408460873099997</v>
      </c>
      <c r="H1105" s="21" t="s">
        <v>1449</v>
      </c>
      <c r="I1105" s="21" t="s">
        <v>1982</v>
      </c>
      <c r="J1105" s="21" t="s">
        <v>2074</v>
      </c>
      <c r="K1105" s="24">
        <v>105</v>
      </c>
      <c r="L1105" s="24">
        <v>630</v>
      </c>
      <c r="M1105" s="23">
        <v>21</v>
      </c>
      <c r="N1105" s="23">
        <v>56</v>
      </c>
      <c r="O1105" s="23"/>
      <c r="P1105" s="23"/>
      <c r="Q1105" s="23"/>
      <c r="R1105" s="23">
        <v>20</v>
      </c>
      <c r="S1105" s="23"/>
      <c r="T1105" s="23"/>
      <c r="U1105" s="23"/>
      <c r="V1105" s="23"/>
      <c r="W1105" s="23"/>
      <c r="X1105" s="23"/>
      <c r="Y1105" s="23"/>
      <c r="Z1105" s="23"/>
      <c r="AA1105" s="23">
        <v>8</v>
      </c>
      <c r="AB1105" s="23"/>
      <c r="AC1105" s="23"/>
      <c r="AD1105" s="23"/>
      <c r="AE1105" s="23"/>
      <c r="AF1105" s="23">
        <v>97</v>
      </c>
      <c r="AG1105" s="23"/>
      <c r="AH1105" s="23"/>
      <c r="AI1105" s="23"/>
      <c r="AJ1105" s="23"/>
      <c r="AK1105" s="23">
        <v>8</v>
      </c>
      <c r="AL1105" s="23"/>
      <c r="AM1105" s="23"/>
      <c r="AN1105" s="23"/>
      <c r="AO1105" s="23">
        <v>38</v>
      </c>
      <c r="AP1105" s="23">
        <v>33</v>
      </c>
      <c r="AQ1105" s="23">
        <v>20</v>
      </c>
      <c r="AR1105" s="23">
        <v>14</v>
      </c>
      <c r="AS1105" s="23"/>
      <c r="AT1105" s="23"/>
      <c r="AU1105" s="14" t="str">
        <f>HYPERLINK("http://www.openstreetmap.org/?mlat=33.2521&amp;mlon=44.4019&amp;zoom=12#map=12/33.2521/44.4019","Maplink1")</f>
        <v>Maplink1</v>
      </c>
      <c r="AV1105" s="14" t="str">
        <f>HYPERLINK("https://www.google.iq/maps/search/+33.2521,44.4019/@33.2521,44.4019,14z?hl=en","Maplink2")</f>
        <v>Maplink2</v>
      </c>
      <c r="AW1105" s="14" t="str">
        <f>HYPERLINK("http://www.bing.com/maps/?lvl=14&amp;sty=h&amp;cp=33.2521~44.4019&amp;sp=point.33.2521_44.4019_Al Shurtah-846","Maplink3")</f>
        <v>Maplink3</v>
      </c>
    </row>
    <row r="1106" spans="1:49" ht="15" customHeight="1" x14ac:dyDescent="0.25">
      <c r="A1106" s="21">
        <v>25222</v>
      </c>
      <c r="B1106" s="22" t="s">
        <v>11</v>
      </c>
      <c r="C1106" s="22" t="s">
        <v>1979</v>
      </c>
      <c r="D1106" s="22" t="s">
        <v>2147</v>
      </c>
      <c r="E1106" s="22" t="s">
        <v>8189</v>
      </c>
      <c r="F1106" s="22">
        <v>33.231226385399999</v>
      </c>
      <c r="G1106" s="22">
        <v>44.304362250899999</v>
      </c>
      <c r="H1106" s="21" t="s">
        <v>1449</v>
      </c>
      <c r="I1106" s="21" t="s">
        <v>1982</v>
      </c>
      <c r="J1106" s="21"/>
      <c r="K1106" s="24">
        <v>91</v>
      </c>
      <c r="L1106" s="24">
        <v>546</v>
      </c>
      <c r="M1106" s="23">
        <v>45</v>
      </c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>
        <v>40</v>
      </c>
      <c r="Z1106" s="23"/>
      <c r="AA1106" s="23">
        <v>6</v>
      </c>
      <c r="AB1106" s="23"/>
      <c r="AC1106" s="23"/>
      <c r="AD1106" s="23"/>
      <c r="AE1106" s="23"/>
      <c r="AF1106" s="23">
        <v>29</v>
      </c>
      <c r="AG1106" s="23"/>
      <c r="AH1106" s="23"/>
      <c r="AI1106" s="23"/>
      <c r="AJ1106" s="23"/>
      <c r="AK1106" s="23">
        <v>50</v>
      </c>
      <c r="AL1106" s="23"/>
      <c r="AM1106" s="23">
        <v>12</v>
      </c>
      <c r="AN1106" s="23"/>
      <c r="AO1106" s="23">
        <v>1</v>
      </c>
      <c r="AP1106" s="23">
        <v>39</v>
      </c>
      <c r="AQ1106" s="23"/>
      <c r="AR1106" s="23">
        <v>6</v>
      </c>
      <c r="AS1106" s="23">
        <v>45</v>
      </c>
      <c r="AT1106" s="23"/>
      <c r="AU1106" s="14" t="str">
        <f>HYPERLINK("http://www.openstreetmap.org/?mlat=33.2059&amp;mlon=44.2575&amp;zoom=12#map=12/33.2059/44.2575","Maplink1")</f>
        <v>Maplink1</v>
      </c>
      <c r="AV1106" s="14" t="str">
        <f>HYPERLINK("https://www.google.iq/maps/search/+33.2059,44.2575/@33.2059,44.2575,14z?hl=en","Maplink2")</f>
        <v>Maplink2</v>
      </c>
      <c r="AW1106" s="14" t="str">
        <f>HYPERLINK("http://www.bing.com/maps/?lvl=14&amp;sty=h&amp;cp=33.2059~44.2575&amp;sp=point.33.2059_44.2575_Suwaib-871","Maplink3")</f>
        <v>Maplink3</v>
      </c>
    </row>
    <row r="1107" spans="1:49" ht="15" customHeight="1" x14ac:dyDescent="0.25">
      <c r="A1107" s="21">
        <v>7410</v>
      </c>
      <c r="B1107" s="22" t="s">
        <v>11</v>
      </c>
      <c r="C1107" s="22" t="s">
        <v>1979</v>
      </c>
      <c r="D1107" s="22" t="s">
        <v>2148</v>
      </c>
      <c r="E1107" s="22" t="s">
        <v>2149</v>
      </c>
      <c r="F1107" s="22">
        <v>33.199698227799999</v>
      </c>
      <c r="G1107" s="22">
        <v>44.3851747378</v>
      </c>
      <c r="H1107" s="21" t="s">
        <v>1449</v>
      </c>
      <c r="I1107" s="21" t="s">
        <v>1982</v>
      </c>
      <c r="J1107" s="21" t="s">
        <v>2150</v>
      </c>
      <c r="K1107" s="24">
        <v>237</v>
      </c>
      <c r="L1107" s="24">
        <v>1422</v>
      </c>
      <c r="M1107" s="23">
        <v>221</v>
      </c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>
        <v>16</v>
      </c>
      <c r="AB1107" s="23"/>
      <c r="AC1107" s="23"/>
      <c r="AD1107" s="23"/>
      <c r="AE1107" s="23"/>
      <c r="AF1107" s="23">
        <v>150</v>
      </c>
      <c r="AG1107" s="23"/>
      <c r="AH1107" s="23"/>
      <c r="AI1107" s="23"/>
      <c r="AJ1107" s="23"/>
      <c r="AK1107" s="23">
        <v>46</v>
      </c>
      <c r="AL1107" s="23"/>
      <c r="AM1107" s="23">
        <v>41</v>
      </c>
      <c r="AN1107" s="23"/>
      <c r="AO1107" s="23">
        <v>27</v>
      </c>
      <c r="AP1107" s="23">
        <v>15</v>
      </c>
      <c r="AQ1107" s="23"/>
      <c r="AR1107" s="23">
        <v>16</v>
      </c>
      <c r="AS1107" s="23">
        <v>118</v>
      </c>
      <c r="AT1107" s="23">
        <v>61</v>
      </c>
      <c r="AU1107" s="14" t="str">
        <f>HYPERLINK("http://www.openstreetmap.org/?mlat=33.1889&amp;mlon=44.3565&amp;zoom=12#map=12/33.1889/44.3565","Maplink1")</f>
        <v>Maplink1</v>
      </c>
      <c r="AV1107" s="14" t="str">
        <f>HYPERLINK("https://www.google.iq/maps/search/+33.1889,44.3565/@33.1889,44.3565,14z?hl=en","Maplink2")</f>
        <v>Maplink2</v>
      </c>
      <c r="AW1107" s="14" t="str">
        <f>HYPERLINK("http://www.bing.com/maps/?lvl=14&amp;sty=h&amp;cp=33.1889~44.3565&amp;sp=point.33.1889_44.3565_Uwayrij","Maplink3")</f>
        <v>Maplink3</v>
      </c>
    </row>
    <row r="1108" spans="1:49" ht="15" customHeight="1" x14ac:dyDescent="0.25">
      <c r="A1108" s="21">
        <v>26120</v>
      </c>
      <c r="B1108" s="22" t="s">
        <v>11</v>
      </c>
      <c r="C1108" s="22" t="s">
        <v>1979</v>
      </c>
      <c r="D1108" s="22" t="s">
        <v>7441</v>
      </c>
      <c r="E1108" s="22" t="s">
        <v>7865</v>
      </c>
      <c r="F1108" s="22">
        <v>33.171678810400003</v>
      </c>
      <c r="G1108" s="22">
        <v>44.363831572599999</v>
      </c>
      <c r="H1108" s="21" t="s">
        <v>1449</v>
      </c>
      <c r="I1108" s="21" t="s">
        <v>1982</v>
      </c>
      <c r="J1108" s="21"/>
      <c r="K1108" s="24">
        <v>242</v>
      </c>
      <c r="L1108" s="24">
        <v>1452</v>
      </c>
      <c r="M1108" s="23">
        <v>154</v>
      </c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>
        <v>88</v>
      </c>
      <c r="Z1108" s="23"/>
      <c r="AA1108" s="23"/>
      <c r="AB1108" s="23"/>
      <c r="AC1108" s="23"/>
      <c r="AD1108" s="23"/>
      <c r="AE1108" s="23">
        <v>242</v>
      </c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>
        <v>51</v>
      </c>
      <c r="AQ1108" s="23">
        <v>37</v>
      </c>
      <c r="AR1108" s="23"/>
      <c r="AS1108" s="23">
        <v>154</v>
      </c>
      <c r="AT1108" s="23"/>
      <c r="AU1108" s="14" t="str">
        <f>HYPERLINK("http://www.openstreetmap.org/?mlat=33.172&amp;mlon=44.3631&amp;zoom=12#map=12/33.172/44.3631","Maplink1")</f>
        <v>Maplink1</v>
      </c>
      <c r="AV1108" s="14" t="str">
        <f>HYPERLINK("https://www.google.iq/maps/search/+33.172,44.3631/@33.172,44.3631,14z?hl=en","Maplink2")</f>
        <v>Maplink2</v>
      </c>
      <c r="AW1108" s="14" t="str">
        <f>HYPERLINK("http://www.bing.com/maps/?lvl=14&amp;sty=h&amp;cp=33.172~44.3631&amp;sp=point.33.172_44.3631_Uwayrij   Camp`","Maplink3")</f>
        <v>Maplink3</v>
      </c>
    </row>
    <row r="1109" spans="1:49" ht="15" customHeight="1" x14ac:dyDescent="0.25">
      <c r="A1109" s="21">
        <v>24070</v>
      </c>
      <c r="B1109" s="22" t="s">
        <v>11</v>
      </c>
      <c r="C1109" s="22" t="s">
        <v>1979</v>
      </c>
      <c r="D1109" s="22" t="s">
        <v>2151</v>
      </c>
      <c r="E1109" s="22" t="s">
        <v>2152</v>
      </c>
      <c r="F1109" s="22">
        <v>33.203240658399999</v>
      </c>
      <c r="G1109" s="22">
        <v>44.3750448268</v>
      </c>
      <c r="H1109" s="21" t="s">
        <v>1449</v>
      </c>
      <c r="I1109" s="21" t="s">
        <v>1982</v>
      </c>
      <c r="J1109" s="21" t="s">
        <v>2153</v>
      </c>
      <c r="K1109" s="24">
        <v>67</v>
      </c>
      <c r="L1109" s="24">
        <v>402</v>
      </c>
      <c r="M1109" s="23">
        <v>41</v>
      </c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>
        <v>23</v>
      </c>
      <c r="Z1109" s="23"/>
      <c r="AA1109" s="23">
        <v>3</v>
      </c>
      <c r="AB1109" s="23"/>
      <c r="AC1109" s="23"/>
      <c r="AD1109" s="23"/>
      <c r="AE1109" s="23"/>
      <c r="AF1109" s="23">
        <v>37</v>
      </c>
      <c r="AG1109" s="23"/>
      <c r="AH1109" s="23"/>
      <c r="AI1109" s="23"/>
      <c r="AJ1109" s="23"/>
      <c r="AK1109" s="23">
        <v>17</v>
      </c>
      <c r="AL1109" s="23"/>
      <c r="AM1109" s="23">
        <v>13</v>
      </c>
      <c r="AN1109" s="23"/>
      <c r="AO1109" s="23">
        <v>9</v>
      </c>
      <c r="AP1109" s="23"/>
      <c r="AQ1109" s="23"/>
      <c r="AR1109" s="23">
        <v>21</v>
      </c>
      <c r="AS1109" s="23">
        <v>7</v>
      </c>
      <c r="AT1109" s="23">
        <v>30</v>
      </c>
      <c r="AU1109" s="14" t="str">
        <f>HYPERLINK("http://www.openstreetmap.org/?mlat=33.2156&amp;mlon=44.3897&amp;zoom=12#map=12/33.2156/44.3897","Maplink1")</f>
        <v>Maplink1</v>
      </c>
      <c r="AV1109" s="14" t="str">
        <f>HYPERLINK("https://www.google.iq/maps/search/+33.2156,44.3897/@33.2156,44.3897,14z?hl=en","Maplink2")</f>
        <v>Maplink2</v>
      </c>
      <c r="AW1109" s="14" t="str">
        <f>HYPERLINK("http://www.bing.com/maps/?lvl=14&amp;sty=h&amp;cp=33.2156~44.3897&amp;sp=point.33.2156_44.3897_Uwrej-Al Qurtan","Maplink3")</f>
        <v>Maplink3</v>
      </c>
    </row>
    <row r="1110" spans="1:49" ht="15" customHeight="1" x14ac:dyDescent="0.25">
      <c r="A1110" s="21">
        <v>25005</v>
      </c>
      <c r="B1110" s="22" t="s">
        <v>11</v>
      </c>
      <c r="C1110" s="22" t="s">
        <v>2154</v>
      </c>
      <c r="D1110" s="22" t="s">
        <v>2155</v>
      </c>
      <c r="E1110" s="22" t="s">
        <v>2156</v>
      </c>
      <c r="F1110" s="22">
        <v>33.313897590400003</v>
      </c>
      <c r="G1110" s="22">
        <v>44.677423153100001</v>
      </c>
      <c r="H1110" s="21" t="s">
        <v>1449</v>
      </c>
      <c r="I1110" s="21" t="s">
        <v>2157</v>
      </c>
      <c r="J1110" s="21"/>
      <c r="K1110" s="24">
        <v>33</v>
      </c>
      <c r="L1110" s="24">
        <v>198</v>
      </c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>
        <v>33</v>
      </c>
      <c r="Z1110" s="23"/>
      <c r="AA1110" s="23"/>
      <c r="AB1110" s="23"/>
      <c r="AC1110" s="23"/>
      <c r="AD1110" s="23"/>
      <c r="AE1110" s="23"/>
      <c r="AF1110" s="23">
        <v>8</v>
      </c>
      <c r="AG1110" s="23"/>
      <c r="AH1110" s="23"/>
      <c r="AI1110" s="23"/>
      <c r="AJ1110" s="23"/>
      <c r="AK1110" s="23">
        <v>25</v>
      </c>
      <c r="AL1110" s="23"/>
      <c r="AM1110" s="23"/>
      <c r="AN1110" s="23"/>
      <c r="AO1110" s="23"/>
      <c r="AP1110" s="23">
        <v>33</v>
      </c>
      <c r="AQ1110" s="23"/>
      <c r="AR1110" s="23"/>
      <c r="AS1110" s="23"/>
      <c r="AT1110" s="23"/>
      <c r="AU1110" s="14" t="str">
        <f>HYPERLINK("http://www.openstreetmap.org/?mlat=33.3851&amp;mlon=44.7014&amp;zoom=12#map=12/33.3851/44.7014","Maplink1")</f>
        <v>Maplink1</v>
      </c>
      <c r="AV1110" s="14" t="str">
        <f>HYPERLINK("https://www.google.iq/maps/search/+33.3851,44.7014/@33.3851,44.7014,14z?hl=en","Maplink2")</f>
        <v>Maplink2</v>
      </c>
      <c r="AW1110" s="14" t="str">
        <f>HYPERLINK("http://www.bing.com/maps/?lvl=14&amp;sty=h&amp;cp=33.3851~44.7014&amp;sp=point.33.3851_44.7014_9 Nissan","Maplink3")</f>
        <v>Maplink3</v>
      </c>
    </row>
    <row r="1111" spans="1:49" ht="15" customHeight="1" x14ac:dyDescent="0.25">
      <c r="A1111" s="21">
        <v>25140</v>
      </c>
      <c r="B1111" s="22" t="s">
        <v>11</v>
      </c>
      <c r="C1111" s="22" t="s">
        <v>2154</v>
      </c>
      <c r="D1111" s="22" t="s">
        <v>2158</v>
      </c>
      <c r="E1111" s="22" t="s">
        <v>2159</v>
      </c>
      <c r="F1111" s="22">
        <v>33.228662763000003</v>
      </c>
      <c r="G1111" s="22">
        <v>44.597713733900001</v>
      </c>
      <c r="H1111" s="21" t="s">
        <v>1449</v>
      </c>
      <c r="I1111" s="21" t="s">
        <v>2157</v>
      </c>
      <c r="J1111" s="21"/>
      <c r="K1111" s="24">
        <v>10</v>
      </c>
      <c r="L1111" s="24">
        <v>60</v>
      </c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>
        <v>10</v>
      </c>
      <c r="Z1111" s="23"/>
      <c r="AA1111" s="23"/>
      <c r="AB1111" s="23"/>
      <c r="AC1111" s="23"/>
      <c r="AD1111" s="23"/>
      <c r="AE1111" s="23"/>
      <c r="AF1111" s="23">
        <v>10</v>
      </c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>
        <v>10</v>
      </c>
      <c r="AQ1111" s="23"/>
      <c r="AR1111" s="23"/>
      <c r="AS1111" s="23"/>
      <c r="AT1111" s="23"/>
      <c r="AU1111" s="14" t="str">
        <f>HYPERLINK("http://www.openstreetmap.org/?mlat=33.1266&amp;mlon=44.691&amp;zoom=12#map=12/33.1266/44.691","Maplink1")</f>
        <v>Maplink1</v>
      </c>
      <c r="AV1111" s="14" t="str">
        <f>HYPERLINK("https://www.google.iq/maps/search/+33.1266,44.691/@33.1266,44.691,14z?hl=en","Maplink2")</f>
        <v>Maplink2</v>
      </c>
      <c r="AW1111" s="14" t="str">
        <f>HYPERLINK("http://www.bing.com/maps/?lvl=14&amp;sty=h&amp;cp=33.1266~44.691&amp;sp=point.33.1266_44.691_Abu Thaila Village","Maplink3")</f>
        <v>Maplink3</v>
      </c>
    </row>
    <row r="1112" spans="1:49" ht="15" customHeight="1" x14ac:dyDescent="0.25">
      <c r="A1112" s="21">
        <v>25832</v>
      </c>
      <c r="B1112" s="22" t="s">
        <v>11</v>
      </c>
      <c r="C1112" s="22" t="s">
        <v>2154</v>
      </c>
      <c r="D1112" s="22" t="s">
        <v>8545</v>
      </c>
      <c r="E1112" s="22" t="s">
        <v>2172</v>
      </c>
      <c r="F1112" s="22">
        <v>33.222590116799999</v>
      </c>
      <c r="G1112" s="22">
        <v>44.522599401000001</v>
      </c>
      <c r="H1112" s="21" t="s">
        <v>1449</v>
      </c>
      <c r="I1112" s="21" t="s">
        <v>2157</v>
      </c>
      <c r="J1112" s="21"/>
      <c r="K1112" s="24">
        <v>32</v>
      </c>
      <c r="L1112" s="24">
        <v>192</v>
      </c>
      <c r="M1112" s="23">
        <v>12</v>
      </c>
      <c r="N1112" s="23"/>
      <c r="O1112" s="23"/>
      <c r="P1112" s="23"/>
      <c r="Q1112" s="23"/>
      <c r="R1112" s="23">
        <v>5</v>
      </c>
      <c r="S1112" s="23"/>
      <c r="T1112" s="23"/>
      <c r="U1112" s="23">
        <v>1</v>
      </c>
      <c r="V1112" s="23"/>
      <c r="W1112" s="23"/>
      <c r="X1112" s="23"/>
      <c r="Y1112" s="23"/>
      <c r="Z1112" s="23"/>
      <c r="AA1112" s="23">
        <v>14</v>
      </c>
      <c r="AB1112" s="23"/>
      <c r="AC1112" s="23"/>
      <c r="AD1112" s="23"/>
      <c r="AE1112" s="23"/>
      <c r="AF1112" s="23">
        <v>14</v>
      </c>
      <c r="AG1112" s="23"/>
      <c r="AH1112" s="23"/>
      <c r="AI1112" s="23"/>
      <c r="AJ1112" s="23"/>
      <c r="AK1112" s="23">
        <v>18</v>
      </c>
      <c r="AL1112" s="23"/>
      <c r="AM1112" s="23"/>
      <c r="AN1112" s="23"/>
      <c r="AO1112" s="23"/>
      <c r="AP1112" s="23">
        <v>2</v>
      </c>
      <c r="AQ1112" s="23">
        <v>12</v>
      </c>
      <c r="AR1112" s="23">
        <v>6</v>
      </c>
      <c r="AS1112" s="23">
        <v>12</v>
      </c>
      <c r="AT1112" s="23"/>
      <c r="AU1112" s="14" t="str">
        <f>HYPERLINK("http://www.openstreetmap.org/?mlat=33.3833&amp;mlon=44.5834&amp;zoom=12#map=12/33.3833/44.5834","Maplink1")</f>
        <v>Maplink1</v>
      </c>
      <c r="AV1112" s="14" t="str">
        <f>HYPERLINK("https://www.google.iq/maps/search/+33.3833,44.5834/@33.3833,44.5834,14z?hl=en","Maplink2")</f>
        <v>Maplink2</v>
      </c>
      <c r="AW1112" s="14" t="str">
        <f>HYPERLINK("http://www.bing.com/maps/?lvl=14&amp;sty=h&amp;cp=33.3833~44.5834&amp;sp=point.33.3833_44.5834_Al-Jisr-Al Arefia","Maplink3")</f>
        <v>Maplink3</v>
      </c>
    </row>
    <row r="1113" spans="1:49" ht="15" customHeight="1" x14ac:dyDescent="0.25">
      <c r="A1113" s="21">
        <v>25010</v>
      </c>
      <c r="B1113" s="22" t="s">
        <v>11</v>
      </c>
      <c r="C1113" s="22" t="s">
        <v>2154</v>
      </c>
      <c r="D1113" s="22" t="s">
        <v>2160</v>
      </c>
      <c r="E1113" s="22" t="s">
        <v>2161</v>
      </c>
      <c r="F1113" s="22">
        <v>33.276718820399999</v>
      </c>
      <c r="G1113" s="22">
        <v>44.621475676199999</v>
      </c>
      <c r="H1113" s="21" t="s">
        <v>1449</v>
      </c>
      <c r="I1113" s="21" t="s">
        <v>2157</v>
      </c>
      <c r="J1113" s="21"/>
      <c r="K1113" s="24">
        <v>11</v>
      </c>
      <c r="L1113" s="24">
        <v>66</v>
      </c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>
        <v>11</v>
      </c>
      <c r="Z1113" s="23"/>
      <c r="AA1113" s="23"/>
      <c r="AB1113" s="23"/>
      <c r="AC1113" s="23"/>
      <c r="AD1113" s="23"/>
      <c r="AE1113" s="23"/>
      <c r="AF1113" s="23">
        <v>11</v>
      </c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>
        <v>11</v>
      </c>
      <c r="AQ1113" s="23"/>
      <c r="AR1113" s="23"/>
      <c r="AS1113" s="23"/>
      <c r="AT1113" s="23"/>
      <c r="AU1113" s="14" t="str">
        <f>HYPERLINK("http://www.openstreetmap.org/?mlat=33.3852&amp;mlon=44.7014&amp;zoom=12#map=12/33.3852/44.7014","Maplink1")</f>
        <v>Maplink1</v>
      </c>
      <c r="AV1113" s="14" t="str">
        <f>HYPERLINK("https://www.google.iq/maps/search/+33.3852,44.7014/@33.3852,44.7014,14z?hl=en","Maplink2")</f>
        <v>Maplink2</v>
      </c>
      <c r="AW1113" s="14" t="str">
        <f>HYPERLINK("http://www.bing.com/maps/?lvl=14&amp;sty=h&amp;cp=33.3852~44.7014&amp;sp=point.33.3852_44.7014_Al Desaim Village","Maplink3")</f>
        <v>Maplink3</v>
      </c>
    </row>
    <row r="1114" spans="1:49" ht="15" customHeight="1" x14ac:dyDescent="0.25">
      <c r="A1114" s="21">
        <v>25011</v>
      </c>
      <c r="B1114" s="22" t="s">
        <v>11</v>
      </c>
      <c r="C1114" s="22" t="s">
        <v>2154</v>
      </c>
      <c r="D1114" s="22" t="s">
        <v>2162</v>
      </c>
      <c r="E1114" s="22" t="s">
        <v>2163</v>
      </c>
      <c r="F1114" s="22">
        <v>33.216100881700001</v>
      </c>
      <c r="G1114" s="22">
        <v>44.601738626699998</v>
      </c>
      <c r="H1114" s="21" t="s">
        <v>1449</v>
      </c>
      <c r="I1114" s="21" t="s">
        <v>2157</v>
      </c>
      <c r="J1114" s="21"/>
      <c r="K1114" s="24">
        <v>95</v>
      </c>
      <c r="L1114" s="24">
        <v>570</v>
      </c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>
        <v>95</v>
      </c>
      <c r="Z1114" s="23"/>
      <c r="AA1114" s="23"/>
      <c r="AB1114" s="23"/>
      <c r="AC1114" s="23"/>
      <c r="AD1114" s="23"/>
      <c r="AE1114" s="23"/>
      <c r="AF1114" s="23">
        <v>23</v>
      </c>
      <c r="AG1114" s="23"/>
      <c r="AH1114" s="23"/>
      <c r="AI1114" s="23"/>
      <c r="AJ1114" s="23"/>
      <c r="AK1114" s="23">
        <v>72</v>
      </c>
      <c r="AL1114" s="23"/>
      <c r="AM1114" s="23"/>
      <c r="AN1114" s="23"/>
      <c r="AO1114" s="23">
        <v>34</v>
      </c>
      <c r="AP1114" s="23">
        <v>25</v>
      </c>
      <c r="AQ1114" s="23"/>
      <c r="AR1114" s="23">
        <v>36</v>
      </c>
      <c r="AS1114" s="23"/>
      <c r="AT1114" s="23"/>
      <c r="AU1114" s="14" t="str">
        <f>HYPERLINK("http://www.openstreetmap.org/?mlat=33.3852&amp;mlon=44.7014&amp;zoom=12#map=12/33.3852/44.7014","Maplink1")</f>
        <v>Maplink1</v>
      </c>
      <c r="AV1114" s="14" t="str">
        <f>HYPERLINK("https://www.google.iq/maps/search/+33.3852,44.7014/@33.3852,44.7014,14z?hl=en","Maplink2")</f>
        <v>Maplink2</v>
      </c>
      <c r="AW1114" s="14" t="str">
        <f>HYPERLINK("http://www.bing.com/maps/?lvl=14&amp;sty=h&amp;cp=33.3852~44.7014&amp;sp=point.33.3852_44.7014_Al Ehsan Complex","Maplink3")</f>
        <v>Maplink3</v>
      </c>
    </row>
    <row r="1115" spans="1:49" ht="15" customHeight="1" x14ac:dyDescent="0.25">
      <c r="A1115" s="21">
        <v>25004</v>
      </c>
      <c r="B1115" s="22" t="s">
        <v>11</v>
      </c>
      <c r="C1115" s="22" t="s">
        <v>2154</v>
      </c>
      <c r="D1115" s="22" t="s">
        <v>2164</v>
      </c>
      <c r="E1115" s="22" t="s">
        <v>2165</v>
      </c>
      <c r="F1115" s="22">
        <v>33.296981992699997</v>
      </c>
      <c r="G1115" s="22">
        <v>44.672816011400002</v>
      </c>
      <c r="H1115" s="21" t="s">
        <v>1449</v>
      </c>
      <c r="I1115" s="21" t="s">
        <v>2157</v>
      </c>
      <c r="J1115" s="21"/>
      <c r="K1115" s="24">
        <v>6</v>
      </c>
      <c r="L1115" s="24">
        <v>36</v>
      </c>
      <c r="M1115" s="23"/>
      <c r="N1115" s="23"/>
      <c r="O1115" s="23"/>
      <c r="P1115" s="23"/>
      <c r="Q1115" s="23"/>
      <c r="R1115" s="23">
        <v>2</v>
      </c>
      <c r="S1115" s="23"/>
      <c r="T1115" s="23"/>
      <c r="U1115" s="23"/>
      <c r="V1115" s="23"/>
      <c r="W1115" s="23"/>
      <c r="X1115" s="23"/>
      <c r="Y1115" s="23">
        <v>2</v>
      </c>
      <c r="Z1115" s="23"/>
      <c r="AA1115" s="23">
        <v>2</v>
      </c>
      <c r="AB1115" s="23"/>
      <c r="AC1115" s="23"/>
      <c r="AD1115" s="23"/>
      <c r="AE1115" s="23"/>
      <c r="AF1115" s="23">
        <v>2</v>
      </c>
      <c r="AG1115" s="23"/>
      <c r="AH1115" s="23"/>
      <c r="AI1115" s="23"/>
      <c r="AJ1115" s="23"/>
      <c r="AK1115" s="23">
        <v>4</v>
      </c>
      <c r="AL1115" s="23"/>
      <c r="AM1115" s="23"/>
      <c r="AN1115" s="23"/>
      <c r="AO1115" s="23"/>
      <c r="AP1115" s="23">
        <v>3</v>
      </c>
      <c r="AQ1115" s="23"/>
      <c r="AR1115" s="23">
        <v>3</v>
      </c>
      <c r="AS1115" s="23"/>
      <c r="AT1115" s="23"/>
      <c r="AU1115" s="14" t="str">
        <f>HYPERLINK("http://www.openstreetmap.org/?mlat=33.3851&amp;mlon=44.7014&amp;zoom=12#map=12/33.3851/44.7014","Maplink1")</f>
        <v>Maplink1</v>
      </c>
      <c r="AV1115" s="14" t="str">
        <f>HYPERLINK("https://www.google.iq/maps/search/+33.3851,44.7014/@33.3851,44.7014,14z?hl=en","Maplink2")</f>
        <v>Maplink2</v>
      </c>
      <c r="AW1115" s="14" t="str">
        <f>HYPERLINK("http://www.bing.com/maps/?lvl=14&amp;sty=h&amp;cp=33.3851~44.7014&amp;sp=point.33.3851_44.7014_Al Holandyia Village","Maplink3")</f>
        <v>Maplink3</v>
      </c>
    </row>
    <row r="1116" spans="1:49" ht="15" customHeight="1" x14ac:dyDescent="0.25">
      <c r="A1116" s="21">
        <v>25006</v>
      </c>
      <c r="B1116" s="22" t="s">
        <v>11</v>
      </c>
      <c r="C1116" s="22" t="s">
        <v>2154</v>
      </c>
      <c r="D1116" s="22" t="s">
        <v>2166</v>
      </c>
      <c r="E1116" s="22" t="s">
        <v>2167</v>
      </c>
      <c r="F1116" s="22">
        <v>33.372461437200002</v>
      </c>
      <c r="G1116" s="22">
        <v>44.686015248300002</v>
      </c>
      <c r="H1116" s="21" t="s">
        <v>1449</v>
      </c>
      <c r="I1116" s="21" t="s">
        <v>2157</v>
      </c>
      <c r="J1116" s="21"/>
      <c r="K1116" s="24">
        <v>12</v>
      </c>
      <c r="L1116" s="24">
        <v>72</v>
      </c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>
        <v>12</v>
      </c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>
        <v>12</v>
      </c>
      <c r="AL1116" s="23"/>
      <c r="AM1116" s="23"/>
      <c r="AN1116" s="23"/>
      <c r="AO1116" s="23"/>
      <c r="AP1116" s="23">
        <v>12</v>
      </c>
      <c r="AQ1116" s="23"/>
      <c r="AR1116" s="23"/>
      <c r="AS1116" s="23"/>
      <c r="AT1116" s="23"/>
      <c r="AU1116" s="14" t="str">
        <f>HYPERLINK("http://www.openstreetmap.org/?mlat=33.3851&amp;mlon=44.7014&amp;zoom=12#map=12/33.3851/44.7014","Maplink1")</f>
        <v>Maplink1</v>
      </c>
      <c r="AV1116" s="14" t="str">
        <f>HYPERLINK("https://www.google.iq/maps/search/+33.3851,44.7014/@33.3851,44.7014,14z?hl=en","Maplink2")</f>
        <v>Maplink2</v>
      </c>
      <c r="AW1116" s="14" t="str">
        <f>HYPERLINK("http://www.bing.com/maps/?lvl=14&amp;sty=h&amp;cp=33.3851~44.7014&amp;sp=point.33.3851_44.7014_Al Imam Al Redha Village","Maplink3")</f>
        <v>Maplink3</v>
      </c>
    </row>
    <row r="1117" spans="1:49" ht="15" customHeight="1" x14ac:dyDescent="0.25">
      <c r="A1117" s="21">
        <v>25834</v>
      </c>
      <c r="B1117" s="22" t="s">
        <v>11</v>
      </c>
      <c r="C1117" s="22" t="s">
        <v>2154</v>
      </c>
      <c r="D1117" s="22" t="s">
        <v>8546</v>
      </c>
      <c r="E1117" s="22" t="s">
        <v>2173</v>
      </c>
      <c r="F1117" s="22">
        <v>33.289005970600002</v>
      </c>
      <c r="G1117" s="22">
        <v>44.590651467100002</v>
      </c>
      <c r="H1117" s="21" t="s">
        <v>1449</v>
      </c>
      <c r="I1117" s="21" t="s">
        <v>2157</v>
      </c>
      <c r="J1117" s="21"/>
      <c r="K1117" s="24">
        <v>122</v>
      </c>
      <c r="L1117" s="24">
        <v>732</v>
      </c>
      <c r="M1117" s="23">
        <v>5</v>
      </c>
      <c r="N1117" s="23"/>
      <c r="O1117" s="23"/>
      <c r="P1117" s="23"/>
      <c r="Q1117" s="23"/>
      <c r="R1117" s="23">
        <v>18</v>
      </c>
      <c r="S1117" s="23"/>
      <c r="T1117" s="23"/>
      <c r="U1117" s="23">
        <v>4</v>
      </c>
      <c r="V1117" s="23"/>
      <c r="W1117" s="23"/>
      <c r="X1117" s="23"/>
      <c r="Y1117" s="23">
        <v>50</v>
      </c>
      <c r="Z1117" s="23"/>
      <c r="AA1117" s="23">
        <v>45</v>
      </c>
      <c r="AB1117" s="23"/>
      <c r="AC1117" s="23"/>
      <c r="AD1117" s="23"/>
      <c r="AE1117" s="23"/>
      <c r="AF1117" s="23">
        <v>99</v>
      </c>
      <c r="AG1117" s="23"/>
      <c r="AH1117" s="23"/>
      <c r="AI1117" s="23"/>
      <c r="AJ1117" s="23"/>
      <c r="AK1117" s="23">
        <v>23</v>
      </c>
      <c r="AL1117" s="23"/>
      <c r="AM1117" s="23"/>
      <c r="AN1117" s="23"/>
      <c r="AO1117" s="23"/>
      <c r="AP1117" s="23">
        <v>66</v>
      </c>
      <c r="AQ1117" s="23">
        <v>53</v>
      </c>
      <c r="AR1117" s="23"/>
      <c r="AS1117" s="23">
        <v>3</v>
      </c>
      <c r="AT1117" s="23"/>
      <c r="AU1117" s="14" t="str">
        <f>HYPERLINK("http://www.openstreetmap.org/?mlat=33.2233&amp;mlon=44.5493&amp;zoom=12#map=12/33.2233/44.5493","Maplink1")</f>
        <v>Maplink1</v>
      </c>
      <c r="AV1117" s="14" t="str">
        <f>HYPERLINK("https://www.google.iq/maps/search/+33.2233,44.5493/@33.2233,44.5493,14z?hl=en","Maplink2")</f>
        <v>Maplink2</v>
      </c>
      <c r="AW1117" s="14" t="str">
        <f>HYPERLINK("http://www.bing.com/maps/?lvl=14&amp;sty=h&amp;cp=33.2233~44.5493&amp;sp=point.33.2233_44.5493_Al-Jisr-Al Karagolia","Maplink3")</f>
        <v>Maplink3</v>
      </c>
    </row>
    <row r="1118" spans="1:49" ht="15" customHeight="1" x14ac:dyDescent="0.25">
      <c r="A1118" s="21">
        <v>7546</v>
      </c>
      <c r="B1118" s="22" t="s">
        <v>11</v>
      </c>
      <c r="C1118" s="22" t="s">
        <v>2154</v>
      </c>
      <c r="D1118" s="22" t="s">
        <v>8547</v>
      </c>
      <c r="E1118" s="22" t="s">
        <v>2174</v>
      </c>
      <c r="F1118" s="22">
        <v>33.208886543299997</v>
      </c>
      <c r="G1118" s="22">
        <v>44.550729068000003</v>
      </c>
      <c r="H1118" s="21" t="s">
        <v>1449</v>
      </c>
      <c r="I1118" s="21" t="s">
        <v>2157</v>
      </c>
      <c r="J1118" s="21" t="s">
        <v>2175</v>
      </c>
      <c r="K1118" s="24">
        <v>116</v>
      </c>
      <c r="L1118" s="24">
        <v>696</v>
      </c>
      <c r="M1118" s="23">
        <v>14</v>
      </c>
      <c r="N1118" s="23">
        <v>2</v>
      </c>
      <c r="O1118" s="23"/>
      <c r="P1118" s="23"/>
      <c r="Q1118" s="23"/>
      <c r="R1118" s="23">
        <v>9</v>
      </c>
      <c r="S1118" s="23"/>
      <c r="T1118" s="23"/>
      <c r="U1118" s="23"/>
      <c r="V1118" s="23"/>
      <c r="W1118" s="23"/>
      <c r="X1118" s="23"/>
      <c r="Y1118" s="23">
        <v>46</v>
      </c>
      <c r="Z1118" s="23"/>
      <c r="AA1118" s="23">
        <v>45</v>
      </c>
      <c r="AB1118" s="23"/>
      <c r="AC1118" s="23"/>
      <c r="AD1118" s="23"/>
      <c r="AE1118" s="23"/>
      <c r="AF1118" s="23">
        <v>28</v>
      </c>
      <c r="AG1118" s="23"/>
      <c r="AH1118" s="23"/>
      <c r="AI1118" s="23"/>
      <c r="AJ1118" s="23"/>
      <c r="AK1118" s="23">
        <v>88</v>
      </c>
      <c r="AL1118" s="23"/>
      <c r="AM1118" s="23"/>
      <c r="AN1118" s="23"/>
      <c r="AO1118" s="23"/>
      <c r="AP1118" s="23">
        <v>53</v>
      </c>
      <c r="AQ1118" s="23">
        <v>16</v>
      </c>
      <c r="AR1118" s="23">
        <v>36</v>
      </c>
      <c r="AS1118" s="23">
        <v>11</v>
      </c>
      <c r="AT1118" s="23"/>
      <c r="AU1118" s="14" t="str">
        <f>HYPERLINK("http://www.openstreetmap.org/?mlat=33.1889&amp;mlon=44.5319&amp;zoom=12#map=12/33.1889/44.5319","Maplink1")</f>
        <v>Maplink1</v>
      </c>
      <c r="AV1118" s="14" t="str">
        <f>HYPERLINK("https://www.google.iq/maps/search/+33.1889,44.5319/@33.1889,44.5319,14z?hl=en","Maplink2")</f>
        <v>Maplink2</v>
      </c>
      <c r="AW1118" s="14" t="str">
        <f>HYPERLINK("http://www.bing.com/maps/?lvl=14&amp;sty=h&amp;cp=33.1889~44.5319&amp;sp=point.33.1889_44.5319_Al-Jisr-Al Reyad","Maplink3")</f>
        <v>Maplink3</v>
      </c>
    </row>
    <row r="1119" spans="1:49" ht="15" customHeight="1" x14ac:dyDescent="0.25">
      <c r="A1119" s="21">
        <v>7668</v>
      </c>
      <c r="B1119" s="22" t="s">
        <v>11</v>
      </c>
      <c r="C1119" s="22" t="s">
        <v>2154</v>
      </c>
      <c r="D1119" s="22" t="s">
        <v>8548</v>
      </c>
      <c r="E1119" s="22" t="s">
        <v>2176</v>
      </c>
      <c r="F1119" s="22">
        <v>33.209972502699998</v>
      </c>
      <c r="G1119" s="22">
        <v>44.5505607594</v>
      </c>
      <c r="H1119" s="21" t="s">
        <v>1449</v>
      </c>
      <c r="I1119" s="21" t="s">
        <v>2157</v>
      </c>
      <c r="J1119" s="21" t="s">
        <v>2177</v>
      </c>
      <c r="K1119" s="24">
        <v>10</v>
      </c>
      <c r="L1119" s="24">
        <v>60</v>
      </c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>
        <v>3</v>
      </c>
      <c r="Z1119" s="23"/>
      <c r="AA1119" s="23">
        <v>7</v>
      </c>
      <c r="AB1119" s="23"/>
      <c r="AC1119" s="23"/>
      <c r="AD1119" s="23"/>
      <c r="AE1119" s="23"/>
      <c r="AF1119" s="23">
        <v>10</v>
      </c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>
        <v>3</v>
      </c>
      <c r="AQ1119" s="23"/>
      <c r="AR1119" s="23">
        <v>7</v>
      </c>
      <c r="AS1119" s="23"/>
      <c r="AT1119" s="23"/>
      <c r="AU1119" s="14" t="str">
        <f>HYPERLINK("http://www.openstreetmap.org/?mlat=33.3152&amp;mlon=44.5749&amp;zoom=12#map=12/33.3152/44.5749","Maplink1")</f>
        <v>Maplink1</v>
      </c>
      <c r="AV1119" s="14" t="str">
        <f>HYPERLINK("https://www.google.iq/maps/search/+33.3152,44.5749/@33.3152,44.5749,14z?hl=en","Maplink2")</f>
        <v>Maplink2</v>
      </c>
      <c r="AW1119" s="14" t="str">
        <f>HYPERLINK("http://www.bing.com/maps/?lvl=14&amp;sty=h&amp;cp=33.3152~44.5749&amp;sp=point.33.3152_44.5749_Al-Jisr-Al Samadia","Maplink3")</f>
        <v>Maplink3</v>
      </c>
    </row>
    <row r="1120" spans="1:49" ht="15" customHeight="1" x14ac:dyDescent="0.25">
      <c r="A1120" s="21">
        <v>25007</v>
      </c>
      <c r="B1120" s="22" t="s">
        <v>11</v>
      </c>
      <c r="C1120" s="22" t="s">
        <v>2154</v>
      </c>
      <c r="D1120" s="22" t="s">
        <v>2168</v>
      </c>
      <c r="E1120" s="22" t="s">
        <v>7866</v>
      </c>
      <c r="F1120" s="22">
        <v>33.360028266900002</v>
      </c>
      <c r="G1120" s="22">
        <v>44.655042942599998</v>
      </c>
      <c r="H1120" s="21" t="s">
        <v>1449</v>
      </c>
      <c r="I1120" s="21" t="s">
        <v>2157</v>
      </c>
      <c r="J1120" s="21"/>
      <c r="K1120" s="24">
        <v>11</v>
      </c>
      <c r="L1120" s="24">
        <v>66</v>
      </c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>
        <v>11</v>
      </c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>
        <v>11</v>
      </c>
      <c r="AM1120" s="23"/>
      <c r="AN1120" s="23"/>
      <c r="AO1120" s="23"/>
      <c r="AP1120" s="23">
        <v>11</v>
      </c>
      <c r="AQ1120" s="23"/>
      <c r="AR1120" s="23"/>
      <c r="AS1120" s="23"/>
      <c r="AT1120" s="23"/>
      <c r="AU1120" s="14" t="str">
        <f>HYPERLINK("http://www.openstreetmap.org/?mlat=33.3851&amp;mlon=44.7014&amp;zoom=12#map=12/33.3851/44.7014","Maplink1")</f>
        <v>Maplink1</v>
      </c>
      <c r="AV1120" s="14" t="str">
        <f>HYPERLINK("https://www.google.iq/maps/search/+33.3851,44.7014/@33.3851,44.7014,14z?hl=en","Maplink2")</f>
        <v>Maplink2</v>
      </c>
      <c r="AW1120" s="14" t="str">
        <f>HYPERLINK("http://www.bing.com/maps/?lvl=14&amp;sty=h&amp;cp=33.3851~44.7014&amp;sp=point.33.3851_44.7014_Al Shaikh Khazaal Village-8","Maplink3")</f>
        <v>Maplink3</v>
      </c>
    </row>
    <row r="1121" spans="1:49" ht="15" customHeight="1" x14ac:dyDescent="0.25">
      <c r="A1121" s="21">
        <v>25833</v>
      </c>
      <c r="B1121" s="22" t="s">
        <v>11</v>
      </c>
      <c r="C1121" s="22" t="s">
        <v>2154</v>
      </c>
      <c r="D1121" s="22" t="s">
        <v>8549</v>
      </c>
      <c r="E1121" s="22" t="s">
        <v>2178</v>
      </c>
      <c r="F1121" s="22">
        <v>33.220012178600001</v>
      </c>
      <c r="G1121" s="22">
        <v>44.524935940299997</v>
      </c>
      <c r="H1121" s="21" t="s">
        <v>1449</v>
      </c>
      <c r="I1121" s="21" t="s">
        <v>2157</v>
      </c>
      <c r="J1121" s="21"/>
      <c r="K1121" s="24">
        <v>39</v>
      </c>
      <c r="L1121" s="24">
        <v>234</v>
      </c>
      <c r="M1121" s="23">
        <v>23</v>
      </c>
      <c r="N1121" s="23"/>
      <c r="O1121" s="23">
        <v>1</v>
      </c>
      <c r="P1121" s="23"/>
      <c r="Q1121" s="23"/>
      <c r="R1121" s="23">
        <v>11</v>
      </c>
      <c r="S1121" s="23"/>
      <c r="T1121" s="23"/>
      <c r="U1121" s="23">
        <v>1</v>
      </c>
      <c r="V1121" s="23"/>
      <c r="W1121" s="23"/>
      <c r="X1121" s="23"/>
      <c r="Y1121" s="23"/>
      <c r="Z1121" s="23"/>
      <c r="AA1121" s="23">
        <v>3</v>
      </c>
      <c r="AB1121" s="23"/>
      <c r="AC1121" s="23"/>
      <c r="AD1121" s="23"/>
      <c r="AE1121" s="23"/>
      <c r="AF1121" s="23">
        <v>24</v>
      </c>
      <c r="AG1121" s="23"/>
      <c r="AH1121" s="23"/>
      <c r="AI1121" s="23"/>
      <c r="AJ1121" s="23"/>
      <c r="AK1121" s="23">
        <v>15</v>
      </c>
      <c r="AL1121" s="23"/>
      <c r="AM1121" s="23"/>
      <c r="AN1121" s="23"/>
      <c r="AO1121" s="23"/>
      <c r="AP1121" s="23">
        <v>21</v>
      </c>
      <c r="AQ1121" s="23"/>
      <c r="AR1121" s="23">
        <v>6</v>
      </c>
      <c r="AS1121" s="23">
        <v>12</v>
      </c>
      <c r="AT1121" s="23"/>
      <c r="AU1121" s="14" t="str">
        <f>HYPERLINK("http://www.openstreetmap.org/?mlat=33.2412&amp;mlon=44.5385&amp;zoom=12#map=12/33.2412/44.5385","Maplink1")</f>
        <v>Maplink1</v>
      </c>
      <c r="AV1121" s="14" t="str">
        <f>HYPERLINK("https://www.google.iq/maps/search/+33.2412,44.5385/@33.2412,44.5385,14z?hl=en","Maplink2")</f>
        <v>Maplink2</v>
      </c>
      <c r="AW1121" s="14" t="str">
        <f>HYPERLINK("http://www.bing.com/maps/?lvl=14&amp;sty=h&amp;cp=33.2412~44.5385&amp;sp=point.33.2412_44.5385_Al-Jisr-Al Tuwetha","Maplink3")</f>
        <v>Maplink3</v>
      </c>
    </row>
    <row r="1122" spans="1:49" ht="15" customHeight="1" x14ac:dyDescent="0.25">
      <c r="A1122" s="21">
        <v>7547</v>
      </c>
      <c r="B1122" s="22" t="s">
        <v>11</v>
      </c>
      <c r="C1122" s="22" t="s">
        <v>2154</v>
      </c>
      <c r="D1122" s="22" t="s">
        <v>8550</v>
      </c>
      <c r="E1122" s="22" t="s">
        <v>2179</v>
      </c>
      <c r="F1122" s="22">
        <v>33.210715306899999</v>
      </c>
      <c r="G1122" s="22">
        <v>44.550000345299999</v>
      </c>
      <c r="H1122" s="21" t="s">
        <v>1449</v>
      </c>
      <c r="I1122" s="21" t="s">
        <v>2157</v>
      </c>
      <c r="J1122" s="21" t="s">
        <v>2180</v>
      </c>
      <c r="K1122" s="24">
        <v>62</v>
      </c>
      <c r="L1122" s="24">
        <v>372</v>
      </c>
      <c r="M1122" s="23">
        <v>8</v>
      </c>
      <c r="N1122" s="23"/>
      <c r="O1122" s="23"/>
      <c r="P1122" s="23"/>
      <c r="Q1122" s="23"/>
      <c r="R1122" s="23">
        <v>17</v>
      </c>
      <c r="S1122" s="23"/>
      <c r="T1122" s="23"/>
      <c r="U1122" s="23"/>
      <c r="V1122" s="23"/>
      <c r="W1122" s="23"/>
      <c r="X1122" s="23"/>
      <c r="Y1122" s="23">
        <v>7</v>
      </c>
      <c r="Z1122" s="23"/>
      <c r="AA1122" s="23">
        <v>30</v>
      </c>
      <c r="AB1122" s="23"/>
      <c r="AC1122" s="23"/>
      <c r="AD1122" s="23"/>
      <c r="AE1122" s="23"/>
      <c r="AF1122" s="23">
        <v>22</v>
      </c>
      <c r="AG1122" s="23"/>
      <c r="AH1122" s="23"/>
      <c r="AI1122" s="23"/>
      <c r="AJ1122" s="23"/>
      <c r="AK1122" s="23">
        <v>40</v>
      </c>
      <c r="AL1122" s="23"/>
      <c r="AM1122" s="23"/>
      <c r="AN1122" s="23"/>
      <c r="AO1122" s="23"/>
      <c r="AP1122" s="23">
        <v>7</v>
      </c>
      <c r="AQ1122" s="23">
        <v>17</v>
      </c>
      <c r="AR1122" s="23">
        <v>30</v>
      </c>
      <c r="AS1122" s="23">
        <v>8</v>
      </c>
      <c r="AT1122" s="23"/>
      <c r="AU1122" s="14" t="str">
        <f>HYPERLINK("http://www.openstreetmap.org/?mlat=33.1644&amp;mlon=44.5557&amp;zoom=12#map=12/33.1644/44.5557","Maplink1")</f>
        <v>Maplink1</v>
      </c>
      <c r="AV1122" s="14" t="str">
        <f>HYPERLINK("https://www.google.iq/maps/search/+33.1644,44.5557/@33.1644,44.5557,14z?hl=en","Maplink2")</f>
        <v>Maplink2</v>
      </c>
      <c r="AW1122" s="14" t="str">
        <f>HYPERLINK("http://www.bing.com/maps/?lvl=14&amp;sty=h&amp;cp=33.1644~44.5557&amp;sp=point.33.1644_44.5557_Al-Jisr-Al Wardia","Maplink3")</f>
        <v>Maplink3</v>
      </c>
    </row>
    <row r="1123" spans="1:49" ht="15" customHeight="1" x14ac:dyDescent="0.25">
      <c r="A1123" s="21">
        <v>25130</v>
      </c>
      <c r="B1123" s="22" t="s">
        <v>11</v>
      </c>
      <c r="C1123" s="22" t="s">
        <v>2154</v>
      </c>
      <c r="D1123" s="22" t="s">
        <v>2169</v>
      </c>
      <c r="E1123" s="22" t="s">
        <v>7867</v>
      </c>
      <c r="F1123" s="22">
        <v>33.255351201400003</v>
      </c>
      <c r="G1123" s="22">
        <v>44.603099685399997</v>
      </c>
      <c r="H1123" s="21" t="s">
        <v>1449</v>
      </c>
      <c r="I1123" s="21" t="s">
        <v>2157</v>
      </c>
      <c r="J1123" s="21"/>
      <c r="K1123" s="24">
        <v>68</v>
      </c>
      <c r="L1123" s="24">
        <v>408</v>
      </c>
      <c r="M1123" s="23">
        <v>2</v>
      </c>
      <c r="N1123" s="23"/>
      <c r="O1123" s="23"/>
      <c r="P1123" s="23"/>
      <c r="Q1123" s="23"/>
      <c r="R1123" s="23">
        <v>7</v>
      </c>
      <c r="S1123" s="23"/>
      <c r="T1123" s="23"/>
      <c r="U1123" s="23">
        <v>1</v>
      </c>
      <c r="V1123" s="23"/>
      <c r="W1123" s="23"/>
      <c r="X1123" s="23"/>
      <c r="Y1123" s="23">
        <v>53</v>
      </c>
      <c r="Z1123" s="23"/>
      <c r="AA1123" s="23">
        <v>5</v>
      </c>
      <c r="AB1123" s="23"/>
      <c r="AC1123" s="23"/>
      <c r="AD1123" s="23"/>
      <c r="AE1123" s="23"/>
      <c r="AF1123" s="23">
        <v>13</v>
      </c>
      <c r="AG1123" s="23"/>
      <c r="AH1123" s="23"/>
      <c r="AI1123" s="23"/>
      <c r="AJ1123" s="23"/>
      <c r="AK1123" s="23"/>
      <c r="AL1123" s="23"/>
      <c r="AM1123" s="23">
        <v>55</v>
      </c>
      <c r="AN1123" s="23"/>
      <c r="AO1123" s="23">
        <v>5</v>
      </c>
      <c r="AP1123" s="23">
        <v>40</v>
      </c>
      <c r="AQ1123" s="23"/>
      <c r="AR1123" s="23">
        <v>21</v>
      </c>
      <c r="AS1123" s="23">
        <v>2</v>
      </c>
      <c r="AT1123" s="23"/>
      <c r="AU1123" s="14" t="str">
        <f>HYPERLINK("http://www.openstreetmap.org/?mlat=33.255&amp;mlon=44.6062&amp;zoom=12#map=12/33.255/44.6062","Maplink1")</f>
        <v>Maplink1</v>
      </c>
      <c r="AV1123" s="14" t="str">
        <f>HYPERLINK("https://www.google.iq/maps/search/+33.255,44.6062/@33.255,44.6062,14z?hl=en","Maplink2")</f>
        <v>Maplink2</v>
      </c>
      <c r="AW1123" s="14" t="str">
        <f>HYPERLINK("http://www.bing.com/maps/?lvl=14&amp;sty=h&amp;cp=33.255~44.6062&amp;sp=point.33.255_44.6062_Al Wehda-Village 10","Maplink3")</f>
        <v>Maplink3</v>
      </c>
    </row>
    <row r="1124" spans="1:49" ht="15" customHeight="1" x14ac:dyDescent="0.25">
      <c r="A1124" s="21">
        <v>25139</v>
      </c>
      <c r="B1124" s="22" t="s">
        <v>11</v>
      </c>
      <c r="C1124" s="22" t="s">
        <v>2154</v>
      </c>
      <c r="D1124" s="22" t="s">
        <v>2170</v>
      </c>
      <c r="E1124" s="22" t="s">
        <v>2171</v>
      </c>
      <c r="F1124" s="22">
        <v>33.146189999999997</v>
      </c>
      <c r="G1124" s="22">
        <v>44.659399999999998</v>
      </c>
      <c r="H1124" s="21" t="s">
        <v>1449</v>
      </c>
      <c r="I1124" s="21" t="s">
        <v>2157</v>
      </c>
      <c r="J1124" s="21"/>
      <c r="K1124" s="24">
        <v>14</v>
      </c>
      <c r="L1124" s="24">
        <v>84</v>
      </c>
      <c r="M1124" s="23"/>
      <c r="N1124" s="23"/>
      <c r="O1124" s="23"/>
      <c r="P1124" s="23"/>
      <c r="Q1124" s="23"/>
      <c r="R1124" s="23">
        <v>4</v>
      </c>
      <c r="S1124" s="23"/>
      <c r="T1124" s="23"/>
      <c r="U1124" s="23"/>
      <c r="V1124" s="23"/>
      <c r="W1124" s="23"/>
      <c r="X1124" s="23"/>
      <c r="Y1124" s="23">
        <v>3</v>
      </c>
      <c r="Z1124" s="23"/>
      <c r="AA1124" s="23">
        <v>7</v>
      </c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>
        <v>14</v>
      </c>
      <c r="AL1124" s="23"/>
      <c r="AM1124" s="23"/>
      <c r="AN1124" s="23"/>
      <c r="AO1124" s="23"/>
      <c r="AP1124" s="23">
        <v>10</v>
      </c>
      <c r="AQ1124" s="23"/>
      <c r="AR1124" s="23">
        <v>4</v>
      </c>
      <c r="AS1124" s="23"/>
      <c r="AT1124" s="23"/>
      <c r="AU1124" s="14" t="str">
        <f>HYPERLINK("http://www.openstreetmap.org/?mlat=33.1266&amp;mlon=44.691&amp;zoom=12#map=12/33.1266/44.691","Maplink1")</f>
        <v>Maplink1</v>
      </c>
      <c r="AV1124" s="14" t="str">
        <f>HYPERLINK("https://www.google.iq/maps/search/+33.1266,44.691/@33.1266,44.691,14z?hl=en","Maplink2")</f>
        <v>Maplink2</v>
      </c>
      <c r="AW1124" s="14" t="str">
        <f>HYPERLINK("http://www.bing.com/maps/?lvl=14&amp;sty=h&amp;cp=33.1266~44.691&amp;sp=point.33.1266_44.691_Al-Hurriyaa Village","Maplink3")</f>
        <v>Maplink3</v>
      </c>
    </row>
    <row r="1125" spans="1:49" ht="15" customHeight="1" x14ac:dyDescent="0.25">
      <c r="A1125" s="21">
        <v>25138</v>
      </c>
      <c r="B1125" s="22" t="s">
        <v>11</v>
      </c>
      <c r="C1125" s="22" t="s">
        <v>2154</v>
      </c>
      <c r="D1125" s="22" t="s">
        <v>2183</v>
      </c>
      <c r="E1125" s="22" t="s">
        <v>2184</v>
      </c>
      <c r="F1125" s="22">
        <v>33.250141854699997</v>
      </c>
      <c r="G1125" s="22">
        <v>44.602066632800003</v>
      </c>
      <c r="H1125" s="21" t="s">
        <v>1449</v>
      </c>
      <c r="I1125" s="21" t="s">
        <v>2157</v>
      </c>
      <c r="J1125" s="21"/>
      <c r="K1125" s="24">
        <v>15</v>
      </c>
      <c r="L1125" s="24">
        <v>90</v>
      </c>
      <c r="M1125" s="23">
        <v>5</v>
      </c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>
        <v>10</v>
      </c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>
        <v>8</v>
      </c>
      <c r="AL1125" s="23"/>
      <c r="AM1125" s="23">
        <v>7</v>
      </c>
      <c r="AN1125" s="23"/>
      <c r="AO1125" s="23">
        <v>5</v>
      </c>
      <c r="AP1125" s="23">
        <v>4</v>
      </c>
      <c r="AQ1125" s="23"/>
      <c r="AR1125" s="23">
        <v>6</v>
      </c>
      <c r="AS1125" s="23"/>
      <c r="AT1125" s="23"/>
      <c r="AU1125" s="14" t="str">
        <f>HYPERLINK("http://www.openstreetmap.org/?mlat=33.1266&amp;mlon=44.691&amp;zoom=12#map=12/33.1266/44.691","Maplink1")</f>
        <v>Maplink1</v>
      </c>
      <c r="AV1125" s="14" t="str">
        <f>HYPERLINK("https://www.google.iq/maps/search/+33.1266,44.691/@33.1266,44.691,14z?hl=en","Maplink2")</f>
        <v>Maplink2</v>
      </c>
      <c r="AW1125" s="14" t="str">
        <f>HYPERLINK("http://www.bing.com/maps/?lvl=14&amp;sty=h&amp;cp=33.1266~44.691&amp;sp=point.33.1266_44.691_Al-Murtadha Village","Maplink3")</f>
        <v>Maplink3</v>
      </c>
    </row>
    <row r="1126" spans="1:49" ht="15" customHeight="1" x14ac:dyDescent="0.25">
      <c r="A1126" s="21">
        <v>24760</v>
      </c>
      <c r="B1126" s="22" t="s">
        <v>11</v>
      </c>
      <c r="C1126" s="22" t="s">
        <v>2154</v>
      </c>
      <c r="D1126" s="22" t="s">
        <v>2185</v>
      </c>
      <c r="E1126" s="22" t="s">
        <v>2186</v>
      </c>
      <c r="F1126" s="22">
        <v>33.363135522199997</v>
      </c>
      <c r="G1126" s="22">
        <v>44.6622628625</v>
      </c>
      <c r="H1126" s="21" t="s">
        <v>1449</v>
      </c>
      <c r="I1126" s="21" t="s">
        <v>2157</v>
      </c>
      <c r="J1126" s="21"/>
      <c r="K1126" s="24">
        <v>641</v>
      </c>
      <c r="L1126" s="24">
        <v>3846</v>
      </c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>
        <v>641</v>
      </c>
      <c r="Z1126" s="23"/>
      <c r="AA1126" s="23"/>
      <c r="AB1126" s="23"/>
      <c r="AC1126" s="23"/>
      <c r="AD1126" s="23"/>
      <c r="AE1126" s="23">
        <v>641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>
        <v>641</v>
      </c>
      <c r="AQ1126" s="23"/>
      <c r="AR1126" s="23"/>
      <c r="AS1126" s="23"/>
      <c r="AT1126" s="23"/>
      <c r="AU1126" s="14" t="str">
        <f>HYPERLINK("http://www.openstreetmap.org/?mlat=33.3447&amp;mlon=44.6431&amp;zoom=12#map=12/33.3447/44.6431","Maplink1")</f>
        <v>Maplink1</v>
      </c>
      <c r="AV1126" s="14" t="str">
        <f>HYPERLINK("https://www.google.iq/maps/search/+33.3447,44.6431/@33.3447,44.6431,14z?hl=en","Maplink2")</f>
        <v>Maplink2</v>
      </c>
      <c r="AW1126" s="14" t="str">
        <f>HYPERLINK("http://www.bing.com/maps/?lvl=14&amp;sty=h&amp;cp=33.3447~44.6431&amp;sp=point.33.3447_44.6431_Al-Nabi Younis Camp","Maplink3")</f>
        <v>Maplink3</v>
      </c>
    </row>
    <row r="1127" spans="1:49" ht="15" customHeight="1" x14ac:dyDescent="0.25">
      <c r="A1127" s="21">
        <v>25837</v>
      </c>
      <c r="B1127" s="22" t="s">
        <v>11</v>
      </c>
      <c r="C1127" s="22" t="s">
        <v>2154</v>
      </c>
      <c r="D1127" s="22" t="s">
        <v>8551</v>
      </c>
      <c r="E1127" s="22" t="s">
        <v>2181</v>
      </c>
      <c r="F1127" s="22">
        <v>33.215318187100003</v>
      </c>
      <c r="G1127" s="22">
        <v>44.544248767200003</v>
      </c>
      <c r="H1127" s="21" t="s">
        <v>1449</v>
      </c>
      <c r="I1127" s="21" t="s">
        <v>2157</v>
      </c>
      <c r="J1127" s="21"/>
      <c r="K1127" s="24">
        <v>7</v>
      </c>
      <c r="L1127" s="24">
        <v>42</v>
      </c>
      <c r="M1127" s="23"/>
      <c r="N1127" s="23"/>
      <c r="O1127" s="23"/>
      <c r="P1127" s="23"/>
      <c r="Q1127" s="23"/>
      <c r="R1127" s="23">
        <v>7</v>
      </c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>
        <v>5</v>
      </c>
      <c r="AG1127" s="23"/>
      <c r="AH1127" s="23"/>
      <c r="AI1127" s="23"/>
      <c r="AJ1127" s="23"/>
      <c r="AK1127" s="23">
        <v>2</v>
      </c>
      <c r="AL1127" s="23"/>
      <c r="AM1127" s="23"/>
      <c r="AN1127" s="23"/>
      <c r="AO1127" s="23"/>
      <c r="AP1127" s="23"/>
      <c r="AQ1127" s="23">
        <v>7</v>
      </c>
      <c r="AR1127" s="23"/>
      <c r="AS1127" s="23"/>
      <c r="AT1127" s="23"/>
      <c r="AU1127" s="14" t="str">
        <f>HYPERLINK("http://www.openstreetmap.org/?mlat=33.2132&amp;mlon=44.5482&amp;zoom=12#map=12/33.2132/44.5482","Maplink1")</f>
        <v>Maplink1</v>
      </c>
      <c r="AV1127" s="14" t="str">
        <f>HYPERLINK("https://www.google.iq/maps/search/+33.2132,44.5482/@33.2132,44.5482,14z?hl=en","Maplink2")</f>
        <v>Maplink2</v>
      </c>
      <c r="AW1127" s="14" t="str">
        <f>HYPERLINK("http://www.bing.com/maps/?lvl=14&amp;sty=h&amp;cp=33.2132~44.5482&amp;sp=point.33.2132_44.5482_Al-Jisr-Ammar Ben Yaser","Maplink3")</f>
        <v>Maplink3</v>
      </c>
    </row>
    <row r="1128" spans="1:49" ht="15" customHeight="1" x14ac:dyDescent="0.25">
      <c r="A1128" s="21">
        <v>25008</v>
      </c>
      <c r="B1128" s="22" t="s">
        <v>11</v>
      </c>
      <c r="C1128" s="22" t="s">
        <v>2154</v>
      </c>
      <c r="D1128" s="22" t="s">
        <v>2187</v>
      </c>
      <c r="E1128" s="22" t="s">
        <v>2188</v>
      </c>
      <c r="F1128" s="22">
        <v>33.3715204429</v>
      </c>
      <c r="G1128" s="22">
        <v>44.6790829953</v>
      </c>
      <c r="H1128" s="21" t="s">
        <v>1449</v>
      </c>
      <c r="I1128" s="21" t="s">
        <v>2157</v>
      </c>
      <c r="J1128" s="21"/>
      <c r="K1128" s="24">
        <v>10</v>
      </c>
      <c r="L1128" s="24">
        <v>60</v>
      </c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>
        <v>10</v>
      </c>
      <c r="Z1128" s="23"/>
      <c r="AA1128" s="23"/>
      <c r="AB1128" s="23"/>
      <c r="AC1128" s="23"/>
      <c r="AD1128" s="23"/>
      <c r="AE1128" s="23"/>
      <c r="AF1128" s="23">
        <v>10</v>
      </c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>
        <v>10</v>
      </c>
      <c r="AQ1128" s="23"/>
      <c r="AR1128" s="23"/>
      <c r="AS1128" s="23"/>
      <c r="AT1128" s="23"/>
      <c r="AU1128" s="14" t="str">
        <f>HYPERLINK("http://www.openstreetmap.org/?mlat=33.3851&amp;mlon=44.7014&amp;zoom=12#map=12/33.3851/44.7014","Maplink1")</f>
        <v>Maplink1</v>
      </c>
      <c r="AV1128" s="14" t="str">
        <f>HYPERLINK("https://www.google.iq/maps/search/+33.3851,44.7014/@33.3851,44.7014,14z?hl=en","Maplink2")</f>
        <v>Maplink2</v>
      </c>
      <c r="AW1128" s="14" t="str">
        <f>HYPERLINK("http://www.bing.com/maps/?lvl=14&amp;sty=h&amp;cp=33.3851~44.7014&amp;sp=point.33.3851_44.7014_Dawood Salman Village","Maplink3")</f>
        <v>Maplink3</v>
      </c>
    </row>
    <row r="1129" spans="1:49" ht="15" customHeight="1" x14ac:dyDescent="0.25">
      <c r="A1129" s="21">
        <v>25838</v>
      </c>
      <c r="B1129" s="22" t="s">
        <v>11</v>
      </c>
      <c r="C1129" s="22" t="s">
        <v>2154</v>
      </c>
      <c r="D1129" s="22" t="s">
        <v>8552</v>
      </c>
      <c r="E1129" s="22" t="s">
        <v>7868</v>
      </c>
      <c r="F1129" s="22">
        <v>33.269888303400002</v>
      </c>
      <c r="G1129" s="22">
        <v>44.606344021799998</v>
      </c>
      <c r="H1129" s="21" t="s">
        <v>1449</v>
      </c>
      <c r="I1129" s="21" t="s">
        <v>2157</v>
      </c>
      <c r="J1129" s="21"/>
      <c r="K1129" s="24">
        <v>24</v>
      </c>
      <c r="L1129" s="24">
        <v>144</v>
      </c>
      <c r="M1129" s="23"/>
      <c r="N1129" s="23"/>
      <c r="O1129" s="23"/>
      <c r="P1129" s="23"/>
      <c r="Q1129" s="23"/>
      <c r="R1129" s="23">
        <v>3</v>
      </c>
      <c r="S1129" s="23"/>
      <c r="T1129" s="23"/>
      <c r="U1129" s="23"/>
      <c r="V1129" s="23"/>
      <c r="W1129" s="23"/>
      <c r="X1129" s="23"/>
      <c r="Y1129" s="23">
        <v>10</v>
      </c>
      <c r="Z1129" s="23"/>
      <c r="AA1129" s="23">
        <v>11</v>
      </c>
      <c r="AB1129" s="23"/>
      <c r="AC1129" s="23"/>
      <c r="AD1129" s="23"/>
      <c r="AE1129" s="23"/>
      <c r="AF1129" s="23">
        <v>24</v>
      </c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>
        <v>12</v>
      </c>
      <c r="AQ1129" s="23">
        <v>12</v>
      </c>
      <c r="AR1129" s="23"/>
      <c r="AS1129" s="23"/>
      <c r="AT1129" s="23"/>
      <c r="AU1129" s="14" t="str">
        <f>HYPERLINK("http://www.openstreetmap.org/?mlat=33.2104&amp;mlon=44.548&amp;zoom=12#map=12/33.2104/44.548","Maplink1")</f>
        <v>Maplink1</v>
      </c>
      <c r="AV1129" s="14" t="str">
        <f>HYPERLINK("https://www.google.iq/maps/search/+33.2104,44.548/@33.2104,44.548,14z?hl=en","Maplink2")</f>
        <v>Maplink2</v>
      </c>
      <c r="AW1129" s="14" t="str">
        <f>HYPERLINK("http://www.bing.com/maps/?lvl=14&amp;sty=h&amp;cp=33.2104~44.548&amp;sp=point.33.2104_44.548_Al-Jisr-Hatef Al Defaay","Maplink3")</f>
        <v>Maplink3</v>
      </c>
    </row>
    <row r="1130" spans="1:49" ht="15" customHeight="1" x14ac:dyDescent="0.25">
      <c r="A1130" s="21">
        <v>27417</v>
      </c>
      <c r="B1130" s="22" t="s">
        <v>11</v>
      </c>
      <c r="C1130" s="22" t="s">
        <v>2154</v>
      </c>
      <c r="D1130" s="22" t="s">
        <v>2189</v>
      </c>
      <c r="E1130" s="22" t="s">
        <v>2190</v>
      </c>
      <c r="F1130" s="22">
        <v>33.185510714499998</v>
      </c>
      <c r="G1130" s="22">
        <v>44.530732780699999</v>
      </c>
      <c r="H1130" s="21" t="s">
        <v>1449</v>
      </c>
      <c r="I1130" s="21" t="s">
        <v>2157</v>
      </c>
      <c r="J1130" s="21"/>
      <c r="K1130" s="24">
        <v>77</v>
      </c>
      <c r="L1130" s="24">
        <v>462</v>
      </c>
      <c r="M1130" s="23">
        <v>26</v>
      </c>
      <c r="N1130" s="23"/>
      <c r="O1130" s="23">
        <v>6</v>
      </c>
      <c r="P1130" s="23"/>
      <c r="Q1130" s="23"/>
      <c r="R1130" s="23">
        <v>3</v>
      </c>
      <c r="S1130" s="23"/>
      <c r="T1130" s="23"/>
      <c r="U1130" s="23"/>
      <c r="V1130" s="23"/>
      <c r="W1130" s="23"/>
      <c r="X1130" s="23"/>
      <c r="Y1130" s="23">
        <v>33</v>
      </c>
      <c r="Z1130" s="23"/>
      <c r="AA1130" s="23">
        <v>9</v>
      </c>
      <c r="AB1130" s="23"/>
      <c r="AC1130" s="23"/>
      <c r="AD1130" s="23"/>
      <c r="AE1130" s="23"/>
      <c r="AF1130" s="23">
        <v>31</v>
      </c>
      <c r="AG1130" s="23"/>
      <c r="AH1130" s="23"/>
      <c r="AI1130" s="23"/>
      <c r="AJ1130" s="23"/>
      <c r="AK1130" s="23">
        <v>46</v>
      </c>
      <c r="AL1130" s="23"/>
      <c r="AM1130" s="23"/>
      <c r="AN1130" s="23"/>
      <c r="AO1130" s="23"/>
      <c r="AP1130" s="23">
        <v>28</v>
      </c>
      <c r="AQ1130" s="23"/>
      <c r="AR1130" s="23">
        <v>33</v>
      </c>
      <c r="AS1130" s="23">
        <v>16</v>
      </c>
      <c r="AT1130" s="23"/>
      <c r="AU1130" s="14" t="str">
        <f>HYPERLINK("http://www.openstreetmap.org/?mlat=33.1001&amp;mlon=44.5805&amp;zoom=12#map=12/33.1001/44.5805","Maplink1")</f>
        <v>Maplink1</v>
      </c>
      <c r="AV1130" s="14" t="str">
        <f>HYPERLINK("https://www.google.iq/maps/search/+33.1001,44.5805/@33.1001,44.5805,14z?hl=en","Maplink2")</f>
        <v>Maplink2</v>
      </c>
      <c r="AW1130" s="14" t="str">
        <f>HYPERLINK("http://www.bing.com/maps/?lvl=14&amp;sty=h&amp;cp=33.1001~44.5805&amp;sp=point.33.1001_44.5805_Hay Al Arooba","Maplink3")</f>
        <v>Maplink3</v>
      </c>
    </row>
    <row r="1131" spans="1:49" ht="15" customHeight="1" x14ac:dyDescent="0.25">
      <c r="A1131" s="21">
        <v>27393</v>
      </c>
      <c r="B1131" s="22" t="s">
        <v>11</v>
      </c>
      <c r="C1131" s="22" t="s">
        <v>2154</v>
      </c>
      <c r="D1131" s="22" t="s">
        <v>8553</v>
      </c>
      <c r="E1131" s="22" t="s">
        <v>141</v>
      </c>
      <c r="F1131" s="22">
        <v>33.212318723099997</v>
      </c>
      <c r="G1131" s="22">
        <v>44.5541779697</v>
      </c>
      <c r="H1131" s="21" t="s">
        <v>1449</v>
      </c>
      <c r="I1131" s="21" t="s">
        <v>2157</v>
      </c>
      <c r="J1131" s="21"/>
      <c r="K1131" s="24">
        <v>20</v>
      </c>
      <c r="L1131" s="24">
        <v>120</v>
      </c>
      <c r="M1131" s="23">
        <v>9</v>
      </c>
      <c r="N1131" s="23"/>
      <c r="O1131" s="23"/>
      <c r="P1131" s="23"/>
      <c r="Q1131" s="23"/>
      <c r="R1131" s="23">
        <v>6</v>
      </c>
      <c r="S1131" s="23"/>
      <c r="T1131" s="23"/>
      <c r="U1131" s="23"/>
      <c r="V1131" s="23"/>
      <c r="W1131" s="23"/>
      <c r="X1131" s="23"/>
      <c r="Y1131" s="23">
        <v>5</v>
      </c>
      <c r="Z1131" s="23"/>
      <c r="AA1131" s="23"/>
      <c r="AB1131" s="23"/>
      <c r="AC1131" s="23"/>
      <c r="AD1131" s="23"/>
      <c r="AE1131" s="23"/>
      <c r="AF1131" s="23">
        <v>8</v>
      </c>
      <c r="AG1131" s="23"/>
      <c r="AH1131" s="23"/>
      <c r="AI1131" s="23"/>
      <c r="AJ1131" s="23"/>
      <c r="AK1131" s="23">
        <v>12</v>
      </c>
      <c r="AL1131" s="23"/>
      <c r="AM1131" s="23"/>
      <c r="AN1131" s="23"/>
      <c r="AO1131" s="23"/>
      <c r="AP1131" s="23">
        <v>10</v>
      </c>
      <c r="AQ1131" s="23"/>
      <c r="AR1131" s="23">
        <v>10</v>
      </c>
      <c r="AS1131" s="23"/>
      <c r="AT1131" s="23"/>
      <c r="AU1131" s="14" t="str">
        <f>HYPERLINK("http://www.openstreetmap.org/?mlat=33.2168&amp;mlon=44.5476&amp;zoom=12#map=12/33.2168/44.5476","Maplink1")</f>
        <v>Maplink1</v>
      </c>
      <c r="AV1131" s="14" t="str">
        <f>HYPERLINK("https://www.google.iq/maps/search/+33.2168,44.5476/@33.2168,44.5476,14z?hl=en","Maplink2")</f>
        <v>Maplink2</v>
      </c>
      <c r="AW1131" s="14" t="str">
        <f>HYPERLINK("http://www.bing.com/maps/?lvl=14&amp;sty=h&amp;cp=33.2168~44.5476&amp;sp=point.33.2168_44.5476_Al-Jisr - Hay Al Farwk ","Maplink3")</f>
        <v>Maplink3</v>
      </c>
    </row>
    <row r="1132" spans="1:49" ht="15" customHeight="1" x14ac:dyDescent="0.25">
      <c r="A1132" s="21">
        <v>25133</v>
      </c>
      <c r="B1132" s="22" t="s">
        <v>11</v>
      </c>
      <c r="C1132" s="22" t="s">
        <v>2154</v>
      </c>
      <c r="D1132" s="22" t="s">
        <v>8554</v>
      </c>
      <c r="E1132" s="22" t="s">
        <v>8555</v>
      </c>
      <c r="F1132" s="22">
        <v>33.100027509100002</v>
      </c>
      <c r="G1132" s="22">
        <v>44.6979086483</v>
      </c>
      <c r="H1132" s="21" t="s">
        <v>1449</v>
      </c>
      <c r="I1132" s="21" t="s">
        <v>2157</v>
      </c>
      <c r="J1132" s="21"/>
      <c r="K1132" s="24">
        <v>4</v>
      </c>
      <c r="L1132" s="24">
        <v>24</v>
      </c>
      <c r="M1132" s="23"/>
      <c r="N1132" s="23"/>
      <c r="O1132" s="23"/>
      <c r="P1132" s="23"/>
      <c r="Q1132" s="23"/>
      <c r="R1132" s="23">
        <v>2</v>
      </c>
      <c r="S1132" s="23"/>
      <c r="T1132" s="23"/>
      <c r="U1132" s="23"/>
      <c r="V1132" s="23"/>
      <c r="W1132" s="23"/>
      <c r="X1132" s="23"/>
      <c r="Y1132" s="23">
        <v>2</v>
      </c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>
        <v>4</v>
      </c>
      <c r="AL1132" s="23"/>
      <c r="AM1132" s="23"/>
      <c r="AN1132" s="23"/>
      <c r="AO1132" s="23"/>
      <c r="AP1132" s="23">
        <v>2</v>
      </c>
      <c r="AQ1132" s="23"/>
      <c r="AR1132" s="23">
        <v>2</v>
      </c>
      <c r="AS1132" s="23"/>
      <c r="AT1132" s="23"/>
      <c r="AU1132" s="14" t="str">
        <f>HYPERLINK("http://www.openstreetmap.org/?mlat=33.1266&amp;mlon=44.691&amp;zoom=12#map=12/33.1266/44.691","Maplink1")</f>
        <v>Maplink1</v>
      </c>
      <c r="AV1132" s="14" t="str">
        <f>HYPERLINK("https://www.google.iq/maps/search/+33.1266,44.691/@33.1266,44.691,14z?hl=en","Maplink2")</f>
        <v>Maplink2</v>
      </c>
      <c r="AW1132" s="14" t="str">
        <f>HYPERLINK("http://www.bing.com/maps/?lvl=14&amp;sty=h&amp;cp=33.1266~44.691&amp;sp=point.33.1266_44.691_Wehda Area-Hay Al Huda","Maplink3")</f>
        <v>Maplink3</v>
      </c>
    </row>
    <row r="1133" spans="1:49" ht="15" customHeight="1" x14ac:dyDescent="0.25">
      <c r="A1133" s="21">
        <v>27418</v>
      </c>
      <c r="B1133" s="22" t="s">
        <v>11</v>
      </c>
      <c r="C1133" s="22" t="s">
        <v>2154</v>
      </c>
      <c r="D1133" s="22" t="s">
        <v>2191</v>
      </c>
      <c r="E1133" s="22" t="s">
        <v>2192</v>
      </c>
      <c r="F1133" s="22">
        <v>33.186858021699997</v>
      </c>
      <c r="G1133" s="22">
        <v>44.539775513099997</v>
      </c>
      <c r="H1133" s="21" t="s">
        <v>1449</v>
      </c>
      <c r="I1133" s="21" t="s">
        <v>2157</v>
      </c>
      <c r="J1133" s="21"/>
      <c r="K1133" s="24">
        <v>70</v>
      </c>
      <c r="L1133" s="24">
        <v>420</v>
      </c>
      <c r="M1133" s="23">
        <v>36</v>
      </c>
      <c r="N1133" s="23"/>
      <c r="O1133" s="23">
        <v>9</v>
      </c>
      <c r="P1133" s="23"/>
      <c r="Q1133" s="23"/>
      <c r="R1133" s="23">
        <v>5</v>
      </c>
      <c r="S1133" s="23"/>
      <c r="T1133" s="23"/>
      <c r="U1133" s="23"/>
      <c r="V1133" s="23"/>
      <c r="W1133" s="23"/>
      <c r="X1133" s="23"/>
      <c r="Y1133" s="23">
        <v>10</v>
      </c>
      <c r="Z1133" s="23"/>
      <c r="AA1133" s="23">
        <v>10</v>
      </c>
      <c r="AB1133" s="23"/>
      <c r="AC1133" s="23"/>
      <c r="AD1133" s="23"/>
      <c r="AE1133" s="23"/>
      <c r="AF1133" s="23">
        <v>21</v>
      </c>
      <c r="AG1133" s="23"/>
      <c r="AH1133" s="23"/>
      <c r="AI1133" s="23"/>
      <c r="AJ1133" s="23"/>
      <c r="AK1133" s="23">
        <v>49</v>
      </c>
      <c r="AL1133" s="23"/>
      <c r="AM1133" s="23"/>
      <c r="AN1133" s="23"/>
      <c r="AO1133" s="23"/>
      <c r="AP1133" s="23">
        <v>14</v>
      </c>
      <c r="AQ1133" s="23"/>
      <c r="AR1133" s="23">
        <v>28</v>
      </c>
      <c r="AS1133" s="23">
        <v>28</v>
      </c>
      <c r="AT1133" s="23"/>
      <c r="AU1133" s="14" t="str">
        <f>HYPERLINK("http://www.openstreetmap.org/?mlat=33.1001&amp;mlon=44.5806&amp;zoom=12#map=12/33.1001/44.5806","Maplink1")</f>
        <v>Maplink1</v>
      </c>
      <c r="AV1133" s="14" t="str">
        <f>HYPERLINK("https://www.google.iq/maps/search/+33.1001,44.5806/@33.1001,44.5806,14z?hl=en","Maplink2")</f>
        <v>Maplink2</v>
      </c>
      <c r="AW1133" s="14" t="str">
        <f>HYPERLINK("http://www.bing.com/maps/?lvl=14&amp;sty=h&amp;cp=33.1001~44.5806&amp;sp=point.33.1001_44.5806_Hay al Jamaiya","Maplink3")</f>
        <v>Maplink3</v>
      </c>
    </row>
    <row r="1134" spans="1:49" ht="15" customHeight="1" x14ac:dyDescent="0.25">
      <c r="A1134" s="21">
        <v>24998</v>
      </c>
      <c r="B1134" s="22" t="s">
        <v>11</v>
      </c>
      <c r="C1134" s="22" t="s">
        <v>2154</v>
      </c>
      <c r="D1134" s="22" t="s">
        <v>4208</v>
      </c>
      <c r="E1134" s="22" t="s">
        <v>4209</v>
      </c>
      <c r="F1134" s="22">
        <v>33.3725149976</v>
      </c>
      <c r="G1134" s="22">
        <v>44.694452472000002</v>
      </c>
      <c r="H1134" s="21" t="s">
        <v>1449</v>
      </c>
      <c r="I1134" s="21" t="s">
        <v>2157</v>
      </c>
      <c r="J1134" s="21"/>
      <c r="K1134" s="24">
        <v>10</v>
      </c>
      <c r="L1134" s="24">
        <v>60</v>
      </c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>
        <v>10</v>
      </c>
      <c r="Z1134" s="23"/>
      <c r="AA1134" s="23"/>
      <c r="AB1134" s="23"/>
      <c r="AC1134" s="23"/>
      <c r="AD1134" s="23"/>
      <c r="AE1134" s="23"/>
      <c r="AF1134" s="23">
        <v>10</v>
      </c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>
        <v>10</v>
      </c>
      <c r="AQ1134" s="23"/>
      <c r="AR1134" s="23"/>
      <c r="AS1134" s="23"/>
      <c r="AT1134" s="23"/>
      <c r="AU1134" s="14" t="str">
        <f>HYPERLINK("http://www.openstreetmap.org/?mlat=33.3851&amp;mlon=44.7014&amp;zoom=12#map=12/33.3851/44.7014","Maplink1")</f>
        <v>Maplink1</v>
      </c>
      <c r="AV1134" s="14" t="str">
        <f>HYPERLINK("https://www.google.iq/maps/search/+33.3851,44.7014/@33.3851,44.7014,14z?hl=en","Maplink2")</f>
        <v>Maplink2</v>
      </c>
      <c r="AW1134" s="14" t="str">
        <f>HYPERLINK("http://www.bing.com/maps/?lvl=14&amp;sty=h&amp;cp=33.3851~44.7014&amp;sp=point.33.3851_44.7014_Al Nahrawan-7000 Sector","Maplink3")</f>
        <v>Maplink3</v>
      </c>
    </row>
    <row r="1135" spans="1:49" ht="15" customHeight="1" x14ac:dyDescent="0.25">
      <c r="A1135" s="21">
        <v>24996</v>
      </c>
      <c r="B1135" s="22" t="s">
        <v>11</v>
      </c>
      <c r="C1135" s="22" t="s">
        <v>2154</v>
      </c>
      <c r="D1135" s="22" t="s">
        <v>8556</v>
      </c>
      <c r="E1135" s="22" t="s">
        <v>887</v>
      </c>
      <c r="F1135" s="22">
        <v>33.372545381999998</v>
      </c>
      <c r="G1135" s="22">
        <v>44.689742429200003</v>
      </c>
      <c r="H1135" s="21" t="s">
        <v>1449</v>
      </c>
      <c r="I1135" s="21" t="s">
        <v>2157</v>
      </c>
      <c r="J1135" s="21"/>
      <c r="K1135" s="24">
        <v>8</v>
      </c>
      <c r="L1135" s="24">
        <v>48</v>
      </c>
      <c r="M1135" s="23"/>
      <c r="N1135" s="23"/>
      <c r="O1135" s="23"/>
      <c r="P1135" s="23"/>
      <c r="Q1135" s="23"/>
      <c r="R1135" s="23">
        <v>8</v>
      </c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>
        <v>8</v>
      </c>
      <c r="AL1135" s="23"/>
      <c r="AM1135" s="23"/>
      <c r="AN1135" s="23"/>
      <c r="AO1135" s="23"/>
      <c r="AP1135" s="23"/>
      <c r="AQ1135" s="23">
        <v>8</v>
      </c>
      <c r="AR1135" s="23"/>
      <c r="AS1135" s="23"/>
      <c r="AT1135" s="23"/>
      <c r="AU1135" s="14" t="str">
        <f>HYPERLINK("http://www.openstreetmap.org/?mlat=33.3851&amp;mlon=44.7014&amp;zoom=12#map=12/33.3851/44.7014","Maplink1")</f>
        <v>Maplink1</v>
      </c>
      <c r="AV1135" s="14" t="str">
        <f>HYPERLINK("https://www.google.iq/maps/search/+33.3851,44.7014/@33.3851,44.7014,14z?hl=en","Maplink2")</f>
        <v>Maplink2</v>
      </c>
      <c r="AW1135" s="14" t="str">
        <f>HYPERLINK("http://www.bing.com/maps/?lvl=14&amp;sty=h&amp;cp=33.3851~44.7014&amp;sp=point.33.3851_44.7014_Al Nahrawan-5000 Sector","Maplink3")</f>
        <v>Maplink3</v>
      </c>
    </row>
    <row r="1136" spans="1:49" ht="15" customHeight="1" x14ac:dyDescent="0.25">
      <c r="A1136" s="21">
        <v>22878</v>
      </c>
      <c r="B1136" s="22" t="s">
        <v>11</v>
      </c>
      <c r="C1136" s="22" t="s">
        <v>2154</v>
      </c>
      <c r="D1136" s="22" t="s">
        <v>428</v>
      </c>
      <c r="E1136" s="22" t="s">
        <v>429</v>
      </c>
      <c r="F1136" s="22">
        <v>33.126364686400002</v>
      </c>
      <c r="G1136" s="22">
        <v>44.678633078300003</v>
      </c>
      <c r="H1136" s="21" t="s">
        <v>1449</v>
      </c>
      <c r="I1136" s="21" t="s">
        <v>2157</v>
      </c>
      <c r="J1136" s="21" t="s">
        <v>2193</v>
      </c>
      <c r="K1136" s="24">
        <v>2</v>
      </c>
      <c r="L1136" s="24">
        <v>12</v>
      </c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>
        <v>2</v>
      </c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>
        <v>2</v>
      </c>
      <c r="AL1136" s="23"/>
      <c r="AM1136" s="23"/>
      <c r="AN1136" s="23"/>
      <c r="AO1136" s="23"/>
      <c r="AP1136" s="23"/>
      <c r="AQ1136" s="23"/>
      <c r="AR1136" s="23">
        <v>2</v>
      </c>
      <c r="AS1136" s="23"/>
      <c r="AT1136" s="23"/>
      <c r="AU1136" s="14" t="str">
        <f>HYPERLINK("http://www.openstreetmap.org/?mlat=33.255&amp;mlon=44.6062&amp;zoom=12#map=12/33.255/44.6062","Maplink1")</f>
        <v>Maplink1</v>
      </c>
      <c r="AV1136" s="14" t="str">
        <f>HYPERLINK("https://www.google.iq/maps/search/+33.255,44.6062/@33.255,44.6062,14z?hl=en","Maplink2")</f>
        <v>Maplink2</v>
      </c>
      <c r="AW1136" s="14" t="str">
        <f>HYPERLINK("http://www.bing.com/maps/?lvl=14&amp;sty=h&amp;cp=33.255~44.6062&amp;sp=point.33.255_44.6062_Hay Al Mustafa","Maplink3")</f>
        <v>Maplink3</v>
      </c>
    </row>
    <row r="1137" spans="1:49" ht="15" customHeight="1" x14ac:dyDescent="0.25">
      <c r="A1137" s="21">
        <v>7680</v>
      </c>
      <c r="B1137" s="22" t="s">
        <v>11</v>
      </c>
      <c r="C1137" s="22" t="s">
        <v>2154</v>
      </c>
      <c r="D1137" s="22" t="s">
        <v>2194</v>
      </c>
      <c r="E1137" s="22" t="s">
        <v>225</v>
      </c>
      <c r="F1137" s="22">
        <v>33.189500500400001</v>
      </c>
      <c r="G1137" s="22">
        <v>44.544226136100001</v>
      </c>
      <c r="H1137" s="21" t="s">
        <v>1449</v>
      </c>
      <c r="I1137" s="21" t="s">
        <v>2157</v>
      </c>
      <c r="J1137" s="21" t="s">
        <v>2195</v>
      </c>
      <c r="K1137" s="24">
        <v>81</v>
      </c>
      <c r="L1137" s="24">
        <v>486</v>
      </c>
      <c r="M1137" s="23">
        <v>30</v>
      </c>
      <c r="N1137" s="23"/>
      <c r="O1137" s="23"/>
      <c r="P1137" s="23"/>
      <c r="Q1137" s="23"/>
      <c r="R1137" s="23">
        <v>7</v>
      </c>
      <c r="S1137" s="23"/>
      <c r="T1137" s="23"/>
      <c r="U1137" s="23"/>
      <c r="V1137" s="23"/>
      <c r="W1137" s="23"/>
      <c r="X1137" s="23"/>
      <c r="Y1137" s="23">
        <v>22</v>
      </c>
      <c r="Z1137" s="23"/>
      <c r="AA1137" s="23">
        <v>22</v>
      </c>
      <c r="AB1137" s="23"/>
      <c r="AC1137" s="23"/>
      <c r="AD1137" s="23"/>
      <c r="AE1137" s="23"/>
      <c r="AF1137" s="23">
        <v>22</v>
      </c>
      <c r="AG1137" s="23"/>
      <c r="AH1137" s="23"/>
      <c r="AI1137" s="23"/>
      <c r="AJ1137" s="23"/>
      <c r="AK1137" s="23">
        <v>59</v>
      </c>
      <c r="AL1137" s="23"/>
      <c r="AM1137" s="23"/>
      <c r="AN1137" s="23"/>
      <c r="AO1137" s="23"/>
      <c r="AP1137" s="23">
        <v>28</v>
      </c>
      <c r="AQ1137" s="23"/>
      <c r="AR1137" s="23">
        <v>42</v>
      </c>
      <c r="AS1137" s="23">
        <v>11</v>
      </c>
      <c r="AT1137" s="23"/>
      <c r="AU1137" s="14" t="str">
        <f>HYPERLINK("http://www.openstreetmap.org/?mlat=33.1&amp;mlon=44.5803&amp;zoom=12#map=12/33.1/44.5803","Maplink1")</f>
        <v>Maplink1</v>
      </c>
      <c r="AV1137" s="14" t="str">
        <f>HYPERLINK("https://www.google.iq/maps/search/+33.1,44.5803/@33.1,44.5803,14z?hl=en","Maplink2")</f>
        <v>Maplink2</v>
      </c>
      <c r="AW1137" s="14" t="str">
        <f>HYPERLINK("http://www.bing.com/maps/?lvl=14&amp;sty=h&amp;cp=33.1~44.5803&amp;sp=point.33.1_44.5803_Hay al Qadsiya ","Maplink3")</f>
        <v>Maplink3</v>
      </c>
    </row>
    <row r="1138" spans="1:49" ht="15" customHeight="1" x14ac:dyDescent="0.25">
      <c r="A1138" s="21">
        <v>25132</v>
      </c>
      <c r="B1138" s="22" t="s">
        <v>11</v>
      </c>
      <c r="C1138" s="22" t="s">
        <v>2154</v>
      </c>
      <c r="D1138" s="22" t="s">
        <v>868</v>
      </c>
      <c r="E1138" s="22" t="s">
        <v>869</v>
      </c>
      <c r="F1138" s="22">
        <v>33.120079976200003</v>
      </c>
      <c r="G1138" s="22">
        <v>44.691712206200002</v>
      </c>
      <c r="H1138" s="21" t="s">
        <v>1449</v>
      </c>
      <c r="I1138" s="21" t="s">
        <v>2157</v>
      </c>
      <c r="J1138" s="21"/>
      <c r="K1138" s="24">
        <v>13</v>
      </c>
      <c r="L1138" s="24">
        <v>78</v>
      </c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>
        <v>13</v>
      </c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>
        <v>13</v>
      </c>
      <c r="AL1138" s="23"/>
      <c r="AM1138" s="23"/>
      <c r="AN1138" s="23"/>
      <c r="AO1138" s="23"/>
      <c r="AP1138" s="23">
        <v>6</v>
      </c>
      <c r="AQ1138" s="23"/>
      <c r="AR1138" s="23">
        <v>7</v>
      </c>
      <c r="AS1138" s="23"/>
      <c r="AT1138" s="23"/>
      <c r="AU1138" s="14" t="str">
        <f>HYPERLINK("http://www.openstreetmap.org/?mlat=33.1266&amp;mlon=44.691&amp;zoom=12#map=12/33.1266/44.691","Maplink1")</f>
        <v>Maplink1</v>
      </c>
      <c r="AV1138" s="14" t="str">
        <f>HYPERLINK("https://www.google.iq/maps/search/+33.1266,44.691/@33.1266,44.691,14z?hl=en","Maplink2")</f>
        <v>Maplink2</v>
      </c>
      <c r="AW1138" s="14" t="str">
        <f>HYPERLINK("http://www.bing.com/maps/?lvl=14&amp;sty=h&amp;cp=33.1266~44.691&amp;sp=point.33.1266_44.691_Hay Al Rasool","Maplink3")</f>
        <v>Maplink3</v>
      </c>
    </row>
    <row r="1139" spans="1:49" ht="15" customHeight="1" x14ac:dyDescent="0.25">
      <c r="A1139" s="21">
        <v>24993</v>
      </c>
      <c r="B1139" s="22" t="s">
        <v>11</v>
      </c>
      <c r="C1139" s="22" t="s">
        <v>2154</v>
      </c>
      <c r="D1139" s="22" t="s">
        <v>8557</v>
      </c>
      <c r="E1139" s="22" t="s">
        <v>1148</v>
      </c>
      <c r="F1139" s="22">
        <v>33.369423123099999</v>
      </c>
      <c r="G1139" s="22">
        <v>44.671704154499999</v>
      </c>
      <c r="H1139" s="21" t="s">
        <v>1449</v>
      </c>
      <c r="I1139" s="21" t="s">
        <v>2157</v>
      </c>
      <c r="J1139" s="21"/>
      <c r="K1139" s="24">
        <v>16</v>
      </c>
      <c r="L1139" s="24">
        <v>96</v>
      </c>
      <c r="M1139" s="23"/>
      <c r="N1139" s="23"/>
      <c r="O1139" s="23"/>
      <c r="P1139" s="23"/>
      <c r="Q1139" s="23"/>
      <c r="R1139" s="23">
        <v>16</v>
      </c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>
        <v>16</v>
      </c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23">
        <v>16</v>
      </c>
      <c r="AS1139" s="23"/>
      <c r="AT1139" s="23"/>
      <c r="AU1139" s="14" t="str">
        <f>HYPERLINK("http://www.openstreetmap.org/?mlat=33.3851&amp;mlon=44.7014&amp;zoom=12#map=12/33.3851/44.7014","Maplink1")</f>
        <v>Maplink1</v>
      </c>
      <c r="AV1139" s="14" t="str">
        <f>HYPERLINK("https://www.google.iq/maps/search/+33.3851,44.7014/@33.3851,44.7014,14z?hl=en","Maplink2")</f>
        <v>Maplink2</v>
      </c>
      <c r="AW1139" s="14" t="str">
        <f>HYPERLINK("http://www.bing.com/maps/?lvl=14&amp;sty=h&amp;cp=33.3851~44.7014&amp;sp=point.33.3851_44.7014_Al Nahrawan-2000 Sector","Maplink3")</f>
        <v>Maplink3</v>
      </c>
    </row>
    <row r="1140" spans="1:49" ht="15" customHeight="1" x14ac:dyDescent="0.25">
      <c r="A1140" s="21">
        <v>24995</v>
      </c>
      <c r="B1140" s="22" t="s">
        <v>11</v>
      </c>
      <c r="C1140" s="22" t="s">
        <v>2154</v>
      </c>
      <c r="D1140" s="22" t="s">
        <v>8558</v>
      </c>
      <c r="E1140" s="22" t="s">
        <v>5771</v>
      </c>
      <c r="F1140" s="22">
        <v>33.372273934100001</v>
      </c>
      <c r="G1140" s="22">
        <v>44.683032715700001</v>
      </c>
      <c r="H1140" s="21" t="s">
        <v>1449</v>
      </c>
      <c r="I1140" s="21" t="s">
        <v>2157</v>
      </c>
      <c r="J1140" s="21"/>
      <c r="K1140" s="24">
        <v>6</v>
      </c>
      <c r="L1140" s="24">
        <v>36</v>
      </c>
      <c r="M1140" s="23"/>
      <c r="N1140" s="23"/>
      <c r="O1140" s="23"/>
      <c r="P1140" s="23"/>
      <c r="Q1140" s="23"/>
      <c r="R1140" s="23">
        <v>6</v>
      </c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>
        <v>6</v>
      </c>
      <c r="AL1140" s="23"/>
      <c r="AM1140" s="23"/>
      <c r="AN1140" s="23"/>
      <c r="AO1140" s="23"/>
      <c r="AP1140" s="23"/>
      <c r="AQ1140" s="23">
        <v>6</v>
      </c>
      <c r="AR1140" s="23"/>
      <c r="AS1140" s="23"/>
      <c r="AT1140" s="23"/>
      <c r="AU1140" s="14" t="str">
        <f>HYPERLINK("http://www.openstreetmap.org/?mlat=33.3851&amp;mlon=44.7013&amp;zoom=12#map=12/33.3851/44.7013","Maplink1")</f>
        <v>Maplink1</v>
      </c>
      <c r="AV1140" s="14" t="str">
        <f>HYPERLINK("https://www.google.iq/maps/search/+33.3851,44.7013/@33.3851,44.7013,14z?hl=en","Maplink2")</f>
        <v>Maplink2</v>
      </c>
      <c r="AW1140" s="14" t="str">
        <f>HYPERLINK("http://www.bing.com/maps/?lvl=14&amp;sty=h&amp;cp=33.3851~44.7013&amp;sp=point.33.3851_44.7013_Al Nahrawan-4000 Sector","Maplink3")</f>
        <v>Maplink3</v>
      </c>
    </row>
    <row r="1141" spans="1:49" ht="15" customHeight="1" x14ac:dyDescent="0.25">
      <c r="A1141" s="21">
        <v>25839</v>
      </c>
      <c r="B1141" s="22" t="s">
        <v>11</v>
      </c>
      <c r="C1141" s="22" t="s">
        <v>2154</v>
      </c>
      <c r="D1141" s="22" t="s">
        <v>227</v>
      </c>
      <c r="E1141" s="22" t="s">
        <v>150</v>
      </c>
      <c r="F1141" s="22">
        <v>33.236981383500002</v>
      </c>
      <c r="G1141" s="22">
        <v>44.524213420199999</v>
      </c>
      <c r="H1141" s="21" t="s">
        <v>1449</v>
      </c>
      <c r="I1141" s="21" t="s">
        <v>2157</v>
      </c>
      <c r="J1141" s="21"/>
      <c r="K1141" s="24">
        <v>32</v>
      </c>
      <c r="L1141" s="24">
        <v>192</v>
      </c>
      <c r="M1141" s="23"/>
      <c r="N1141" s="23"/>
      <c r="O1141" s="23"/>
      <c r="P1141" s="23"/>
      <c r="Q1141" s="23"/>
      <c r="R1141" s="23">
        <v>8</v>
      </c>
      <c r="S1141" s="23"/>
      <c r="T1141" s="23"/>
      <c r="U1141" s="23">
        <v>1</v>
      </c>
      <c r="V1141" s="23"/>
      <c r="W1141" s="23"/>
      <c r="X1141" s="23"/>
      <c r="Y1141" s="23">
        <v>5</v>
      </c>
      <c r="Z1141" s="23"/>
      <c r="AA1141" s="23">
        <v>18</v>
      </c>
      <c r="AB1141" s="23"/>
      <c r="AC1141" s="23"/>
      <c r="AD1141" s="23"/>
      <c r="AE1141" s="23"/>
      <c r="AF1141" s="23">
        <v>26</v>
      </c>
      <c r="AG1141" s="23"/>
      <c r="AH1141" s="23"/>
      <c r="AI1141" s="23"/>
      <c r="AJ1141" s="23"/>
      <c r="AK1141" s="23">
        <v>6</v>
      </c>
      <c r="AL1141" s="23"/>
      <c r="AM1141" s="23"/>
      <c r="AN1141" s="23"/>
      <c r="AO1141" s="23"/>
      <c r="AP1141" s="23"/>
      <c r="AQ1141" s="23">
        <v>16</v>
      </c>
      <c r="AR1141" s="23">
        <v>16</v>
      </c>
      <c r="AS1141" s="23"/>
      <c r="AT1141" s="23"/>
      <c r="AU1141" s="14" t="str">
        <f>HYPERLINK("http://www.openstreetmap.org/?mlat=33.2168&amp;mlon=44.5476&amp;zoom=12#map=12/33.2168/44.5476","Maplink1")</f>
        <v>Maplink1</v>
      </c>
      <c r="AV1141" s="14" t="str">
        <f>HYPERLINK("https://www.google.iq/maps/search/+33.2168,44.5476/@33.2168,44.5476,14z?hl=en","Maplink2")</f>
        <v>Maplink2</v>
      </c>
      <c r="AW1141" s="14" t="str">
        <f>HYPERLINK("http://www.bing.com/maps/?lvl=14&amp;sty=h&amp;cp=33.2168~44.5476&amp;sp=point.33.2168_44.5476_Al-Jisr-Hay Al Salam","Maplink3")</f>
        <v>Maplink3</v>
      </c>
    </row>
    <row r="1142" spans="1:49" ht="15" customHeight="1" x14ac:dyDescent="0.25">
      <c r="A1142" s="21">
        <v>25134</v>
      </c>
      <c r="B1142" s="22" t="s">
        <v>11</v>
      </c>
      <c r="C1142" s="22" t="s">
        <v>2154</v>
      </c>
      <c r="D1142" s="22" t="s">
        <v>227</v>
      </c>
      <c r="E1142" s="22" t="s">
        <v>150</v>
      </c>
      <c r="F1142" s="22">
        <v>33.126590391400001</v>
      </c>
      <c r="G1142" s="22">
        <v>44.690639038</v>
      </c>
      <c r="H1142" s="21" t="s">
        <v>1449</v>
      </c>
      <c r="I1142" s="21" t="s">
        <v>2157</v>
      </c>
      <c r="J1142" s="21"/>
      <c r="K1142" s="24">
        <v>13</v>
      </c>
      <c r="L1142" s="24">
        <v>78</v>
      </c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>
        <v>2</v>
      </c>
      <c r="Z1142" s="23"/>
      <c r="AA1142" s="23">
        <v>11</v>
      </c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>
        <v>13</v>
      </c>
      <c r="AL1142" s="23"/>
      <c r="AM1142" s="23"/>
      <c r="AN1142" s="23"/>
      <c r="AO1142" s="23"/>
      <c r="AP1142" s="23">
        <v>11</v>
      </c>
      <c r="AQ1142" s="23"/>
      <c r="AR1142" s="23">
        <v>2</v>
      </c>
      <c r="AS1142" s="23"/>
      <c r="AT1142" s="23"/>
      <c r="AU1142" s="14" t="str">
        <f>HYPERLINK("http://www.openstreetmap.org/?mlat=33.1266&amp;mlon=44.691&amp;zoom=12#map=12/33.1266/44.691","Maplink1")</f>
        <v>Maplink1</v>
      </c>
      <c r="AV1142" s="14" t="str">
        <f>HYPERLINK("https://www.google.iq/maps/search/+33.1266,44.691/@33.1266,44.691,14z?hl=en","Maplink2")</f>
        <v>Maplink2</v>
      </c>
      <c r="AW1142" s="14" t="str">
        <f>HYPERLINK("http://www.bing.com/maps/?lvl=14&amp;sty=h&amp;cp=33.1266~44.691&amp;sp=point.33.1266_44.691_Al Wehda area-Hay Al Salam","Maplink3")</f>
        <v>Maplink3</v>
      </c>
    </row>
    <row r="1143" spans="1:49" ht="15" customHeight="1" x14ac:dyDescent="0.25">
      <c r="A1143" s="21">
        <v>24997</v>
      </c>
      <c r="B1143" s="22" t="s">
        <v>11</v>
      </c>
      <c r="C1143" s="22" t="s">
        <v>2154</v>
      </c>
      <c r="D1143" s="22" t="s">
        <v>8559</v>
      </c>
      <c r="E1143" s="22" t="s">
        <v>8560</v>
      </c>
      <c r="F1143" s="22">
        <v>33.374437135599997</v>
      </c>
      <c r="G1143" s="22">
        <v>44.698204295700002</v>
      </c>
      <c r="H1143" s="21" t="s">
        <v>1449</v>
      </c>
      <c r="I1143" s="21" t="s">
        <v>2157</v>
      </c>
      <c r="J1143" s="21"/>
      <c r="K1143" s="24">
        <v>7</v>
      </c>
      <c r="L1143" s="24">
        <v>42</v>
      </c>
      <c r="M1143" s="23"/>
      <c r="N1143" s="23"/>
      <c r="O1143" s="23"/>
      <c r="P1143" s="23"/>
      <c r="Q1143" s="23"/>
      <c r="R1143" s="23">
        <v>7</v>
      </c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>
        <v>7</v>
      </c>
      <c r="AL1143" s="23"/>
      <c r="AM1143" s="23"/>
      <c r="AN1143" s="23"/>
      <c r="AO1143" s="23"/>
      <c r="AP1143" s="23"/>
      <c r="AQ1143" s="23"/>
      <c r="AR1143" s="23">
        <v>7</v>
      </c>
      <c r="AS1143" s="23"/>
      <c r="AT1143" s="23"/>
      <c r="AU1143" s="14" t="str">
        <f>HYPERLINK("http://www.openstreetmap.org/?mlat=33.3851&amp;mlon=44.7014&amp;zoom=12#map=12/33.3851/44.7014","Maplink1")</f>
        <v>Maplink1</v>
      </c>
      <c r="AV1143" s="14" t="str">
        <f>HYPERLINK("https://www.google.iq/maps/search/+33.3851,44.7014/@33.3851,44.7014,14z?hl=en","Maplink2")</f>
        <v>Maplink2</v>
      </c>
      <c r="AW1143" s="14" t="str">
        <f>HYPERLINK("http://www.bing.com/maps/?lvl=14&amp;sty=h&amp;cp=33.3851~44.7014&amp;sp=point.33.3851_44.7014_Al Nahrawan-6000 Sector","Maplink3")</f>
        <v>Maplink3</v>
      </c>
    </row>
    <row r="1144" spans="1:49" ht="15" customHeight="1" x14ac:dyDescent="0.25">
      <c r="A1144" s="21">
        <v>23010</v>
      </c>
      <c r="B1144" s="22" t="s">
        <v>11</v>
      </c>
      <c r="C1144" s="22" t="s">
        <v>2154</v>
      </c>
      <c r="D1144" s="22" t="s">
        <v>4877</v>
      </c>
      <c r="E1144" s="22" t="s">
        <v>2196</v>
      </c>
      <c r="F1144" s="22">
        <v>33.1238422403</v>
      </c>
      <c r="G1144" s="22">
        <v>44.685266249400001</v>
      </c>
      <c r="H1144" s="21" t="s">
        <v>1449</v>
      </c>
      <c r="I1144" s="21" t="s">
        <v>2157</v>
      </c>
      <c r="J1144" s="21" t="s">
        <v>2197</v>
      </c>
      <c r="K1144" s="24">
        <v>4</v>
      </c>
      <c r="L1144" s="24">
        <v>24</v>
      </c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>
        <v>4</v>
      </c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>
        <v>4</v>
      </c>
      <c r="AL1144" s="23"/>
      <c r="AM1144" s="23"/>
      <c r="AN1144" s="23"/>
      <c r="AO1144" s="23"/>
      <c r="AP1144" s="23">
        <v>4</v>
      </c>
      <c r="AQ1144" s="23"/>
      <c r="AR1144" s="23"/>
      <c r="AS1144" s="23"/>
      <c r="AT1144" s="23"/>
      <c r="AU1144" s="14" t="str">
        <f>HYPERLINK("http://www.openstreetmap.org/?mlat=33.0983&amp;mlon=44.5841&amp;zoom=12#map=12/33.0983/44.5841","Maplink1")</f>
        <v>Maplink1</v>
      </c>
      <c r="AV1144" s="14" t="str">
        <f>HYPERLINK("https://www.google.iq/maps/search/+33.0983,44.5841/@33.0983,44.5841,14z?hl=en","Maplink2")</f>
        <v>Maplink2</v>
      </c>
      <c r="AW1144" s="14" t="str">
        <f>HYPERLINK("http://www.bing.com/maps/?lvl=14&amp;sty=h&amp;cp=33.0983~44.5841&amp;sp=point.33.0983_44.5841_Hay Al Zahra-Al Wihda","Maplink3")</f>
        <v>Maplink3</v>
      </c>
    </row>
    <row r="1145" spans="1:49" ht="15" customHeight="1" x14ac:dyDescent="0.25">
      <c r="A1145" s="21">
        <v>24994</v>
      </c>
      <c r="B1145" s="22" t="s">
        <v>11</v>
      </c>
      <c r="C1145" s="22" t="s">
        <v>2154</v>
      </c>
      <c r="D1145" s="22" t="s">
        <v>872</v>
      </c>
      <c r="E1145" s="22" t="s">
        <v>2196</v>
      </c>
      <c r="F1145" s="22">
        <v>33.366550854400003</v>
      </c>
      <c r="G1145" s="22">
        <v>44.667028393599999</v>
      </c>
      <c r="H1145" s="21" t="s">
        <v>1449</v>
      </c>
      <c r="I1145" s="21" t="s">
        <v>2157</v>
      </c>
      <c r="J1145" s="21"/>
      <c r="K1145" s="24">
        <v>7</v>
      </c>
      <c r="L1145" s="24">
        <v>42</v>
      </c>
      <c r="M1145" s="23">
        <v>7</v>
      </c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>
        <v>7</v>
      </c>
      <c r="AG1145" s="23"/>
      <c r="AH1145" s="23"/>
      <c r="AI1145" s="23"/>
      <c r="AJ1145" s="23"/>
      <c r="AK1145" s="23"/>
      <c r="AL1145" s="23"/>
      <c r="AM1145" s="23"/>
      <c r="AN1145" s="23"/>
      <c r="AO1145" s="23">
        <v>7</v>
      </c>
      <c r="AP1145" s="23"/>
      <c r="AQ1145" s="23"/>
      <c r="AR1145" s="23"/>
      <c r="AS1145" s="23"/>
      <c r="AT1145" s="23"/>
      <c r="AU1145" s="14" t="str">
        <f>HYPERLINK("http://www.openstreetmap.org/?mlat=33.3851&amp;mlon=44.7014&amp;zoom=12#map=12/33.3851/44.7014","Maplink1")</f>
        <v>Maplink1</v>
      </c>
      <c r="AV1145" s="14" t="str">
        <f>HYPERLINK("https://www.google.iq/maps/search/+33.3851,44.7014/@33.3851,44.7014,14z?hl=en","Maplink2")</f>
        <v>Maplink2</v>
      </c>
      <c r="AW1145" s="14" t="str">
        <f>HYPERLINK("http://www.bing.com/maps/?lvl=14&amp;sty=h&amp;cp=33.3851~44.7014&amp;sp=point.33.3851_44.7014_Al Nahrawan-3000 Sector","Maplink3")</f>
        <v>Maplink3</v>
      </c>
    </row>
    <row r="1146" spans="1:49" ht="15" customHeight="1" x14ac:dyDescent="0.25">
      <c r="A1146" s="21">
        <v>21298</v>
      </c>
      <c r="B1146" s="22" t="s">
        <v>11</v>
      </c>
      <c r="C1146" s="22" t="s">
        <v>2154</v>
      </c>
      <c r="D1146" s="22" t="s">
        <v>2198</v>
      </c>
      <c r="E1146" s="22" t="s">
        <v>4807</v>
      </c>
      <c r="F1146" s="22">
        <v>33.231239193100002</v>
      </c>
      <c r="G1146" s="22">
        <v>44.517897320899998</v>
      </c>
      <c r="H1146" s="21" t="s">
        <v>1449</v>
      </c>
      <c r="I1146" s="21" t="s">
        <v>2157</v>
      </c>
      <c r="J1146" s="21" t="s">
        <v>2199</v>
      </c>
      <c r="K1146" s="24">
        <v>10</v>
      </c>
      <c r="L1146" s="24">
        <v>60</v>
      </c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>
        <v>10</v>
      </c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>
        <v>10</v>
      </c>
      <c r="AL1146" s="23"/>
      <c r="AM1146" s="23"/>
      <c r="AN1146" s="23"/>
      <c r="AO1146" s="23"/>
      <c r="AP1146" s="23">
        <v>10</v>
      </c>
      <c r="AQ1146" s="23"/>
      <c r="AR1146" s="23"/>
      <c r="AS1146" s="23"/>
      <c r="AT1146" s="23"/>
      <c r="AU1146" s="14" t="str">
        <f>HYPERLINK("http://www.openstreetmap.org/?mlat=33.2174&amp;mlon=44.5535&amp;zoom=12#map=12/33.2174/44.5535","Maplink1")</f>
        <v>Maplink1</v>
      </c>
      <c r="AV1146" s="14" t="str">
        <f>HYPERLINK("https://www.google.iq/maps/search/+33.2174,44.5535/@33.2174,44.5535,14z?hl=en","Maplink2")</f>
        <v>Maplink2</v>
      </c>
      <c r="AW1146" s="14" t="str">
        <f>HYPERLINK("http://www.bing.com/maps/?lvl=14&amp;sty=h&amp;cp=33.2174~44.5535&amp;sp=point.33.2174_44.5535_Hay Al-Muntathar","Maplink3")</f>
        <v>Maplink3</v>
      </c>
    </row>
    <row r="1147" spans="1:49" ht="15" customHeight="1" x14ac:dyDescent="0.25">
      <c r="A1147" s="21">
        <v>25835</v>
      </c>
      <c r="B1147" s="22" t="s">
        <v>11</v>
      </c>
      <c r="C1147" s="22" t="s">
        <v>2154</v>
      </c>
      <c r="D1147" s="22" t="s">
        <v>2200</v>
      </c>
      <c r="E1147" s="22" t="s">
        <v>2201</v>
      </c>
      <c r="F1147" s="22">
        <v>33.226255103900002</v>
      </c>
      <c r="G1147" s="22">
        <v>44.520450448600002</v>
      </c>
      <c r="H1147" s="21" t="s">
        <v>1449</v>
      </c>
      <c r="I1147" s="21" t="s">
        <v>2157</v>
      </c>
      <c r="J1147" s="21"/>
      <c r="K1147" s="24">
        <v>18</v>
      </c>
      <c r="L1147" s="24">
        <v>108</v>
      </c>
      <c r="M1147" s="23">
        <v>3</v>
      </c>
      <c r="N1147" s="23"/>
      <c r="O1147" s="23"/>
      <c r="P1147" s="23"/>
      <c r="Q1147" s="23"/>
      <c r="R1147" s="23">
        <v>2</v>
      </c>
      <c r="S1147" s="23"/>
      <c r="T1147" s="23"/>
      <c r="U1147" s="23"/>
      <c r="V1147" s="23"/>
      <c r="W1147" s="23"/>
      <c r="X1147" s="23"/>
      <c r="Y1147" s="23">
        <v>3</v>
      </c>
      <c r="Z1147" s="23"/>
      <c r="AA1147" s="23">
        <v>10</v>
      </c>
      <c r="AB1147" s="23"/>
      <c r="AC1147" s="23"/>
      <c r="AD1147" s="23"/>
      <c r="AE1147" s="23"/>
      <c r="AF1147" s="23">
        <v>8</v>
      </c>
      <c r="AG1147" s="23"/>
      <c r="AH1147" s="23"/>
      <c r="AI1147" s="23"/>
      <c r="AJ1147" s="23"/>
      <c r="AK1147" s="23">
        <v>10</v>
      </c>
      <c r="AL1147" s="23"/>
      <c r="AM1147" s="23"/>
      <c r="AN1147" s="23"/>
      <c r="AO1147" s="23"/>
      <c r="AP1147" s="23">
        <v>3</v>
      </c>
      <c r="AQ1147" s="23"/>
      <c r="AR1147" s="23">
        <v>12</v>
      </c>
      <c r="AS1147" s="23">
        <v>3</v>
      </c>
      <c r="AT1147" s="23"/>
      <c r="AU1147" s="14" t="str">
        <f>HYPERLINK("http://www.openstreetmap.org/?mlat=33.2278&amp;mlon=44.5485&amp;zoom=12#map=12/33.2278/44.5485","Maplink1")</f>
        <v>Maplink1</v>
      </c>
      <c r="AV1147" s="14" t="str">
        <f>HYPERLINK("https://www.google.iq/maps/search/+33.2278,44.5485/@33.2278,44.5485,14z?hl=en","Maplink2")</f>
        <v>Maplink2</v>
      </c>
      <c r="AW1147" s="14" t="str">
        <f>HYPERLINK("http://www.bing.com/maps/?lvl=14&amp;sty=h&amp;cp=33.2278~44.5485&amp;sp=point.33.2278_44.5485_Hay Ali Al kaaby","Maplink3")</f>
        <v>Maplink3</v>
      </c>
    </row>
    <row r="1148" spans="1:49" ht="15" customHeight="1" x14ac:dyDescent="0.25">
      <c r="A1148" s="21">
        <v>24992</v>
      </c>
      <c r="B1148" s="22" t="s">
        <v>11</v>
      </c>
      <c r="C1148" s="22" t="s">
        <v>2154</v>
      </c>
      <c r="D1148" s="22" t="s">
        <v>8561</v>
      </c>
      <c r="E1148" s="22" t="s">
        <v>2262</v>
      </c>
      <c r="F1148" s="22">
        <v>33.3706762176</v>
      </c>
      <c r="G1148" s="22">
        <v>44.675334692</v>
      </c>
      <c r="H1148" s="21" t="s">
        <v>1449</v>
      </c>
      <c r="I1148" s="21" t="s">
        <v>2157</v>
      </c>
      <c r="J1148" s="21"/>
      <c r="K1148" s="24">
        <v>9</v>
      </c>
      <c r="L1148" s="24">
        <v>54</v>
      </c>
      <c r="M1148" s="23">
        <v>9</v>
      </c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>
        <v>9</v>
      </c>
      <c r="AG1148" s="23"/>
      <c r="AH1148" s="23"/>
      <c r="AI1148" s="23"/>
      <c r="AJ1148" s="23"/>
      <c r="AK1148" s="23"/>
      <c r="AL1148" s="23"/>
      <c r="AM1148" s="23"/>
      <c r="AN1148" s="23"/>
      <c r="AO1148" s="23">
        <v>9</v>
      </c>
      <c r="AP1148" s="23"/>
      <c r="AQ1148" s="23"/>
      <c r="AR1148" s="23"/>
      <c r="AS1148" s="23"/>
      <c r="AT1148" s="23"/>
      <c r="AU1148" s="14" t="str">
        <f>HYPERLINK("http://www.openstreetmap.org/?mlat=33.3851&amp;mlon=44.7014&amp;zoom=12#map=12/33.3851/44.7014","Maplink1")</f>
        <v>Maplink1</v>
      </c>
      <c r="AV1148" s="14" t="str">
        <f>HYPERLINK("https://www.google.iq/maps/search/+33.3851,44.7014/@33.3851,44.7014,14z?hl=en","Maplink2")</f>
        <v>Maplink2</v>
      </c>
      <c r="AW1148" s="14" t="str">
        <f>HYPERLINK("http://www.bing.com/maps/?lvl=14&amp;sty=h&amp;cp=33.3851~44.7014&amp;sp=point.33.3851_44.7014_Al Nahrawan-1000 Sector","Maplink3")</f>
        <v>Maplink3</v>
      </c>
    </row>
    <row r="1149" spans="1:49" ht="15" customHeight="1" x14ac:dyDescent="0.25">
      <c r="A1149" s="21">
        <v>24999</v>
      </c>
      <c r="B1149" s="22" t="s">
        <v>11</v>
      </c>
      <c r="C1149" s="22" t="s">
        <v>2154</v>
      </c>
      <c r="D1149" s="22" t="s">
        <v>8562</v>
      </c>
      <c r="E1149" s="22" t="s">
        <v>8563</v>
      </c>
      <c r="F1149" s="22">
        <v>33.372283363699999</v>
      </c>
      <c r="G1149" s="22">
        <v>44.687624825199997</v>
      </c>
      <c r="H1149" s="21" t="s">
        <v>1449</v>
      </c>
      <c r="I1149" s="21" t="s">
        <v>2157</v>
      </c>
      <c r="J1149" s="21"/>
      <c r="K1149" s="24">
        <v>15</v>
      </c>
      <c r="L1149" s="24">
        <v>90</v>
      </c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>
        <v>15</v>
      </c>
      <c r="Z1149" s="23"/>
      <c r="AA1149" s="23"/>
      <c r="AB1149" s="23"/>
      <c r="AC1149" s="23"/>
      <c r="AD1149" s="23"/>
      <c r="AE1149" s="23"/>
      <c r="AF1149" s="23">
        <v>15</v>
      </c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>
        <v>15</v>
      </c>
      <c r="AQ1149" s="23"/>
      <c r="AR1149" s="23"/>
      <c r="AS1149" s="23"/>
      <c r="AT1149" s="23"/>
      <c r="AU1149" s="14" t="str">
        <f>HYPERLINK("http://www.openstreetmap.org/?mlat=33.3851&amp;mlon=44.7013&amp;zoom=12#map=12/33.3851/44.7013","Maplink1")</f>
        <v>Maplink1</v>
      </c>
      <c r="AV1149" s="14" t="str">
        <f>HYPERLINK("https://www.google.iq/maps/search/+33.3851,44.7013/@33.3851,44.7013,14z?hl=en","Maplink2")</f>
        <v>Maplink2</v>
      </c>
      <c r="AW1149" s="14" t="str">
        <f>HYPERLINK("http://www.bing.com/maps/?lvl=14&amp;sty=h&amp;cp=33.3851~44.7013&amp;sp=point.33.3851_44.7013_Al Nahrawan-8000 Sector","Maplink3")</f>
        <v>Maplink3</v>
      </c>
    </row>
    <row r="1150" spans="1:49" ht="15" customHeight="1" x14ac:dyDescent="0.25">
      <c r="A1150" s="21">
        <v>27416</v>
      </c>
      <c r="B1150" s="22" t="s">
        <v>11</v>
      </c>
      <c r="C1150" s="22" t="s">
        <v>2154</v>
      </c>
      <c r="D1150" s="22" t="s">
        <v>8564</v>
      </c>
      <c r="E1150" s="22" t="s">
        <v>8565</v>
      </c>
      <c r="F1150" s="22">
        <v>33.184843640799997</v>
      </c>
      <c r="G1150" s="22">
        <v>44.522978682100003</v>
      </c>
      <c r="H1150" s="21" t="s">
        <v>1449</v>
      </c>
      <c r="I1150" s="21" t="s">
        <v>2157</v>
      </c>
      <c r="J1150" s="21"/>
      <c r="K1150" s="24">
        <v>70</v>
      </c>
      <c r="L1150" s="24">
        <v>420</v>
      </c>
      <c r="M1150" s="23">
        <v>28</v>
      </c>
      <c r="N1150" s="23"/>
      <c r="O1150" s="23"/>
      <c r="P1150" s="23"/>
      <c r="Q1150" s="23"/>
      <c r="R1150" s="23">
        <v>4</v>
      </c>
      <c r="S1150" s="23"/>
      <c r="T1150" s="23"/>
      <c r="U1150" s="23"/>
      <c r="V1150" s="23"/>
      <c r="W1150" s="23"/>
      <c r="X1150" s="23"/>
      <c r="Y1150" s="23">
        <v>18</v>
      </c>
      <c r="Z1150" s="23"/>
      <c r="AA1150" s="23">
        <v>20</v>
      </c>
      <c r="AB1150" s="23"/>
      <c r="AC1150" s="23"/>
      <c r="AD1150" s="23"/>
      <c r="AE1150" s="23"/>
      <c r="AF1150" s="23">
        <v>25</v>
      </c>
      <c r="AG1150" s="23"/>
      <c r="AH1150" s="23"/>
      <c r="AI1150" s="23"/>
      <c r="AJ1150" s="23"/>
      <c r="AK1150" s="23">
        <v>45</v>
      </c>
      <c r="AL1150" s="23"/>
      <c r="AM1150" s="23"/>
      <c r="AN1150" s="23"/>
      <c r="AO1150" s="23"/>
      <c r="AP1150" s="23">
        <v>12</v>
      </c>
      <c r="AQ1150" s="23"/>
      <c r="AR1150" s="23">
        <v>43</v>
      </c>
      <c r="AS1150" s="23">
        <v>15</v>
      </c>
      <c r="AT1150" s="23"/>
      <c r="AU1150" s="14" t="str">
        <f>HYPERLINK("http://www.openstreetmap.org/?mlat=33.1&amp;mlon=44.5803&amp;zoom=12#map=12/33.1/44.5803","Maplink1")</f>
        <v>Maplink1</v>
      </c>
      <c r="AV1150" s="14" t="str">
        <f>HYPERLINK("https://www.google.iq/maps/search/+33.1,44.5803/@33.1,44.5803,14z?hl=en","Maplink2")</f>
        <v>Maplink2</v>
      </c>
      <c r="AW1150" s="14" t="str">
        <f>HYPERLINK("http://www.bing.com/maps/?lvl=14&amp;sty=h&amp;cp=33.1~44.5803&amp;sp=point.33.1_44.5803_Jaara (Mada'in Center)","Maplink3")</f>
        <v>Maplink3</v>
      </c>
    </row>
    <row r="1151" spans="1:49" ht="15" customHeight="1" x14ac:dyDescent="0.25">
      <c r="A1151" s="21">
        <v>25836</v>
      </c>
      <c r="B1151" s="22" t="s">
        <v>11</v>
      </c>
      <c r="C1151" s="22" t="s">
        <v>2154</v>
      </c>
      <c r="D1151" s="22" t="s">
        <v>8566</v>
      </c>
      <c r="E1151" s="22" t="s">
        <v>2182</v>
      </c>
      <c r="F1151" s="22">
        <v>33.213616032200001</v>
      </c>
      <c r="G1151" s="22">
        <v>44.552460182499999</v>
      </c>
      <c r="H1151" s="21" t="s">
        <v>1449</v>
      </c>
      <c r="I1151" s="21" t="s">
        <v>2157</v>
      </c>
      <c r="J1151" s="21"/>
      <c r="K1151" s="24">
        <v>16</v>
      </c>
      <c r="L1151" s="24">
        <v>96</v>
      </c>
      <c r="M1151" s="23"/>
      <c r="N1151" s="23"/>
      <c r="O1151" s="23"/>
      <c r="P1151" s="23"/>
      <c r="Q1151" s="23"/>
      <c r="R1151" s="23">
        <v>2</v>
      </c>
      <c r="S1151" s="23"/>
      <c r="T1151" s="23"/>
      <c r="U1151" s="23"/>
      <c r="V1151" s="23"/>
      <c r="W1151" s="23"/>
      <c r="X1151" s="23"/>
      <c r="Y1151" s="23">
        <v>14</v>
      </c>
      <c r="Z1151" s="23"/>
      <c r="AA1151" s="23"/>
      <c r="AB1151" s="23"/>
      <c r="AC1151" s="23"/>
      <c r="AD1151" s="23"/>
      <c r="AE1151" s="23"/>
      <c r="AF1151" s="23">
        <v>16</v>
      </c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>
        <v>16</v>
      </c>
      <c r="AQ1151" s="23"/>
      <c r="AR1151" s="23"/>
      <c r="AS1151" s="23"/>
      <c r="AT1151" s="23"/>
      <c r="AU1151" s="14" t="str">
        <f>HYPERLINK("http://www.openstreetmap.org/?mlat=33.2156&amp;mlon=44.548&amp;zoom=12#map=12/33.2156/44.548","Maplink1")</f>
        <v>Maplink1</v>
      </c>
      <c r="AV1151" s="14" t="str">
        <f>HYPERLINK("https://www.google.iq/maps/search/+33.2156,44.548/@33.2156,44.548,14z?hl=en","Maplink2")</f>
        <v>Maplink2</v>
      </c>
      <c r="AW1151" s="14" t="str">
        <f>HYPERLINK("http://www.bing.com/maps/?lvl=14&amp;sty=h&amp;cp=33.2156~44.548&amp;sp=point.33.2156_44.548_Al-Jisr-Juref Al Nadaaf","Maplink3")</f>
        <v>Maplink3</v>
      </c>
    </row>
    <row r="1152" spans="1:49" ht="15" customHeight="1" x14ac:dyDescent="0.25">
      <c r="A1152" s="21">
        <v>25009</v>
      </c>
      <c r="B1152" s="22" t="s">
        <v>11</v>
      </c>
      <c r="C1152" s="22" t="s">
        <v>2154</v>
      </c>
      <c r="D1152" s="22" t="s">
        <v>2202</v>
      </c>
      <c r="E1152" s="22" t="s">
        <v>2203</v>
      </c>
      <c r="F1152" s="22">
        <v>33.321713833099999</v>
      </c>
      <c r="G1152" s="22">
        <v>44.614989599200001</v>
      </c>
      <c r="H1152" s="21" t="s">
        <v>1449</v>
      </c>
      <c r="I1152" s="21" t="s">
        <v>2157</v>
      </c>
      <c r="J1152" s="21"/>
      <c r="K1152" s="24">
        <v>13</v>
      </c>
      <c r="L1152" s="24">
        <v>78</v>
      </c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>
        <v>13</v>
      </c>
      <c r="Z1152" s="23"/>
      <c r="AA1152" s="23"/>
      <c r="AB1152" s="23"/>
      <c r="AC1152" s="23"/>
      <c r="AD1152" s="23"/>
      <c r="AE1152" s="23"/>
      <c r="AF1152" s="23">
        <v>13</v>
      </c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>
        <v>13</v>
      </c>
      <c r="AQ1152" s="23"/>
      <c r="AR1152" s="23"/>
      <c r="AS1152" s="23"/>
      <c r="AT1152" s="23"/>
      <c r="AU1152" s="14" t="str">
        <f>HYPERLINK("http://www.openstreetmap.org/?mlat=33.3852&amp;mlon=44.7014&amp;zoom=12#map=12/33.3852/44.7014","Maplink1")</f>
        <v>Maplink1</v>
      </c>
      <c r="AV1152" s="14" t="str">
        <f>HYPERLINK("https://www.google.iq/maps/search/+33.3852,44.7014/@33.3852,44.7014,14z?hl=en","Maplink2")</f>
        <v>Maplink2</v>
      </c>
      <c r="AW1152" s="14" t="str">
        <f>HYPERLINK("http://www.bing.com/maps/?lvl=14&amp;sty=h&amp;cp=33.3852~44.7014&amp;sp=point.33.3852_44.7014_Um Wahab Village","Maplink3")</f>
        <v>Maplink3</v>
      </c>
    </row>
    <row r="1153" spans="1:49" ht="15" customHeight="1" x14ac:dyDescent="0.25">
      <c r="A1153" s="21">
        <v>25438</v>
      </c>
      <c r="B1153" s="22" t="s">
        <v>11</v>
      </c>
      <c r="C1153" s="22" t="s">
        <v>2154</v>
      </c>
      <c r="D1153" s="22" t="s">
        <v>8567</v>
      </c>
      <c r="E1153" s="22" t="s">
        <v>8568</v>
      </c>
      <c r="F1153" s="22">
        <v>33.304190887200001</v>
      </c>
      <c r="G1153" s="22">
        <v>44.6172501024</v>
      </c>
      <c r="H1153" s="21" t="s">
        <v>1449</v>
      </c>
      <c r="I1153" s="21" t="s">
        <v>2157</v>
      </c>
      <c r="J1153" s="21"/>
      <c r="K1153" s="24">
        <v>9</v>
      </c>
      <c r="L1153" s="24">
        <v>54</v>
      </c>
      <c r="M1153" s="23">
        <v>2</v>
      </c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>
        <v>7</v>
      </c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>
        <v>9</v>
      </c>
      <c r="AL1153" s="23"/>
      <c r="AM1153" s="23"/>
      <c r="AN1153" s="23"/>
      <c r="AO1153" s="23"/>
      <c r="AP1153" s="23">
        <v>7</v>
      </c>
      <c r="AQ1153" s="23"/>
      <c r="AR1153" s="23"/>
      <c r="AS1153" s="23">
        <v>2</v>
      </c>
      <c r="AT1153" s="23"/>
      <c r="AU1153" s="14" t="str">
        <f>HYPERLINK("http://www.openstreetmap.org/?mlat=33.255&amp;mlon=44.6062&amp;zoom=12#map=12/33.255/44.6062","Maplink1")</f>
        <v>Maplink1</v>
      </c>
      <c r="AV1153" s="14" t="str">
        <f>HYPERLINK("https://www.google.iq/maps/search/+33.255,44.6062/@33.255,44.6062,14z?hl=en","Maplink2")</f>
        <v>Maplink2</v>
      </c>
      <c r="AW1153" s="14" t="str">
        <f>HYPERLINK("http://www.bing.com/maps/?lvl=14&amp;sty=h&amp;cp=33.255~44.6062&amp;sp=point.33.255_44.6062_Al-Wihda-Village 8","Maplink3")</f>
        <v>Maplink3</v>
      </c>
    </row>
    <row r="1154" spans="1:49" ht="15" customHeight="1" x14ac:dyDescent="0.25">
      <c r="A1154" s="21">
        <v>25831</v>
      </c>
      <c r="B1154" s="22" t="s">
        <v>11</v>
      </c>
      <c r="C1154" s="22" t="s">
        <v>2204</v>
      </c>
      <c r="D1154" s="22" t="s">
        <v>8190</v>
      </c>
      <c r="E1154" s="22" t="s">
        <v>2235</v>
      </c>
      <c r="F1154" s="22">
        <v>33.129363855400001</v>
      </c>
      <c r="G1154" s="22">
        <v>44.358568796900002</v>
      </c>
      <c r="H1154" s="21" t="s">
        <v>1449</v>
      </c>
      <c r="I1154" s="21" t="s">
        <v>2207</v>
      </c>
      <c r="J1154" s="21"/>
      <c r="K1154" s="24">
        <v>27</v>
      </c>
      <c r="L1154" s="24">
        <v>162</v>
      </c>
      <c r="M1154" s="23">
        <v>27</v>
      </c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>
        <v>27</v>
      </c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23"/>
      <c r="AS1154" s="23">
        <v>27</v>
      </c>
      <c r="AT1154" s="23"/>
      <c r="AU1154" s="14" t="str">
        <f>HYPERLINK("http://www.openstreetmap.org/?mlat=33.1301&amp;mlon=44.358&amp;zoom=12#map=12/33.1301/44.358","Maplink1")</f>
        <v>Maplink1</v>
      </c>
      <c r="AV1154" s="14" t="str">
        <f>HYPERLINK("https://www.google.iq/maps/search/+33.1301,44.358/@33.1301,44.358,14z?hl=en","Maplink2")</f>
        <v>Maplink2</v>
      </c>
      <c r="AW1154" s="14" t="str">
        <f>HYPERLINK("http://www.bing.com/maps/?lvl=14&amp;sty=h&amp;cp=33.1301~44.358&amp;sp=point.33.1301_44.358_Al-Rasheed-Khaimat Al Iraq","Maplink3")</f>
        <v>Maplink3</v>
      </c>
    </row>
    <row r="1155" spans="1:49" ht="15" customHeight="1" x14ac:dyDescent="0.25">
      <c r="A1155" s="21">
        <v>23618</v>
      </c>
      <c r="B1155" s="22" t="s">
        <v>11</v>
      </c>
      <c r="C1155" s="22" t="s">
        <v>2204</v>
      </c>
      <c r="D1155" s="22" t="s">
        <v>2205</v>
      </c>
      <c r="E1155" s="22" t="s">
        <v>2206</v>
      </c>
      <c r="F1155" s="22">
        <v>32.9636028587</v>
      </c>
      <c r="G1155" s="22">
        <v>44.357825735299997</v>
      </c>
      <c r="H1155" s="21" t="s">
        <v>1449</v>
      </c>
      <c r="I1155" s="21" t="s">
        <v>2207</v>
      </c>
      <c r="J1155" s="21" t="s">
        <v>2208</v>
      </c>
      <c r="K1155" s="24">
        <v>183</v>
      </c>
      <c r="L1155" s="24">
        <v>1098</v>
      </c>
      <c r="M1155" s="23">
        <v>34</v>
      </c>
      <c r="N1155" s="23">
        <v>97</v>
      </c>
      <c r="O1155" s="23">
        <v>52</v>
      </c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>
        <v>66</v>
      </c>
      <c r="AG1155" s="23"/>
      <c r="AH1155" s="23"/>
      <c r="AI1155" s="23"/>
      <c r="AJ1155" s="23"/>
      <c r="AK1155" s="23">
        <v>117</v>
      </c>
      <c r="AL1155" s="23"/>
      <c r="AM1155" s="23"/>
      <c r="AN1155" s="23"/>
      <c r="AO1155" s="23"/>
      <c r="AP1155" s="23"/>
      <c r="AQ1155" s="23">
        <v>60</v>
      </c>
      <c r="AR1155" s="23">
        <v>102</v>
      </c>
      <c r="AS1155" s="23">
        <v>21</v>
      </c>
      <c r="AT1155" s="23"/>
      <c r="AU1155" s="14" t="str">
        <f>HYPERLINK("http://www.openstreetmap.org/?mlat=32.985&amp;mlon=44.3568&amp;zoom=12#map=12/32.985/44.3568","Maplink1")</f>
        <v>Maplink1</v>
      </c>
      <c r="AV1155" s="14" t="str">
        <f>HYPERLINK("https://www.google.iq/maps/search/+32.985,44.3568/@32.985,44.3568,14z?hl=en","Maplink2")</f>
        <v>Maplink2</v>
      </c>
      <c r="AW1155" s="14" t="str">
        <f>HYPERLINK("http://www.bing.com/maps/?lvl=14&amp;sty=h&amp;cp=32.985~44.3568&amp;sp=point.32.985_44.3568_14 Tamooz","Maplink3")</f>
        <v>Maplink3</v>
      </c>
    </row>
    <row r="1156" spans="1:49" ht="15" customHeight="1" x14ac:dyDescent="0.25">
      <c r="A1156" s="21">
        <v>7491</v>
      </c>
      <c r="B1156" s="22" t="s">
        <v>11</v>
      </c>
      <c r="C1156" s="22" t="s">
        <v>2204</v>
      </c>
      <c r="D1156" s="22" t="s">
        <v>2209</v>
      </c>
      <c r="E1156" s="22" t="s">
        <v>2210</v>
      </c>
      <c r="F1156" s="22">
        <v>33.094358831299999</v>
      </c>
      <c r="G1156" s="22">
        <v>44.301213122100002</v>
      </c>
      <c r="H1156" s="21" t="s">
        <v>1449</v>
      </c>
      <c r="I1156" s="21" t="s">
        <v>2207</v>
      </c>
      <c r="J1156" s="21" t="s">
        <v>2211</v>
      </c>
      <c r="K1156" s="24">
        <v>40</v>
      </c>
      <c r="L1156" s="24">
        <v>240</v>
      </c>
      <c r="M1156" s="23">
        <v>40</v>
      </c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>
        <v>40</v>
      </c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23"/>
      <c r="AS1156" s="23">
        <v>40</v>
      </c>
      <c r="AT1156" s="23"/>
      <c r="AU1156" s="14" t="str">
        <f>HYPERLINK("http://www.openstreetmap.org/?mlat=33.0792&amp;mlon=44.2531&amp;zoom=12#map=12/33.0792/44.2531","Maplink1")</f>
        <v>Maplink1</v>
      </c>
      <c r="AV1156" s="14" t="str">
        <f>HYPERLINK("https://www.google.iq/maps/search/+33.0792,44.2531/@33.0792,44.2531,14z?hl=en","Maplink2")</f>
        <v>Maplink2</v>
      </c>
      <c r="AW1156" s="14" t="str">
        <f>HYPERLINK("http://www.bing.com/maps/?lvl=14&amp;sty=h&amp;cp=33.0792~44.2531&amp;sp=point.33.0792_44.2531_Abu Hswa","Maplink3")</f>
        <v>Maplink3</v>
      </c>
    </row>
    <row r="1157" spans="1:49" ht="15" customHeight="1" x14ac:dyDescent="0.25">
      <c r="A1157" s="21">
        <v>27292</v>
      </c>
      <c r="B1157" s="22" t="s">
        <v>11</v>
      </c>
      <c r="C1157" s="22" t="s">
        <v>2204</v>
      </c>
      <c r="D1157" s="22" t="s">
        <v>2212</v>
      </c>
      <c r="E1157" s="22" t="s">
        <v>7869</v>
      </c>
      <c r="F1157" s="22">
        <v>33.138592099299998</v>
      </c>
      <c r="G1157" s="22">
        <v>44.061968649000001</v>
      </c>
      <c r="H1157" s="21"/>
      <c r="I1157" s="21"/>
      <c r="J1157" s="21"/>
      <c r="K1157" s="24">
        <v>173</v>
      </c>
      <c r="L1157" s="24">
        <v>1038</v>
      </c>
      <c r="M1157" s="23">
        <v>173</v>
      </c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>
        <v>173</v>
      </c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23"/>
      <c r="AS1157" s="23">
        <v>173</v>
      </c>
      <c r="AT1157" s="23"/>
      <c r="AU1157" s="14" t="str">
        <f>HYPERLINK("http://www.openstreetmap.org/?mlat=33.1384&amp;mlon=44.0383&amp;zoom=12#map=12/33.1384/44.0383","Maplink1")</f>
        <v>Maplink1</v>
      </c>
      <c r="AV1157" s="14" t="str">
        <f>HYPERLINK("https://www.google.iq/maps/search/+33.1384,44.0383/@33.1384,44.0383,14z?hl=en","Maplink2")</f>
        <v>Maplink2</v>
      </c>
      <c r="AW1157" s="14" t="str">
        <f>HYPERLINK("http://www.bing.com/maps/?lvl=14&amp;sty=h&amp;cp=33.1384~44.0383&amp;sp=point.33.1384_44.0383_Ahmed Abbas Al Nabit collective center","Maplink3")</f>
        <v>Maplink3</v>
      </c>
    </row>
    <row r="1158" spans="1:49" ht="15" customHeight="1" x14ac:dyDescent="0.25">
      <c r="A1158" s="21">
        <v>23578</v>
      </c>
      <c r="B1158" s="22" t="s">
        <v>11</v>
      </c>
      <c r="C1158" s="22" t="s">
        <v>2204</v>
      </c>
      <c r="D1158" s="22" t="s">
        <v>8569</v>
      </c>
      <c r="E1158" s="22" t="s">
        <v>2227</v>
      </c>
      <c r="F1158" s="22">
        <v>33.144646768699999</v>
      </c>
      <c r="G1158" s="22">
        <v>44.383822373500003</v>
      </c>
      <c r="H1158" s="21" t="s">
        <v>1449</v>
      </c>
      <c r="I1158" s="21" t="s">
        <v>2207</v>
      </c>
      <c r="J1158" s="21" t="s">
        <v>2228</v>
      </c>
      <c r="K1158" s="24">
        <v>98</v>
      </c>
      <c r="L1158" s="24">
        <v>588</v>
      </c>
      <c r="M1158" s="23">
        <v>57</v>
      </c>
      <c r="N1158" s="23"/>
      <c r="O1158" s="23">
        <v>29</v>
      </c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>
        <v>12</v>
      </c>
      <c r="AB1158" s="23"/>
      <c r="AC1158" s="23"/>
      <c r="AD1158" s="23"/>
      <c r="AE1158" s="23"/>
      <c r="AF1158" s="23">
        <v>37</v>
      </c>
      <c r="AG1158" s="23"/>
      <c r="AH1158" s="23">
        <v>7</v>
      </c>
      <c r="AI1158" s="23"/>
      <c r="AJ1158" s="23"/>
      <c r="AK1158" s="23">
        <v>30</v>
      </c>
      <c r="AL1158" s="23"/>
      <c r="AM1158" s="23">
        <v>24</v>
      </c>
      <c r="AN1158" s="23"/>
      <c r="AO1158" s="23">
        <v>19</v>
      </c>
      <c r="AP1158" s="23"/>
      <c r="AQ1158" s="23"/>
      <c r="AR1158" s="23">
        <v>9</v>
      </c>
      <c r="AS1158" s="23">
        <v>62</v>
      </c>
      <c r="AT1158" s="23">
        <v>8</v>
      </c>
      <c r="AU1158" s="14" t="str">
        <f>HYPERLINK("http://www.openstreetmap.org/?mlat=33.1493&amp;mlon=44.3844&amp;zoom=12#map=12/33.1493/44.3844","Maplink1")</f>
        <v>Maplink1</v>
      </c>
      <c r="AV1158" s="14" t="str">
        <f>HYPERLINK("https://www.google.iq/maps/search/+33.1493,44.3844/@33.1493,44.3844,14z?hl=en","Maplink2")</f>
        <v>Maplink2</v>
      </c>
      <c r="AW1158" s="14" t="str">
        <f>HYPERLINK("http://www.bing.com/maps/?lvl=14&amp;sty=h&amp;cp=33.1493~44.3844&amp;sp=point.33.1493_44.3844_Al Rashid-Al Adwaniya","Maplink3")</f>
        <v>Maplink3</v>
      </c>
    </row>
    <row r="1159" spans="1:49" ht="15" customHeight="1" x14ac:dyDescent="0.25">
      <c r="A1159" s="21">
        <v>25147</v>
      </c>
      <c r="B1159" s="22" t="s">
        <v>11</v>
      </c>
      <c r="C1159" s="22" t="s">
        <v>2204</v>
      </c>
      <c r="D1159" s="22" t="s">
        <v>2214</v>
      </c>
      <c r="E1159" s="22" t="s">
        <v>2215</v>
      </c>
      <c r="F1159" s="22">
        <v>33.135917029700003</v>
      </c>
      <c r="G1159" s="22">
        <v>44.312233932399998</v>
      </c>
      <c r="H1159" s="21" t="s">
        <v>1449</v>
      </c>
      <c r="I1159" s="21" t="s">
        <v>2207</v>
      </c>
      <c r="J1159" s="21"/>
      <c r="K1159" s="24">
        <v>25</v>
      </c>
      <c r="L1159" s="24">
        <v>150</v>
      </c>
      <c r="M1159" s="23">
        <v>21</v>
      </c>
      <c r="N1159" s="23"/>
      <c r="O1159" s="23">
        <v>4</v>
      </c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>
        <v>25</v>
      </c>
      <c r="AL1159" s="23"/>
      <c r="AM1159" s="23"/>
      <c r="AN1159" s="23"/>
      <c r="AO1159" s="23">
        <v>4</v>
      </c>
      <c r="AP1159" s="23"/>
      <c r="AQ1159" s="23"/>
      <c r="AR1159" s="23"/>
      <c r="AS1159" s="23">
        <v>17</v>
      </c>
      <c r="AT1159" s="23">
        <v>4</v>
      </c>
      <c r="AU1159" s="14" t="str">
        <f>HYPERLINK("http://www.openstreetmap.org/?mlat=33.0792&amp;mlon=44.2531&amp;zoom=12#map=12/33.0792/44.2531","Maplink1")</f>
        <v>Maplink1</v>
      </c>
      <c r="AV1159" s="14" t="str">
        <f>HYPERLINK("https://www.google.iq/maps/search/+33.0792,44.2531/@33.0792,44.2531,14z?hl=en","Maplink2")</f>
        <v>Maplink2</v>
      </c>
      <c r="AW1159" s="14" t="str">
        <f>HYPERLINK("http://www.bing.com/maps/?lvl=14&amp;sty=h&amp;cp=33.0792~44.2531&amp;sp=point.33.0792_44.2531_Al Kushek Al Ameri","Maplink3")</f>
        <v>Maplink3</v>
      </c>
    </row>
    <row r="1160" spans="1:49" ht="15" customHeight="1" x14ac:dyDescent="0.25">
      <c r="A1160" s="21">
        <v>25150</v>
      </c>
      <c r="B1160" s="22" t="s">
        <v>11</v>
      </c>
      <c r="C1160" s="22" t="s">
        <v>2204</v>
      </c>
      <c r="D1160" s="22" t="s">
        <v>2216</v>
      </c>
      <c r="E1160" s="22" t="s">
        <v>7870</v>
      </c>
      <c r="F1160" s="22">
        <v>32.974650034200003</v>
      </c>
      <c r="G1160" s="22">
        <v>44.357409535800002</v>
      </c>
      <c r="H1160" s="21" t="s">
        <v>1449</v>
      </c>
      <c r="I1160" s="21" t="s">
        <v>2207</v>
      </c>
      <c r="J1160" s="21"/>
      <c r="K1160" s="24">
        <v>262</v>
      </c>
      <c r="L1160" s="24">
        <v>1572</v>
      </c>
      <c r="M1160" s="23">
        <v>83</v>
      </c>
      <c r="N1160" s="23">
        <v>156</v>
      </c>
      <c r="O1160" s="23">
        <v>23</v>
      </c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>
        <v>211</v>
      </c>
      <c r="AG1160" s="23"/>
      <c r="AH1160" s="23"/>
      <c r="AI1160" s="23"/>
      <c r="AJ1160" s="23"/>
      <c r="AK1160" s="23">
        <v>51</v>
      </c>
      <c r="AL1160" s="23"/>
      <c r="AM1160" s="23"/>
      <c r="AN1160" s="23"/>
      <c r="AO1160" s="23"/>
      <c r="AP1160" s="23"/>
      <c r="AQ1160" s="23">
        <v>152</v>
      </c>
      <c r="AR1160" s="23">
        <v>53</v>
      </c>
      <c r="AS1160" s="23">
        <v>57</v>
      </c>
      <c r="AT1160" s="23"/>
      <c r="AU1160" s="14" t="str">
        <f>HYPERLINK("http://www.openstreetmap.org/?mlat=32.985&amp;mlon=44.3568&amp;zoom=12#map=12/32.985/44.3568","Maplink1")</f>
        <v>Maplink1</v>
      </c>
      <c r="AV1160" s="14" t="str">
        <f>HYPERLINK("https://www.google.iq/maps/search/+32.985,44.3568/@32.985,44.3568,14z?hl=en","Maplink2")</f>
        <v>Maplink2</v>
      </c>
      <c r="AW1160" s="14" t="str">
        <f>HYPERLINK("http://www.bing.com/maps/?lvl=14&amp;sty=h&amp;cp=32.985~44.3568&amp;sp=point.32.985_44.3568_Al Latefia-Al Qadessia","Maplink3")</f>
        <v>Maplink3</v>
      </c>
    </row>
    <row r="1161" spans="1:49" ht="15" customHeight="1" x14ac:dyDescent="0.25">
      <c r="A1161" s="21">
        <v>25149</v>
      </c>
      <c r="B1161" s="22" t="s">
        <v>11</v>
      </c>
      <c r="C1161" s="22" t="s">
        <v>2204</v>
      </c>
      <c r="D1161" s="22" t="s">
        <v>2217</v>
      </c>
      <c r="E1161" s="22" t="s">
        <v>7871</v>
      </c>
      <c r="F1161" s="22">
        <v>32.9955138013</v>
      </c>
      <c r="G1161" s="22">
        <v>44.359287006700001</v>
      </c>
      <c r="H1161" s="21" t="s">
        <v>1449</v>
      </c>
      <c r="I1161" s="21" t="s">
        <v>2207</v>
      </c>
      <c r="J1161" s="21"/>
      <c r="K1161" s="24">
        <v>94</v>
      </c>
      <c r="L1161" s="24">
        <v>564</v>
      </c>
      <c r="M1161" s="23">
        <v>1</v>
      </c>
      <c r="N1161" s="23">
        <v>93</v>
      </c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>
        <v>76</v>
      </c>
      <c r="AG1161" s="23"/>
      <c r="AH1161" s="23"/>
      <c r="AI1161" s="23"/>
      <c r="AJ1161" s="23"/>
      <c r="AK1161" s="23">
        <v>18</v>
      </c>
      <c r="AL1161" s="23"/>
      <c r="AM1161" s="23"/>
      <c r="AN1161" s="23"/>
      <c r="AO1161" s="23"/>
      <c r="AP1161" s="23"/>
      <c r="AQ1161" s="23">
        <v>68</v>
      </c>
      <c r="AR1161" s="23">
        <v>22</v>
      </c>
      <c r="AS1161" s="23">
        <v>4</v>
      </c>
      <c r="AT1161" s="23"/>
      <c r="AU1161" s="14" t="str">
        <f>HYPERLINK("http://www.openstreetmap.org/?mlat=32.985&amp;mlon=44.3568&amp;zoom=12#map=12/32.985/44.3568","Maplink1")</f>
        <v>Maplink1</v>
      </c>
      <c r="AV1161" s="14" t="str">
        <f>HYPERLINK("https://www.google.iq/maps/search/+32.985,44.3568/@32.985,44.3568,14z?hl=en","Maplink2")</f>
        <v>Maplink2</v>
      </c>
      <c r="AW1161" s="14" t="str">
        <f>HYPERLINK("http://www.bing.com/maps/?lvl=14&amp;sty=h&amp;cp=32.985~44.3568&amp;sp=point.32.985_44.3568_Al Latefia-Al Salam","Maplink3")</f>
        <v>Maplink3</v>
      </c>
    </row>
    <row r="1162" spans="1:49" ht="15" customHeight="1" x14ac:dyDescent="0.25">
      <c r="A1162" s="21">
        <v>7639</v>
      </c>
      <c r="B1162" s="22" t="s">
        <v>11</v>
      </c>
      <c r="C1162" s="22" t="s">
        <v>2204</v>
      </c>
      <c r="D1162" s="22" t="s">
        <v>2221</v>
      </c>
      <c r="E1162" s="22" t="s">
        <v>2222</v>
      </c>
      <c r="F1162" s="22">
        <v>33.155008849300003</v>
      </c>
      <c r="G1162" s="22">
        <v>44.2432808143</v>
      </c>
      <c r="H1162" s="21" t="s">
        <v>1449</v>
      </c>
      <c r="I1162" s="21" t="s">
        <v>2207</v>
      </c>
      <c r="J1162" s="21" t="s">
        <v>2223</v>
      </c>
      <c r="K1162" s="24">
        <v>62</v>
      </c>
      <c r="L1162" s="24">
        <v>372</v>
      </c>
      <c r="M1162" s="23">
        <v>49</v>
      </c>
      <c r="N1162" s="23"/>
      <c r="O1162" s="23">
        <v>13</v>
      </c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>
        <v>39</v>
      </c>
      <c r="AG1162" s="23"/>
      <c r="AH1162" s="23"/>
      <c r="AI1162" s="23"/>
      <c r="AJ1162" s="23"/>
      <c r="AK1162" s="23">
        <v>23</v>
      </c>
      <c r="AL1162" s="23"/>
      <c r="AM1162" s="23"/>
      <c r="AN1162" s="23"/>
      <c r="AO1162" s="23"/>
      <c r="AP1162" s="23"/>
      <c r="AQ1162" s="23"/>
      <c r="AR1162" s="23">
        <v>13</v>
      </c>
      <c r="AS1162" s="23">
        <v>49</v>
      </c>
      <c r="AT1162" s="23"/>
      <c r="AU1162" s="14" t="str">
        <f>HYPERLINK("http://www.openstreetmap.org/?mlat=33.0792&amp;mlon=44.2531&amp;zoom=12#map=12/33.0792/44.2531","Maplink1")</f>
        <v>Maplink1</v>
      </c>
      <c r="AV1162" s="14" t="str">
        <f>HYPERLINK("https://www.google.iq/maps/search/+33.0792,44.2531/@33.0792,44.2531,14z?hl=en","Maplink2")</f>
        <v>Maplink2</v>
      </c>
      <c r="AW1162" s="14" t="str">
        <f>HYPERLINK("http://www.bing.com/maps/?lvl=14&amp;sty=h&amp;cp=33.0792~44.2531&amp;sp=point.33.0792_44.2531_Al Mketmat village","Maplink3")</f>
        <v>Maplink3</v>
      </c>
    </row>
    <row r="1163" spans="1:49" ht="15" customHeight="1" x14ac:dyDescent="0.25">
      <c r="A1163" s="21">
        <v>25141</v>
      </c>
      <c r="B1163" s="22" t="s">
        <v>11</v>
      </c>
      <c r="C1163" s="22" t="s">
        <v>2204</v>
      </c>
      <c r="D1163" s="22" t="s">
        <v>2224</v>
      </c>
      <c r="E1163" s="22" t="s">
        <v>7872</v>
      </c>
      <c r="F1163" s="22">
        <v>33.079880000000003</v>
      </c>
      <c r="G1163" s="22">
        <v>44.254950000000001</v>
      </c>
      <c r="H1163" s="21" t="s">
        <v>1449</v>
      </c>
      <c r="I1163" s="21" t="s">
        <v>2207</v>
      </c>
      <c r="J1163" s="21"/>
      <c r="K1163" s="24">
        <v>59</v>
      </c>
      <c r="L1163" s="24">
        <v>354</v>
      </c>
      <c r="M1163" s="23">
        <v>59</v>
      </c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>
        <v>11</v>
      </c>
      <c r="AG1163" s="23"/>
      <c r="AH1163" s="23"/>
      <c r="AI1163" s="23"/>
      <c r="AJ1163" s="23"/>
      <c r="AK1163" s="23">
        <v>48</v>
      </c>
      <c r="AL1163" s="23"/>
      <c r="AM1163" s="23"/>
      <c r="AN1163" s="23"/>
      <c r="AO1163" s="23"/>
      <c r="AP1163" s="23"/>
      <c r="AQ1163" s="23"/>
      <c r="AR1163" s="23">
        <v>2</v>
      </c>
      <c r="AS1163" s="23">
        <v>57</v>
      </c>
      <c r="AT1163" s="23"/>
      <c r="AU1163" s="14" t="str">
        <f>HYPERLINK("http://www.openstreetmap.org/?mlat=33.0792&amp;mlon=44.2531&amp;zoom=12#map=12/33.0792/44.2531","Maplink1")</f>
        <v>Maplink1</v>
      </c>
      <c r="AV1163" s="14" t="str">
        <f>HYPERLINK("https://www.google.iq/maps/search/+33.0792,44.2531/@33.0792,44.2531,14z?hl=en","Maplink2")</f>
        <v>Maplink2</v>
      </c>
      <c r="AW1163" s="14" t="str">
        <f>HYPERLINK("http://www.bing.com/maps/?lvl=14&amp;sty=h&amp;cp=33.0792~44.2531&amp;sp=point.33.0792_44.2531_Al Qaser Al Wsat Area-Hai Al Jameia","Maplink3")</f>
        <v>Maplink3</v>
      </c>
    </row>
    <row r="1164" spans="1:49" ht="15" customHeight="1" x14ac:dyDescent="0.25">
      <c r="A1164" s="21">
        <v>25146</v>
      </c>
      <c r="B1164" s="22" t="s">
        <v>11</v>
      </c>
      <c r="C1164" s="22" t="s">
        <v>2204</v>
      </c>
      <c r="D1164" s="22" t="s">
        <v>2225</v>
      </c>
      <c r="E1164" s="22" t="s">
        <v>2226</v>
      </c>
      <c r="F1164" s="22">
        <v>33.216248117399999</v>
      </c>
      <c r="G1164" s="22">
        <v>44.173098430000003</v>
      </c>
      <c r="H1164" s="21" t="s">
        <v>1449</v>
      </c>
      <c r="I1164" s="21" t="s">
        <v>2207</v>
      </c>
      <c r="J1164" s="21"/>
      <c r="K1164" s="24">
        <v>1751</v>
      </c>
      <c r="L1164" s="24">
        <v>10506</v>
      </c>
      <c r="M1164" s="23">
        <v>1145</v>
      </c>
      <c r="N1164" s="23">
        <v>95</v>
      </c>
      <c r="O1164" s="23">
        <v>188</v>
      </c>
      <c r="P1164" s="23"/>
      <c r="Q1164" s="23"/>
      <c r="R1164" s="23"/>
      <c r="S1164" s="23"/>
      <c r="T1164" s="23"/>
      <c r="U1164" s="23">
        <v>164</v>
      </c>
      <c r="V1164" s="23"/>
      <c r="W1164" s="23"/>
      <c r="X1164" s="23"/>
      <c r="Y1164" s="23"/>
      <c r="Z1164" s="23"/>
      <c r="AA1164" s="23">
        <v>159</v>
      </c>
      <c r="AB1164" s="23"/>
      <c r="AC1164" s="23"/>
      <c r="AD1164" s="23"/>
      <c r="AE1164" s="23"/>
      <c r="AF1164" s="23">
        <v>583</v>
      </c>
      <c r="AG1164" s="23"/>
      <c r="AH1164" s="23"/>
      <c r="AI1164" s="23"/>
      <c r="AJ1164" s="23"/>
      <c r="AK1164" s="23">
        <v>1001</v>
      </c>
      <c r="AL1164" s="23"/>
      <c r="AM1164" s="23">
        <v>167</v>
      </c>
      <c r="AN1164" s="23"/>
      <c r="AO1164" s="23">
        <v>89</v>
      </c>
      <c r="AP1164" s="23">
        <v>205</v>
      </c>
      <c r="AQ1164" s="23">
        <v>274</v>
      </c>
      <c r="AR1164" s="23">
        <v>642</v>
      </c>
      <c r="AS1164" s="23">
        <v>261</v>
      </c>
      <c r="AT1164" s="23">
        <v>280</v>
      </c>
      <c r="AU1164" s="14" t="str">
        <f>HYPERLINK("http://www.openstreetmap.org/?mlat=33.0792&amp;mlon=44.2531&amp;zoom=12#map=12/33.0792/44.2531","Maplink1")</f>
        <v>Maplink1</v>
      </c>
      <c r="AV1164" s="14" t="str">
        <f>HYPERLINK("https://www.google.iq/maps/search/+33.0792,44.2531/@33.0792,44.2531,14z?hl=en","Maplink2")</f>
        <v>Maplink2</v>
      </c>
      <c r="AW1164" s="14" t="str">
        <f>HYPERLINK("http://www.bing.com/maps/?lvl=14&amp;sty=h&amp;cp=33.0792~44.2531&amp;sp=point.33.0792_44.2531_Al Radhwania Al Sharkia","Maplink3")</f>
        <v>Maplink3</v>
      </c>
    </row>
    <row r="1165" spans="1:49" ht="15" customHeight="1" x14ac:dyDescent="0.25">
      <c r="A1165" s="21">
        <v>27253</v>
      </c>
      <c r="B1165" s="22" t="s">
        <v>11</v>
      </c>
      <c r="C1165" s="22" t="s">
        <v>2204</v>
      </c>
      <c r="D1165" s="22" t="s">
        <v>2230</v>
      </c>
      <c r="E1165" s="22" t="s">
        <v>2231</v>
      </c>
      <c r="F1165" s="22">
        <v>33.071995887</v>
      </c>
      <c r="G1165" s="22">
        <v>44.355878021499997</v>
      </c>
      <c r="H1165" s="21" t="s">
        <v>1449</v>
      </c>
      <c r="I1165" s="21" t="s">
        <v>2207</v>
      </c>
      <c r="J1165" s="21"/>
      <c r="K1165" s="24">
        <v>68</v>
      </c>
      <c r="L1165" s="24">
        <v>408</v>
      </c>
      <c r="M1165" s="23">
        <v>52</v>
      </c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>
        <v>16</v>
      </c>
      <c r="AB1165" s="23"/>
      <c r="AC1165" s="23"/>
      <c r="AD1165" s="23"/>
      <c r="AE1165" s="23"/>
      <c r="AF1165" s="23">
        <v>30</v>
      </c>
      <c r="AG1165" s="23"/>
      <c r="AH1165" s="23"/>
      <c r="AI1165" s="23"/>
      <c r="AJ1165" s="23"/>
      <c r="AK1165" s="23">
        <v>38</v>
      </c>
      <c r="AL1165" s="23"/>
      <c r="AM1165" s="23"/>
      <c r="AN1165" s="23"/>
      <c r="AO1165" s="23"/>
      <c r="AP1165" s="23"/>
      <c r="AQ1165" s="23"/>
      <c r="AR1165" s="23">
        <v>26</v>
      </c>
      <c r="AS1165" s="23">
        <v>42</v>
      </c>
      <c r="AT1165" s="23"/>
      <c r="AU1165" s="14" t="str">
        <f>HYPERLINK("http://www.openstreetmap.org/?mlat=33.0511&amp;mlon=44.3541&amp;zoom=12#map=12/33.0511/44.3541","Maplink1")</f>
        <v>Maplink1</v>
      </c>
      <c r="AV1165" s="14" t="str">
        <f>HYPERLINK("https://www.google.iq/maps/search/+33.0511,44.3541/@33.0511,44.3541,14z?hl=en","Maplink2")</f>
        <v>Maplink2</v>
      </c>
      <c r="AW1165" s="14" t="str">
        <f>HYPERLINK("http://www.bing.com/maps/?lvl=14&amp;sty=h&amp;cp=33.0511~44.3541&amp;sp=point.33.0511_44.3541_Al sajad Complex","Maplink3")</f>
        <v>Maplink3</v>
      </c>
    </row>
    <row r="1166" spans="1:49" ht="15" customHeight="1" x14ac:dyDescent="0.25">
      <c r="A1166" s="21">
        <v>25775</v>
      </c>
      <c r="B1166" s="22" t="s">
        <v>11</v>
      </c>
      <c r="C1166" s="22" t="s">
        <v>2204</v>
      </c>
      <c r="D1166" s="22" t="s">
        <v>7873</v>
      </c>
      <c r="E1166" s="22" t="s">
        <v>7874</v>
      </c>
      <c r="F1166" s="22">
        <v>33.1123999709</v>
      </c>
      <c r="G1166" s="22">
        <v>44.378571191500001</v>
      </c>
      <c r="H1166" s="21" t="s">
        <v>1449</v>
      </c>
      <c r="I1166" s="21" t="s">
        <v>2207</v>
      </c>
      <c r="J1166" s="21"/>
      <c r="K1166" s="24">
        <v>74</v>
      </c>
      <c r="L1166" s="24">
        <v>444</v>
      </c>
      <c r="M1166" s="23">
        <v>74</v>
      </c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>
        <v>74</v>
      </c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23"/>
      <c r="AS1166" s="23">
        <v>74</v>
      </c>
      <c r="AT1166" s="23"/>
      <c r="AU1166" s="14" t="str">
        <f>HYPERLINK("http://www.openstreetmap.org/?mlat=33.1145&amp;mlon=44.3733&amp;zoom=12#map=12/33.1145/44.3733","Maplink1")</f>
        <v>Maplink1</v>
      </c>
      <c r="AV1166" s="14" t="str">
        <f>HYPERLINK("https://www.google.iq/maps/search/+33.1145,44.3733/@33.1145,44.3733,14z?hl=en","Maplink2")</f>
        <v>Maplink2</v>
      </c>
      <c r="AW1166" s="14" t="str">
        <f>HYPERLINK("http://www.bing.com/maps/?lvl=14&amp;sty=h&amp;cp=33.1145~44.3733&amp;sp=point.33.1145_44.3733_Al Rasheed-Al Wahda Camp","Maplink3")</f>
        <v>Maplink3</v>
      </c>
    </row>
    <row r="1167" spans="1:49" ht="15" customHeight="1" x14ac:dyDescent="0.25">
      <c r="A1167" s="21">
        <v>26102</v>
      </c>
      <c r="B1167" s="22" t="s">
        <v>11</v>
      </c>
      <c r="C1167" s="22" t="s">
        <v>2204</v>
      </c>
      <c r="D1167" s="22" t="s">
        <v>7875</v>
      </c>
      <c r="E1167" s="22" t="s">
        <v>7876</v>
      </c>
      <c r="F1167" s="22">
        <v>33.124557272600001</v>
      </c>
      <c r="G1167" s="22">
        <v>44.050578459199997</v>
      </c>
      <c r="H1167" s="21" t="s">
        <v>1449</v>
      </c>
      <c r="I1167" s="21" t="s">
        <v>2207</v>
      </c>
      <c r="J1167" s="21"/>
      <c r="K1167" s="24">
        <v>43</v>
      </c>
      <c r="L1167" s="24">
        <v>258</v>
      </c>
      <c r="M1167" s="23">
        <v>43</v>
      </c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>
        <v>43</v>
      </c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23"/>
      <c r="AS1167" s="23">
        <v>43</v>
      </c>
      <c r="AT1167" s="23"/>
      <c r="AU1167" s="14" t="str">
        <f>HYPERLINK("http://www.openstreetmap.org/?mlat=33.1393&amp;mlon=44.0391&amp;zoom=12#map=12/33.1393/44.0391","Maplink1")</f>
        <v>Maplink1</v>
      </c>
      <c r="AV1167" s="14" t="str">
        <f>HYPERLINK("https://www.google.iq/maps/search/+33.1393,44.0391/@33.1393,44.0391,14z?hl=en","Maplink2")</f>
        <v>Maplink2</v>
      </c>
      <c r="AW1167" s="14" t="str">
        <f>HYPERLINK("http://www.bing.com/maps/?lvl=14&amp;sty=h&amp;cp=33.1393~44.0391&amp;sp=point.33.1393_44.0391_Al Yousfia-Akrad Zobaa camp","Maplink3")</f>
        <v>Maplink3</v>
      </c>
    </row>
    <row r="1168" spans="1:49" ht="15" customHeight="1" x14ac:dyDescent="0.25">
      <c r="A1168" s="21">
        <v>7753</v>
      </c>
      <c r="B1168" s="22" t="s">
        <v>11</v>
      </c>
      <c r="C1168" s="22" t="s">
        <v>2204</v>
      </c>
      <c r="D1168" s="22" t="s">
        <v>2232</v>
      </c>
      <c r="E1168" s="22" t="s">
        <v>2233</v>
      </c>
      <c r="F1168" s="22">
        <v>33.075060812300002</v>
      </c>
      <c r="G1168" s="22">
        <v>44.345868447299999</v>
      </c>
      <c r="H1168" s="21"/>
      <c r="I1168" s="21"/>
      <c r="J1168" s="21" t="s">
        <v>2234</v>
      </c>
      <c r="K1168" s="24">
        <v>70</v>
      </c>
      <c r="L1168" s="24">
        <v>420</v>
      </c>
      <c r="M1168" s="23">
        <v>58</v>
      </c>
      <c r="N1168" s="23"/>
      <c r="O1168" s="23">
        <v>3</v>
      </c>
      <c r="P1168" s="23"/>
      <c r="Q1168" s="23"/>
      <c r="R1168" s="23"/>
      <c r="S1168" s="23"/>
      <c r="T1168" s="23"/>
      <c r="U1168" s="23"/>
      <c r="V1168" s="23"/>
      <c r="W1168" s="23"/>
      <c r="X1168" s="23"/>
      <c r="Y1168" s="23">
        <v>2</v>
      </c>
      <c r="Z1168" s="23"/>
      <c r="AA1168" s="23">
        <v>7</v>
      </c>
      <c r="AB1168" s="23"/>
      <c r="AC1168" s="23"/>
      <c r="AD1168" s="23"/>
      <c r="AE1168" s="23"/>
      <c r="AF1168" s="23">
        <v>17</v>
      </c>
      <c r="AG1168" s="23"/>
      <c r="AH1168" s="23"/>
      <c r="AI1168" s="23"/>
      <c r="AJ1168" s="23"/>
      <c r="AK1168" s="23">
        <v>53</v>
      </c>
      <c r="AL1168" s="23"/>
      <c r="AM1168" s="23"/>
      <c r="AN1168" s="23"/>
      <c r="AO1168" s="23">
        <v>8</v>
      </c>
      <c r="AP1168" s="23">
        <v>5</v>
      </c>
      <c r="AQ1168" s="23"/>
      <c r="AR1168" s="23"/>
      <c r="AS1168" s="23">
        <v>50</v>
      </c>
      <c r="AT1168" s="23">
        <v>7</v>
      </c>
      <c r="AU1168" s="14" t="str">
        <f>HYPERLINK("http://www.openstreetmap.org/?mlat=33.0761&amp;mlon=44.3434&amp;zoom=12#map=12/33.0761/44.3434","Maplink1")</f>
        <v>Maplink1</v>
      </c>
      <c r="AV1168" s="14" t="str">
        <f>HYPERLINK("https://www.google.iq/maps/search/+33.0761,44.3434/@33.0761,44.3434,14z?hl=en","Maplink2")</f>
        <v>Maplink2</v>
      </c>
      <c r="AW1168" s="14" t="str">
        <f>HYPERLINK("http://www.bing.com/maps/?lvl=14&amp;sty=h&amp;cp=33.0761~44.3434&amp;sp=point.33.0761_44.3434_Al Zahraa Complex","Maplink3")</f>
        <v>Maplink3</v>
      </c>
    </row>
    <row r="1169" spans="1:49" ht="15" customHeight="1" x14ac:dyDescent="0.25">
      <c r="A1169" s="21">
        <v>28403</v>
      </c>
      <c r="B1169" s="22" t="s">
        <v>11</v>
      </c>
      <c r="C1169" s="22" t="s">
        <v>2204</v>
      </c>
      <c r="D1169" s="22" t="s">
        <v>7534</v>
      </c>
      <c r="E1169" s="22" t="s">
        <v>2213</v>
      </c>
      <c r="F1169" s="22">
        <v>33.121277954200004</v>
      </c>
      <c r="G1169" s="22">
        <v>44.369145621900003</v>
      </c>
      <c r="H1169" s="21"/>
      <c r="I1169" s="21"/>
      <c r="J1169" s="21"/>
      <c r="K1169" s="24">
        <v>14</v>
      </c>
      <c r="L1169" s="24">
        <v>84</v>
      </c>
      <c r="M1169" s="23">
        <v>14</v>
      </c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>
        <v>14</v>
      </c>
      <c r="AL1169" s="23"/>
      <c r="AM1169" s="23"/>
      <c r="AN1169" s="23"/>
      <c r="AO1169" s="23"/>
      <c r="AP1169" s="23"/>
      <c r="AQ1169" s="23"/>
      <c r="AR1169" s="23">
        <v>5</v>
      </c>
      <c r="AS1169" s="23">
        <v>9</v>
      </c>
      <c r="AT1169" s="23"/>
      <c r="AU1169" s="14" t="str">
        <f>HYPERLINK("http://www.openstreetmap.org/?mlat=33.1102&amp;mlon=44.373&amp;zoom=12#map=12/33.1102/44.373","Maplink1")</f>
        <v>Maplink1</v>
      </c>
      <c r="AV1169" s="14" t="str">
        <f>HYPERLINK("https://www.google.iq/maps/search/+33.1102,44.373/@33.1102,44.373,14z?hl=en","Maplink2")</f>
        <v>Maplink2</v>
      </c>
      <c r="AW1169" s="14" t="str">
        <f>HYPERLINK("http://www.bing.com/maps/?lvl=14&amp;sty=h&amp;cp=33.1102~44.373&amp;sp=point.33.1102_44.373_Al Angaa","Maplink3")</f>
        <v>Maplink3</v>
      </c>
    </row>
    <row r="1170" spans="1:49" ht="15" customHeight="1" x14ac:dyDescent="0.25">
      <c r="A1170" s="21">
        <v>27323</v>
      </c>
      <c r="B1170" s="22" t="s">
        <v>11</v>
      </c>
      <c r="C1170" s="22" t="s">
        <v>2204</v>
      </c>
      <c r="D1170" s="22" t="s">
        <v>2237</v>
      </c>
      <c r="E1170" s="22" t="s">
        <v>2238</v>
      </c>
      <c r="F1170" s="22">
        <v>33.1374</v>
      </c>
      <c r="G1170" s="22">
        <v>44.4392</v>
      </c>
      <c r="H1170" s="21" t="s">
        <v>1449</v>
      </c>
      <c r="I1170" s="21" t="s">
        <v>2207</v>
      </c>
      <c r="J1170" s="21"/>
      <c r="K1170" s="24">
        <v>40</v>
      </c>
      <c r="L1170" s="24">
        <v>240</v>
      </c>
      <c r="M1170" s="23">
        <v>31</v>
      </c>
      <c r="N1170" s="23"/>
      <c r="O1170" s="23">
        <v>9</v>
      </c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>
        <v>23</v>
      </c>
      <c r="AG1170" s="23"/>
      <c r="AH1170" s="23"/>
      <c r="AI1170" s="23"/>
      <c r="AJ1170" s="23"/>
      <c r="AK1170" s="23">
        <v>17</v>
      </c>
      <c r="AL1170" s="23"/>
      <c r="AM1170" s="23"/>
      <c r="AN1170" s="23"/>
      <c r="AO1170" s="23">
        <v>9</v>
      </c>
      <c r="AP1170" s="23">
        <v>23</v>
      </c>
      <c r="AQ1170" s="23"/>
      <c r="AR1170" s="23"/>
      <c r="AS1170" s="23">
        <v>8</v>
      </c>
      <c r="AT1170" s="23"/>
      <c r="AU1170" s="14" t="str">
        <f>HYPERLINK("http://www.openstreetmap.org/?mlat=33.1493&amp;mlon=44.3844&amp;zoom=12#map=12/33.1493/44.3844","Maplink1")</f>
        <v>Maplink1</v>
      </c>
      <c r="AV1170" s="14" t="str">
        <f>HYPERLINK("https://www.google.iq/maps/search/+33.1493,44.3844/@33.1493,44.3844,14z?hl=en","Maplink2")</f>
        <v>Maplink2</v>
      </c>
      <c r="AW1170" s="14" t="str">
        <f>HYPERLINK("http://www.bing.com/maps/?lvl=14&amp;sty=h&amp;cp=33.1493~44.3844&amp;sp=point.33.1493_44.3844_Al-Zanbrania","Maplink3")</f>
        <v>Maplink3</v>
      </c>
    </row>
    <row r="1171" spans="1:49" ht="15" customHeight="1" x14ac:dyDescent="0.25">
      <c r="A1171" s="21">
        <v>26106</v>
      </c>
      <c r="B1171" s="22" t="s">
        <v>11</v>
      </c>
      <c r="C1171" s="22" t="s">
        <v>2204</v>
      </c>
      <c r="D1171" s="22" t="s">
        <v>8570</v>
      </c>
      <c r="E1171" s="22" t="s">
        <v>8571</v>
      </c>
      <c r="F1171" s="22">
        <v>33.138960978500002</v>
      </c>
      <c r="G1171" s="22">
        <v>44.038951486899997</v>
      </c>
      <c r="H1171" s="21" t="s">
        <v>1449</v>
      </c>
      <c r="I1171" s="21" t="s">
        <v>2207</v>
      </c>
      <c r="J1171" s="21"/>
      <c r="K1171" s="24">
        <v>22</v>
      </c>
      <c r="L1171" s="24">
        <v>132</v>
      </c>
      <c r="M1171" s="23">
        <v>22</v>
      </c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>
        <v>22</v>
      </c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23"/>
      <c r="AS1171" s="23">
        <v>22</v>
      </c>
      <c r="AT1171" s="23"/>
      <c r="AU1171" s="14" t="str">
        <f>HYPERLINK("http://www.openstreetmap.org/?mlat=33.1397&amp;mlon=44.0399&amp;zoom=12#map=12/33.1397/44.0399","Maplink1")</f>
        <v>Maplink1</v>
      </c>
      <c r="AV1171" s="14" t="str">
        <f>HYPERLINK("https://www.google.iq/maps/search/+33.1397,44.0399/@33.1397,44.0399,14z?hl=en","Maplink2")</f>
        <v>Maplink2</v>
      </c>
      <c r="AW1171" s="14" t="str">
        <f>HYPERLINK("http://www.bing.com/maps/?lvl=14&amp;sty=h&amp;cp=33.1397~44.0399&amp;sp=point.33.1397_44.0399_IOM Collective Center","Maplink3")</f>
        <v>Maplink3</v>
      </c>
    </row>
    <row r="1172" spans="1:49" ht="15" customHeight="1" x14ac:dyDescent="0.25">
      <c r="A1172" s="21">
        <v>7754</v>
      </c>
      <c r="B1172" s="22" t="s">
        <v>11</v>
      </c>
      <c r="C1172" s="22" t="s">
        <v>2204</v>
      </c>
      <c r="D1172" s="22" t="s">
        <v>2239</v>
      </c>
      <c r="E1172" s="22" t="s">
        <v>2240</v>
      </c>
      <c r="F1172" s="22">
        <v>33.105339999999998</v>
      </c>
      <c r="G1172" s="22">
        <v>44.275379999999998</v>
      </c>
      <c r="H1172" s="21" t="s">
        <v>1449</v>
      </c>
      <c r="I1172" s="21" t="s">
        <v>2207</v>
      </c>
      <c r="J1172" s="21" t="s">
        <v>2241</v>
      </c>
      <c r="K1172" s="24">
        <v>76</v>
      </c>
      <c r="L1172" s="24">
        <v>456</v>
      </c>
      <c r="M1172" s="23">
        <v>26</v>
      </c>
      <c r="N1172" s="23">
        <v>50</v>
      </c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>
        <v>76</v>
      </c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>
        <v>50</v>
      </c>
      <c r="AR1172" s="23"/>
      <c r="AS1172" s="23">
        <v>26</v>
      </c>
      <c r="AT1172" s="23"/>
      <c r="AU1172" s="14" t="str">
        <f>HYPERLINK("http://www.openstreetmap.org/?mlat=33.0828&amp;mlon=44.2571&amp;zoom=12#map=12/33.0828/44.2571","Maplink1")</f>
        <v>Maplink1</v>
      </c>
      <c r="AV1172" s="14" t="str">
        <f>HYPERLINK("https://www.google.iq/maps/search/+33.0828,44.2571/@33.0828,44.2571,14z?hl=en","Maplink2")</f>
        <v>Maplink2</v>
      </c>
      <c r="AW1172" s="14" t="str">
        <f>HYPERLINK("http://www.bing.com/maps/?lvl=14&amp;sty=h&amp;cp=33.0828~44.2571&amp;sp=point.33.0828_44.2571_Biyar Al-Hamam","Maplink3")</f>
        <v>Maplink3</v>
      </c>
    </row>
    <row r="1173" spans="1:49" ht="15" customHeight="1" x14ac:dyDescent="0.25">
      <c r="A1173" s="21">
        <v>25145</v>
      </c>
      <c r="B1173" s="22" t="s">
        <v>11</v>
      </c>
      <c r="C1173" s="22" t="s">
        <v>2204</v>
      </c>
      <c r="D1173" s="22" t="s">
        <v>2242</v>
      </c>
      <c r="E1173" s="22" t="s">
        <v>2243</v>
      </c>
      <c r="F1173" s="22">
        <v>33.115493861700003</v>
      </c>
      <c r="G1173" s="22">
        <v>44.342272562600002</v>
      </c>
      <c r="H1173" s="21" t="s">
        <v>1449</v>
      </c>
      <c r="I1173" s="21" t="s">
        <v>2207</v>
      </c>
      <c r="J1173" s="21"/>
      <c r="K1173" s="24">
        <v>44</v>
      </c>
      <c r="L1173" s="24">
        <v>264</v>
      </c>
      <c r="M1173" s="23">
        <v>44</v>
      </c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>
        <v>34</v>
      </c>
      <c r="AG1173" s="23"/>
      <c r="AH1173" s="23"/>
      <c r="AI1173" s="23"/>
      <c r="AJ1173" s="23"/>
      <c r="AK1173" s="23">
        <v>10</v>
      </c>
      <c r="AL1173" s="23"/>
      <c r="AM1173" s="23"/>
      <c r="AN1173" s="23"/>
      <c r="AO1173" s="23"/>
      <c r="AP1173" s="23"/>
      <c r="AQ1173" s="23"/>
      <c r="AR1173" s="23">
        <v>21</v>
      </c>
      <c r="AS1173" s="23">
        <v>23</v>
      </c>
      <c r="AT1173" s="23"/>
      <c r="AU1173" s="14" t="str">
        <f>HYPERLINK("http://www.openstreetmap.org/?mlat=33.0792&amp;mlon=44.2531&amp;zoom=12#map=12/33.0792/44.2531","Maplink1")</f>
        <v>Maplink1</v>
      </c>
      <c r="AV1173" s="14" t="str">
        <f>HYPERLINK("https://www.google.iq/maps/search/+33.0792,44.2531/@33.0792,44.2531,14z?hl=en","Maplink2")</f>
        <v>Maplink2</v>
      </c>
      <c r="AW1173" s="14" t="str">
        <f>HYPERLINK("http://www.bing.com/maps/?lvl=14&amp;sty=h&amp;cp=33.0792~44.2531&amp;sp=point.33.0792_44.2531_Dereia w Um Mahar","Maplink3")</f>
        <v>Maplink3</v>
      </c>
    </row>
    <row r="1174" spans="1:49" ht="15" customHeight="1" x14ac:dyDescent="0.25">
      <c r="A1174" s="21">
        <v>7456</v>
      </c>
      <c r="B1174" s="22" t="s">
        <v>11</v>
      </c>
      <c r="C1174" s="22" t="s">
        <v>2204</v>
      </c>
      <c r="D1174" s="22" t="s">
        <v>2247</v>
      </c>
      <c r="E1174" s="22" t="s">
        <v>7877</v>
      </c>
      <c r="F1174" s="22">
        <v>33.061549155599998</v>
      </c>
      <c r="G1174" s="22">
        <v>44.3411905297</v>
      </c>
      <c r="H1174" s="21"/>
      <c r="I1174" s="21"/>
      <c r="J1174" s="21" t="s">
        <v>2248</v>
      </c>
      <c r="K1174" s="24">
        <v>67</v>
      </c>
      <c r="L1174" s="24">
        <v>402</v>
      </c>
      <c r="M1174" s="23">
        <v>48</v>
      </c>
      <c r="N1174" s="23"/>
      <c r="O1174" s="23">
        <v>11</v>
      </c>
      <c r="P1174" s="23"/>
      <c r="Q1174" s="23"/>
      <c r="R1174" s="23"/>
      <c r="S1174" s="23"/>
      <c r="T1174" s="23"/>
      <c r="U1174" s="23"/>
      <c r="V1174" s="23"/>
      <c r="W1174" s="23"/>
      <c r="X1174" s="23"/>
      <c r="Y1174" s="23">
        <v>1</v>
      </c>
      <c r="Z1174" s="23"/>
      <c r="AA1174" s="23">
        <v>7</v>
      </c>
      <c r="AB1174" s="23"/>
      <c r="AC1174" s="23"/>
      <c r="AD1174" s="23"/>
      <c r="AE1174" s="23"/>
      <c r="AF1174" s="23">
        <v>28</v>
      </c>
      <c r="AG1174" s="23"/>
      <c r="AH1174" s="23"/>
      <c r="AI1174" s="23"/>
      <c r="AJ1174" s="23"/>
      <c r="AK1174" s="23">
        <v>39</v>
      </c>
      <c r="AL1174" s="23"/>
      <c r="AM1174" s="23"/>
      <c r="AN1174" s="23"/>
      <c r="AO1174" s="23"/>
      <c r="AP1174" s="23">
        <v>25</v>
      </c>
      <c r="AQ1174" s="23"/>
      <c r="AR1174" s="23">
        <v>27</v>
      </c>
      <c r="AS1174" s="23">
        <v>11</v>
      </c>
      <c r="AT1174" s="23">
        <v>4</v>
      </c>
      <c r="AU1174" s="14" t="str">
        <f>HYPERLINK("http://www.openstreetmap.org/?mlat=33.0604&amp;mlon=44.374&amp;zoom=12#map=12/33.0604/44.374","Maplink1")</f>
        <v>Maplink1</v>
      </c>
      <c r="AV1174" s="14" t="str">
        <f>HYPERLINK("https://www.google.iq/maps/search/+33.0604,44.374/@33.0604,44.374,14z?hl=en","Maplink2")</f>
        <v>Maplink2</v>
      </c>
      <c r="AW1174" s="14" t="str">
        <f>HYPERLINK("http://www.bing.com/maps/?lvl=14&amp;sty=h&amp;cp=33.0604~44.374&amp;sp=point.33.0604_44.374_Hay Abu Shamaa","Maplink3")</f>
        <v>Maplink3</v>
      </c>
    </row>
    <row r="1175" spans="1:49" ht="15" customHeight="1" x14ac:dyDescent="0.25">
      <c r="A1175" s="21">
        <v>28404</v>
      </c>
      <c r="B1175" s="22" t="s">
        <v>11</v>
      </c>
      <c r="C1175" s="22" t="s">
        <v>2204</v>
      </c>
      <c r="D1175" s="22" t="s">
        <v>2249</v>
      </c>
      <c r="E1175" s="22" t="s">
        <v>2250</v>
      </c>
      <c r="F1175" s="22">
        <v>33.149264000000002</v>
      </c>
      <c r="G1175" s="22">
        <v>44.384419000000001</v>
      </c>
      <c r="H1175" s="21"/>
      <c r="I1175" s="21"/>
      <c r="J1175" s="21"/>
      <c r="K1175" s="24">
        <v>54</v>
      </c>
      <c r="L1175" s="24">
        <v>324</v>
      </c>
      <c r="M1175" s="23">
        <v>16</v>
      </c>
      <c r="N1175" s="23"/>
      <c r="O1175" s="23">
        <v>37</v>
      </c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>
        <v>1</v>
      </c>
      <c r="AB1175" s="23"/>
      <c r="AC1175" s="23"/>
      <c r="AD1175" s="23"/>
      <c r="AE1175" s="23"/>
      <c r="AF1175" s="23">
        <v>43</v>
      </c>
      <c r="AG1175" s="23"/>
      <c r="AH1175" s="23"/>
      <c r="AI1175" s="23"/>
      <c r="AJ1175" s="23"/>
      <c r="AK1175" s="23">
        <v>11</v>
      </c>
      <c r="AL1175" s="23"/>
      <c r="AM1175" s="23"/>
      <c r="AN1175" s="23"/>
      <c r="AO1175" s="23"/>
      <c r="AP1175" s="23"/>
      <c r="AQ1175" s="23"/>
      <c r="AR1175" s="23">
        <v>32</v>
      </c>
      <c r="AS1175" s="23">
        <v>22</v>
      </c>
      <c r="AT1175" s="23"/>
      <c r="AU1175" s="14" t="str">
        <f>HYPERLINK("http://www.openstreetmap.org/?mlat=33.1493&amp;mlon=44.3844&amp;zoom=12#map=12/33.1493/44.3844","Maplink1")</f>
        <v>Maplink1</v>
      </c>
      <c r="AV1175" s="14" t="str">
        <f>HYPERLINK("https://www.google.iq/maps/search/+33.1493,44.3844/@33.1493,44.3844,14z?hl=en","Maplink2")</f>
        <v>Maplink2</v>
      </c>
      <c r="AW1175" s="14" t="str">
        <f>HYPERLINK("http://www.bing.com/maps/?lvl=14&amp;sty=h&amp;cp=33.1493~44.3844&amp;sp=point.33.1493_44.3844_Al Angaa","Maplink3")</f>
        <v>Maplink3</v>
      </c>
    </row>
    <row r="1176" spans="1:49" ht="15" customHeight="1" x14ac:dyDescent="0.25">
      <c r="A1176" s="21">
        <v>21463</v>
      </c>
      <c r="B1176" s="22" t="s">
        <v>11</v>
      </c>
      <c r="C1176" s="22" t="s">
        <v>2204</v>
      </c>
      <c r="D1176" s="22" t="s">
        <v>2251</v>
      </c>
      <c r="E1176" s="22" t="s">
        <v>2252</v>
      </c>
      <c r="F1176" s="22">
        <v>32.9664312763</v>
      </c>
      <c r="G1176" s="22">
        <v>44.358796112999997</v>
      </c>
      <c r="H1176" s="21" t="s">
        <v>1449</v>
      </c>
      <c r="I1176" s="21" t="s">
        <v>2207</v>
      </c>
      <c r="J1176" s="21" t="s">
        <v>2253</v>
      </c>
      <c r="K1176" s="24">
        <v>39</v>
      </c>
      <c r="L1176" s="24">
        <v>234</v>
      </c>
      <c r="M1176" s="23">
        <v>6</v>
      </c>
      <c r="N1176" s="23">
        <v>33</v>
      </c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>
        <v>29</v>
      </c>
      <c r="AG1176" s="23"/>
      <c r="AH1176" s="23"/>
      <c r="AI1176" s="23"/>
      <c r="AJ1176" s="23"/>
      <c r="AK1176" s="23">
        <v>10</v>
      </c>
      <c r="AL1176" s="23"/>
      <c r="AM1176" s="23"/>
      <c r="AN1176" s="23"/>
      <c r="AO1176" s="23"/>
      <c r="AP1176" s="23"/>
      <c r="AQ1176" s="23">
        <v>37</v>
      </c>
      <c r="AR1176" s="23"/>
      <c r="AS1176" s="23">
        <v>2</v>
      </c>
      <c r="AT1176" s="23"/>
      <c r="AU1176" s="14" t="str">
        <f>HYPERLINK("http://www.openstreetmap.org/?mlat=32.99&amp;mlon=44.36&amp;zoom=12#map=12/32.99/44.36","Maplink1")</f>
        <v>Maplink1</v>
      </c>
      <c r="AV1176" s="14" t="str">
        <f>HYPERLINK("https://www.google.iq/maps/search/+32.99,44.36/@32.99,44.36,14z?hl=en","Maplink2")</f>
        <v>Maplink2</v>
      </c>
      <c r="AW1176" s="14" t="str">
        <f>HYPERLINK("http://www.bing.com/maps/?lvl=14&amp;sty=h&amp;cp=32.99~44.36&amp;sp=point.32.99_44.36_Hay Al Mazraa","Maplink3")</f>
        <v>Maplink3</v>
      </c>
    </row>
    <row r="1177" spans="1:49" ht="15" customHeight="1" x14ac:dyDescent="0.25">
      <c r="A1177" s="21">
        <v>24121</v>
      </c>
      <c r="B1177" s="22" t="s">
        <v>11</v>
      </c>
      <c r="C1177" s="22" t="s">
        <v>2204</v>
      </c>
      <c r="D1177" s="22" t="s">
        <v>8572</v>
      </c>
      <c r="E1177" s="22" t="s">
        <v>8573</v>
      </c>
      <c r="F1177" s="22">
        <v>33.063377814900001</v>
      </c>
      <c r="G1177" s="22">
        <v>44.359249409900002</v>
      </c>
      <c r="H1177" s="21" t="s">
        <v>1449</v>
      </c>
      <c r="I1177" s="21" t="s">
        <v>2207</v>
      </c>
      <c r="J1177" s="21" t="s">
        <v>2229</v>
      </c>
      <c r="K1177" s="24">
        <v>90</v>
      </c>
      <c r="L1177" s="24">
        <v>540</v>
      </c>
      <c r="M1177" s="23">
        <v>62</v>
      </c>
      <c r="N1177" s="23"/>
      <c r="O1177" s="23">
        <v>6</v>
      </c>
      <c r="P1177" s="23"/>
      <c r="Q1177" s="23"/>
      <c r="R1177" s="23">
        <v>2</v>
      </c>
      <c r="S1177" s="23"/>
      <c r="T1177" s="23"/>
      <c r="U1177" s="23"/>
      <c r="V1177" s="23"/>
      <c r="W1177" s="23"/>
      <c r="X1177" s="23"/>
      <c r="Y1177" s="23">
        <v>17</v>
      </c>
      <c r="Z1177" s="23"/>
      <c r="AA1177" s="23">
        <v>3</v>
      </c>
      <c r="AB1177" s="23"/>
      <c r="AC1177" s="23"/>
      <c r="AD1177" s="23"/>
      <c r="AE1177" s="23"/>
      <c r="AF1177" s="23">
        <v>14</v>
      </c>
      <c r="AG1177" s="23"/>
      <c r="AH1177" s="23"/>
      <c r="AI1177" s="23"/>
      <c r="AJ1177" s="23"/>
      <c r="AK1177" s="23">
        <v>76</v>
      </c>
      <c r="AL1177" s="23"/>
      <c r="AM1177" s="23"/>
      <c r="AN1177" s="23"/>
      <c r="AO1177" s="23">
        <v>12</v>
      </c>
      <c r="AP1177" s="23">
        <v>16</v>
      </c>
      <c r="AQ1177" s="23"/>
      <c r="AR1177" s="23">
        <v>12</v>
      </c>
      <c r="AS1177" s="23">
        <v>50</v>
      </c>
      <c r="AT1177" s="23"/>
      <c r="AU1177" s="14" t="str">
        <f>HYPERLINK("http://www.openstreetmap.org/?mlat=33.0528&amp;mlon=44.3587&amp;zoom=12#map=12/33.0528/44.3587","Maplink1")</f>
        <v>Maplink1</v>
      </c>
      <c r="AV1177" s="14" t="str">
        <f>HYPERLINK("https://www.google.iq/maps/search/+33.0528,44.3587/@33.0528,44.3587,14z?hl=en","Maplink2")</f>
        <v>Maplink2</v>
      </c>
      <c r="AW1177" s="14" t="str">
        <f>HYPERLINK("http://www.bing.com/maps/?lvl=14&amp;sty=h&amp;cp=33.0528~44.3587&amp;sp=point.33.0528_44.3587_Al Rubaiy-210","Maplink3")</f>
        <v>Maplink3</v>
      </c>
    </row>
    <row r="1178" spans="1:49" ht="15" customHeight="1" x14ac:dyDescent="0.25">
      <c r="A1178" s="21">
        <v>25143</v>
      </c>
      <c r="B1178" s="22" t="s">
        <v>11</v>
      </c>
      <c r="C1178" s="22" t="s">
        <v>2204</v>
      </c>
      <c r="D1178" s="22" t="s">
        <v>8574</v>
      </c>
      <c r="E1178" s="22" t="s">
        <v>2244</v>
      </c>
      <c r="F1178" s="22">
        <v>33.082410000000003</v>
      </c>
      <c r="G1178" s="22">
        <v>44.258290000000002</v>
      </c>
      <c r="H1178" s="21" t="s">
        <v>1449</v>
      </c>
      <c r="I1178" s="21" t="s">
        <v>2207</v>
      </c>
      <c r="J1178" s="21"/>
      <c r="K1178" s="24">
        <v>29</v>
      </c>
      <c r="L1178" s="24">
        <v>174</v>
      </c>
      <c r="M1178" s="23">
        <v>29</v>
      </c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>
        <v>10</v>
      </c>
      <c r="AG1178" s="23"/>
      <c r="AH1178" s="23"/>
      <c r="AI1178" s="23"/>
      <c r="AJ1178" s="23"/>
      <c r="AK1178" s="23">
        <v>19</v>
      </c>
      <c r="AL1178" s="23"/>
      <c r="AM1178" s="23"/>
      <c r="AN1178" s="23"/>
      <c r="AO1178" s="23"/>
      <c r="AP1178" s="23"/>
      <c r="AQ1178" s="23"/>
      <c r="AR1178" s="23"/>
      <c r="AS1178" s="23">
        <v>29</v>
      </c>
      <c r="AT1178" s="23"/>
      <c r="AU1178" s="14" t="str">
        <f>HYPERLINK("http://www.openstreetmap.org/?mlat=33.0792&amp;mlon=44.2531&amp;zoom=12#map=12/33.0792/44.2531","Maplink1")</f>
        <v>Maplink1</v>
      </c>
      <c r="AV1178" s="14" t="str">
        <f>HYPERLINK("https://www.google.iq/maps/search/+33.0792,44.2531/@33.0792,44.2531,14z?hl=en","Maplink2")</f>
        <v>Maplink2</v>
      </c>
      <c r="AW1178" s="14" t="str">
        <f>HYPERLINK("http://www.bing.com/maps/?lvl=14&amp;sty=h&amp;cp=33.0792~44.2531&amp;sp=point.33.0792_44.2531_Hai Al Rabee","Maplink3")</f>
        <v>Maplink3</v>
      </c>
    </row>
    <row r="1179" spans="1:49" ht="15" customHeight="1" x14ac:dyDescent="0.25">
      <c r="A1179" s="21">
        <v>27252</v>
      </c>
      <c r="B1179" s="22" t="s">
        <v>11</v>
      </c>
      <c r="C1179" s="22" t="s">
        <v>2204</v>
      </c>
      <c r="D1179" s="22" t="s">
        <v>2254</v>
      </c>
      <c r="E1179" s="22" t="s">
        <v>869</v>
      </c>
      <c r="F1179" s="22">
        <v>33.0702</v>
      </c>
      <c r="G1179" s="22">
        <v>44.354999999999997</v>
      </c>
      <c r="H1179" s="21" t="s">
        <v>1449</v>
      </c>
      <c r="I1179" s="21" t="s">
        <v>2207</v>
      </c>
      <c r="J1179" s="21"/>
      <c r="K1179" s="24">
        <v>94</v>
      </c>
      <c r="L1179" s="24">
        <v>564</v>
      </c>
      <c r="M1179" s="23">
        <v>66</v>
      </c>
      <c r="N1179" s="23"/>
      <c r="O1179" s="23">
        <v>10</v>
      </c>
      <c r="P1179" s="23"/>
      <c r="Q1179" s="23"/>
      <c r="R1179" s="23">
        <v>10</v>
      </c>
      <c r="S1179" s="23"/>
      <c r="T1179" s="23"/>
      <c r="U1179" s="23"/>
      <c r="V1179" s="23"/>
      <c r="W1179" s="23"/>
      <c r="X1179" s="23"/>
      <c r="Y1179" s="23"/>
      <c r="Z1179" s="23"/>
      <c r="AA1179" s="23">
        <v>8</v>
      </c>
      <c r="AB1179" s="23"/>
      <c r="AC1179" s="23"/>
      <c r="AD1179" s="23"/>
      <c r="AE1179" s="23"/>
      <c r="AF1179" s="23">
        <v>22</v>
      </c>
      <c r="AG1179" s="23"/>
      <c r="AH1179" s="23"/>
      <c r="AI1179" s="23"/>
      <c r="AJ1179" s="23"/>
      <c r="AK1179" s="23">
        <v>72</v>
      </c>
      <c r="AL1179" s="23"/>
      <c r="AM1179" s="23"/>
      <c r="AN1179" s="23"/>
      <c r="AO1179" s="23"/>
      <c r="AP1179" s="23">
        <v>23</v>
      </c>
      <c r="AQ1179" s="23">
        <v>5</v>
      </c>
      <c r="AR1179" s="23"/>
      <c r="AS1179" s="23">
        <v>55</v>
      </c>
      <c r="AT1179" s="23">
        <v>11</v>
      </c>
      <c r="AU1179" s="14" t="str">
        <f>HYPERLINK("http://www.openstreetmap.org/?mlat=33.046&amp;mlon=44.3572&amp;zoom=12#map=12/33.046/44.3572","Maplink1")</f>
        <v>Maplink1</v>
      </c>
      <c r="AV1179" s="14" t="str">
        <f>HYPERLINK("https://www.google.iq/maps/search/+33.046,44.3572/@33.046,44.3572,14z?hl=en","Maplink2")</f>
        <v>Maplink2</v>
      </c>
      <c r="AW1179" s="14" t="str">
        <f>HYPERLINK("http://www.bing.com/maps/?lvl=14&amp;sty=h&amp;cp=33.046~44.3572&amp;sp=point.33.046_44.3572_Hay Al Rasul","Maplink3")</f>
        <v>Maplink3</v>
      </c>
    </row>
    <row r="1180" spans="1:49" ht="15" customHeight="1" x14ac:dyDescent="0.25">
      <c r="A1180" s="21">
        <v>25144</v>
      </c>
      <c r="B1180" s="22" t="s">
        <v>11</v>
      </c>
      <c r="C1180" s="22" t="s">
        <v>2204</v>
      </c>
      <c r="D1180" s="22" t="s">
        <v>8575</v>
      </c>
      <c r="E1180" s="22" t="s">
        <v>2245</v>
      </c>
      <c r="F1180" s="22">
        <v>33.085650000000001</v>
      </c>
      <c r="G1180" s="22">
        <v>44.251550000000002</v>
      </c>
      <c r="H1180" s="21" t="s">
        <v>1449</v>
      </c>
      <c r="I1180" s="21" t="s">
        <v>2207</v>
      </c>
      <c r="J1180" s="21"/>
      <c r="K1180" s="24">
        <v>50</v>
      </c>
      <c r="L1180" s="24">
        <v>300</v>
      </c>
      <c r="M1180" s="23">
        <v>35</v>
      </c>
      <c r="N1180" s="23">
        <v>15</v>
      </c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>
        <v>13</v>
      </c>
      <c r="AG1180" s="23"/>
      <c r="AH1180" s="23"/>
      <c r="AI1180" s="23"/>
      <c r="AJ1180" s="23"/>
      <c r="AK1180" s="23">
        <v>37</v>
      </c>
      <c r="AL1180" s="23"/>
      <c r="AM1180" s="23"/>
      <c r="AN1180" s="23"/>
      <c r="AO1180" s="23"/>
      <c r="AP1180" s="23"/>
      <c r="AQ1180" s="23">
        <v>15</v>
      </c>
      <c r="AR1180" s="23"/>
      <c r="AS1180" s="23">
        <v>35</v>
      </c>
      <c r="AT1180" s="23"/>
      <c r="AU1180" s="14" t="str">
        <f>HYPERLINK("http://www.openstreetmap.org/?mlat=33.0792&amp;mlon=44.2531&amp;zoom=12#map=12/33.0792/44.2531","Maplink1")</f>
        <v>Maplink1</v>
      </c>
      <c r="AV1180" s="14" t="str">
        <f>HYPERLINK("https://www.google.iq/maps/search/+33.0792,44.2531/@33.0792,44.2531,14z?hl=en","Maplink2")</f>
        <v>Maplink2</v>
      </c>
      <c r="AW1180" s="14" t="str">
        <f>HYPERLINK("http://www.bing.com/maps/?lvl=14&amp;sty=h&amp;cp=33.0792~44.2531&amp;sp=point.33.0792_44.2531_Hai Al Sekalat","Maplink3")</f>
        <v>Maplink3</v>
      </c>
    </row>
    <row r="1181" spans="1:49" ht="15" customHeight="1" x14ac:dyDescent="0.25">
      <c r="A1181" s="21">
        <v>29523</v>
      </c>
      <c r="B1181" s="22" t="s">
        <v>11</v>
      </c>
      <c r="C1181" s="22" t="s">
        <v>2204</v>
      </c>
      <c r="D1181" s="22" t="s">
        <v>7878</v>
      </c>
      <c r="E1181" s="22" t="s">
        <v>7879</v>
      </c>
      <c r="F1181" s="22">
        <v>33.064230000000002</v>
      </c>
      <c r="G1181" s="22">
        <v>44.233170000000001</v>
      </c>
      <c r="H1181" s="21" t="s">
        <v>1449</v>
      </c>
      <c r="I1181" s="21" t="s">
        <v>2207</v>
      </c>
      <c r="J1181" s="21"/>
      <c r="K1181" s="24">
        <v>153</v>
      </c>
      <c r="L1181" s="24">
        <v>918</v>
      </c>
      <c r="M1181" s="23">
        <v>53</v>
      </c>
      <c r="N1181" s="23">
        <v>100</v>
      </c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>
        <v>73</v>
      </c>
      <c r="AG1181" s="23"/>
      <c r="AH1181" s="23"/>
      <c r="AI1181" s="23"/>
      <c r="AJ1181" s="23"/>
      <c r="AK1181" s="23">
        <v>80</v>
      </c>
      <c r="AL1181" s="23"/>
      <c r="AM1181" s="23"/>
      <c r="AN1181" s="23"/>
      <c r="AO1181" s="23"/>
      <c r="AP1181" s="23"/>
      <c r="AQ1181" s="23">
        <v>100</v>
      </c>
      <c r="AR1181" s="23"/>
      <c r="AS1181" s="23">
        <v>53</v>
      </c>
      <c r="AT1181" s="23"/>
      <c r="AU1181" s="14" t="str">
        <f>HYPERLINK("http://www.openstreetmap.org/?mlat=33.0681&amp;mlon=44.2369&amp;zoom=12#map=12/33.0681/44.2369","Maplink1")</f>
        <v>Maplink1</v>
      </c>
      <c r="AV1181" s="14" t="str">
        <f>HYPERLINK("https://www.google.iq/maps/search/+33.0681,44.2369/@33.0681,44.2369,14z?hl=en","Maplink2")</f>
        <v>Maplink2</v>
      </c>
      <c r="AW1181" s="14" t="str">
        <f>HYPERLINK("http://www.bing.com/maps/?lvl=14&amp;sty=h&amp;cp=33.0681~44.2369&amp;sp=point.33.0681_44.2369","Maplink3")</f>
        <v>Maplink3</v>
      </c>
    </row>
    <row r="1182" spans="1:49" ht="15" customHeight="1" x14ac:dyDescent="0.25">
      <c r="A1182" s="21">
        <v>25142</v>
      </c>
      <c r="B1182" s="22" t="s">
        <v>11</v>
      </c>
      <c r="C1182" s="22" t="s">
        <v>2204</v>
      </c>
      <c r="D1182" s="22" t="s">
        <v>8576</v>
      </c>
      <c r="E1182" s="22" t="s">
        <v>2246</v>
      </c>
      <c r="F1182" s="22">
        <v>33.081159999999997</v>
      </c>
      <c r="G1182" s="22">
        <v>44.259830000000001</v>
      </c>
      <c r="H1182" s="21" t="s">
        <v>1449</v>
      </c>
      <c r="I1182" s="21" t="s">
        <v>2207</v>
      </c>
      <c r="J1182" s="21"/>
      <c r="K1182" s="24">
        <v>49</v>
      </c>
      <c r="L1182" s="24">
        <v>294</v>
      </c>
      <c r="M1182" s="23">
        <v>49</v>
      </c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>
        <v>12</v>
      </c>
      <c r="AG1182" s="23"/>
      <c r="AH1182" s="23"/>
      <c r="AI1182" s="23"/>
      <c r="AJ1182" s="23"/>
      <c r="AK1182" s="23">
        <v>37</v>
      </c>
      <c r="AL1182" s="23"/>
      <c r="AM1182" s="23"/>
      <c r="AN1182" s="23"/>
      <c r="AO1182" s="23"/>
      <c r="AP1182" s="23"/>
      <c r="AQ1182" s="23">
        <v>13</v>
      </c>
      <c r="AR1182" s="23"/>
      <c r="AS1182" s="23">
        <v>36</v>
      </c>
      <c r="AT1182" s="23"/>
      <c r="AU1182" s="14" t="str">
        <f>HYPERLINK("http://www.openstreetmap.org/?mlat=33.0792&amp;mlon=44.2531&amp;zoom=12#map=12/33.0792/44.2531","Maplink1")</f>
        <v>Maplink1</v>
      </c>
      <c r="AV1182" s="14" t="str">
        <f>HYPERLINK("https://www.google.iq/maps/search/+33.0792,44.2531/@33.0792,44.2531,14z?hl=en","Maplink2")</f>
        <v>Maplink2</v>
      </c>
      <c r="AW1182" s="14" t="str">
        <f>HYPERLINK("http://www.bing.com/maps/?lvl=14&amp;sty=h&amp;cp=33.0792~44.2531&amp;sp=point.33.0792_44.2531_Hai Al Sukur","Maplink3")</f>
        <v>Maplink3</v>
      </c>
    </row>
    <row r="1183" spans="1:49" ht="15" customHeight="1" x14ac:dyDescent="0.25">
      <c r="A1183" s="21">
        <v>7733</v>
      </c>
      <c r="B1183" s="22" t="s">
        <v>11</v>
      </c>
      <c r="C1183" s="22" t="s">
        <v>2204</v>
      </c>
      <c r="D1183" s="22" t="s">
        <v>8577</v>
      </c>
      <c r="E1183" s="22" t="s">
        <v>655</v>
      </c>
      <c r="F1183" s="22">
        <v>33.016487872600003</v>
      </c>
      <c r="G1183" s="22">
        <v>44.340094621699997</v>
      </c>
      <c r="H1183" s="21" t="s">
        <v>1449</v>
      </c>
      <c r="I1183" s="21" t="s">
        <v>2207</v>
      </c>
      <c r="J1183" s="21" t="s">
        <v>2266</v>
      </c>
      <c r="K1183" s="24">
        <v>156</v>
      </c>
      <c r="L1183" s="24">
        <v>936</v>
      </c>
      <c r="M1183" s="23">
        <v>21</v>
      </c>
      <c r="N1183" s="23">
        <v>79</v>
      </c>
      <c r="O1183" s="23">
        <v>56</v>
      </c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>
        <v>89</v>
      </c>
      <c r="AG1183" s="23"/>
      <c r="AH1183" s="23"/>
      <c r="AI1183" s="23"/>
      <c r="AJ1183" s="23"/>
      <c r="AK1183" s="23">
        <v>67</v>
      </c>
      <c r="AL1183" s="23"/>
      <c r="AM1183" s="23"/>
      <c r="AN1183" s="23"/>
      <c r="AO1183" s="23"/>
      <c r="AP1183" s="23"/>
      <c r="AQ1183" s="23">
        <v>51</v>
      </c>
      <c r="AR1183" s="23">
        <v>86</v>
      </c>
      <c r="AS1183" s="23">
        <v>19</v>
      </c>
      <c r="AT1183" s="23"/>
      <c r="AU1183" s="14" t="str">
        <f>HYPERLINK("http://www.openstreetmap.org/?mlat=32.985&amp;mlon=44.3567&amp;zoom=12#map=12/32.985/44.3567","Maplink1")</f>
        <v>Maplink1</v>
      </c>
      <c r="AV1183" s="14" t="str">
        <f>HYPERLINK("https://www.google.iq/maps/search/+32.985,44.3567/@32.985,44.3567,14z?hl=en","Maplink2")</f>
        <v>Maplink2</v>
      </c>
      <c r="AW1183" s="14" t="str">
        <f>HYPERLINK("http://www.bing.com/maps/?lvl=14&amp;sty=h&amp;cp=32.985~44.3567&amp;sp=point.32.985_44.3567_Latifiyah-Hay Al Zuhoor","Maplink3")</f>
        <v>Maplink3</v>
      </c>
    </row>
    <row r="1184" spans="1:49" ht="15" customHeight="1" x14ac:dyDescent="0.25">
      <c r="A1184" s="21">
        <v>7615</v>
      </c>
      <c r="B1184" s="22" t="s">
        <v>11</v>
      </c>
      <c r="C1184" s="22" t="s">
        <v>2204</v>
      </c>
      <c r="D1184" s="22" t="s">
        <v>4565</v>
      </c>
      <c r="E1184" s="22" t="s">
        <v>120</v>
      </c>
      <c r="F1184" s="22">
        <v>32.962685316600002</v>
      </c>
      <c r="G1184" s="22">
        <v>44.358617478500001</v>
      </c>
      <c r="H1184" s="21" t="s">
        <v>1449</v>
      </c>
      <c r="I1184" s="21" t="s">
        <v>2207</v>
      </c>
      <c r="J1184" s="21" t="s">
        <v>2218</v>
      </c>
      <c r="K1184" s="24">
        <v>56</v>
      </c>
      <c r="L1184" s="24">
        <v>336</v>
      </c>
      <c r="M1184" s="23"/>
      <c r="N1184" s="23">
        <v>48</v>
      </c>
      <c r="O1184" s="23">
        <v>8</v>
      </c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>
        <v>40</v>
      </c>
      <c r="AG1184" s="23"/>
      <c r="AH1184" s="23"/>
      <c r="AI1184" s="23"/>
      <c r="AJ1184" s="23"/>
      <c r="AK1184" s="23">
        <v>16</v>
      </c>
      <c r="AL1184" s="23"/>
      <c r="AM1184" s="23"/>
      <c r="AN1184" s="23"/>
      <c r="AO1184" s="23"/>
      <c r="AP1184" s="23">
        <v>8</v>
      </c>
      <c r="AQ1184" s="23">
        <v>23</v>
      </c>
      <c r="AR1184" s="23">
        <v>19</v>
      </c>
      <c r="AS1184" s="23">
        <v>6</v>
      </c>
      <c r="AT1184" s="23"/>
      <c r="AU1184" s="14" t="str">
        <f>HYPERLINK("http://www.openstreetmap.org/?mlat=32.9849&amp;mlon=44.3567&amp;zoom=12#map=12/32.9849/44.3567","Maplink1")</f>
        <v>Maplink1</v>
      </c>
      <c r="AV1184" s="14" t="str">
        <f>HYPERLINK("https://www.google.iq/maps/search/+32.9849,44.3567/@32.9849,44.3567,14z?hl=en","Maplink2")</f>
        <v>Maplink2</v>
      </c>
      <c r="AW1184" s="14" t="str">
        <f>HYPERLINK("http://www.bing.com/maps/?lvl=14&amp;sty=h&amp;cp=32.9849~44.3567&amp;sp=point.32.9849_44.3567_Al Latefia-Hay Al-Askary","Maplink3")</f>
        <v>Maplink3</v>
      </c>
    </row>
    <row r="1185" spans="1:49" ht="15" customHeight="1" x14ac:dyDescent="0.25">
      <c r="A1185" s="21">
        <v>24091</v>
      </c>
      <c r="B1185" s="22" t="s">
        <v>11</v>
      </c>
      <c r="C1185" s="22" t="s">
        <v>2204</v>
      </c>
      <c r="D1185" s="22" t="s">
        <v>8578</v>
      </c>
      <c r="E1185" s="22" t="s">
        <v>8579</v>
      </c>
      <c r="F1185" s="22">
        <v>33.056517564400004</v>
      </c>
      <c r="G1185" s="22">
        <v>44.358113388500001</v>
      </c>
      <c r="H1185" s="21" t="s">
        <v>1449</v>
      </c>
      <c r="I1185" s="21" t="s">
        <v>2207</v>
      </c>
      <c r="J1185" s="21" t="s">
        <v>2236</v>
      </c>
      <c r="K1185" s="24">
        <v>88</v>
      </c>
      <c r="L1185" s="24">
        <v>528</v>
      </c>
      <c r="M1185" s="23">
        <v>76</v>
      </c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>
        <v>12</v>
      </c>
      <c r="AB1185" s="23"/>
      <c r="AC1185" s="23"/>
      <c r="AD1185" s="23"/>
      <c r="AE1185" s="23"/>
      <c r="AF1185" s="23">
        <v>31</v>
      </c>
      <c r="AG1185" s="23"/>
      <c r="AH1185" s="23"/>
      <c r="AI1185" s="23"/>
      <c r="AJ1185" s="23"/>
      <c r="AK1185" s="23">
        <v>57</v>
      </c>
      <c r="AL1185" s="23"/>
      <c r="AM1185" s="23"/>
      <c r="AN1185" s="23"/>
      <c r="AO1185" s="23">
        <v>13</v>
      </c>
      <c r="AP1185" s="23"/>
      <c r="AQ1185" s="23"/>
      <c r="AR1185" s="23">
        <v>12</v>
      </c>
      <c r="AS1185" s="23">
        <v>50</v>
      </c>
      <c r="AT1185" s="23">
        <v>13</v>
      </c>
      <c r="AU1185" s="14" t="str">
        <f>HYPERLINK("http://www.openstreetmap.org/?mlat=33.0528&amp;mlon=44.3587&amp;zoom=12#map=12/33.0528/44.3587","Maplink1")</f>
        <v>Maplink1</v>
      </c>
      <c r="AV1185" s="14" t="str">
        <f>HYPERLINK("https://www.google.iq/maps/search/+33.0528,44.3587/@33.0528,44.3587,14z?hl=en","Maplink2")</f>
        <v>Maplink2</v>
      </c>
      <c r="AW1185" s="14" t="str">
        <f>HYPERLINK("http://www.bing.com/maps/?lvl=14&amp;sty=h&amp;cp=33.0528~44.3587&amp;sp=point.33.0528_44.3587_Al-Rubaiy 204","Maplink3")</f>
        <v>Maplink3</v>
      </c>
    </row>
    <row r="1186" spans="1:49" ht="15" customHeight="1" x14ac:dyDescent="0.25">
      <c r="A1186" s="21">
        <v>7616</v>
      </c>
      <c r="B1186" s="22" t="s">
        <v>11</v>
      </c>
      <c r="C1186" s="22" t="s">
        <v>2204</v>
      </c>
      <c r="D1186" s="22" t="s">
        <v>2255</v>
      </c>
      <c r="E1186" s="22" t="s">
        <v>1007</v>
      </c>
      <c r="F1186" s="22">
        <v>33.081219437400001</v>
      </c>
      <c r="G1186" s="22">
        <v>44.255091446400002</v>
      </c>
      <c r="H1186" s="21" t="s">
        <v>1449</v>
      </c>
      <c r="I1186" s="21" t="s">
        <v>2207</v>
      </c>
      <c r="J1186" s="21" t="s">
        <v>2256</v>
      </c>
      <c r="K1186" s="24">
        <v>51</v>
      </c>
      <c r="L1186" s="24">
        <v>306</v>
      </c>
      <c r="M1186" s="23">
        <v>36</v>
      </c>
      <c r="N1186" s="23">
        <v>15</v>
      </c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>
        <v>20</v>
      </c>
      <c r="AG1186" s="23"/>
      <c r="AH1186" s="23"/>
      <c r="AI1186" s="23"/>
      <c r="AJ1186" s="23"/>
      <c r="AK1186" s="23">
        <v>31</v>
      </c>
      <c r="AL1186" s="23"/>
      <c r="AM1186" s="23"/>
      <c r="AN1186" s="23"/>
      <c r="AO1186" s="23"/>
      <c r="AP1186" s="23"/>
      <c r="AQ1186" s="23">
        <v>15</v>
      </c>
      <c r="AR1186" s="23"/>
      <c r="AS1186" s="23">
        <v>36</v>
      </c>
      <c r="AT1186" s="23"/>
      <c r="AU1186" s="14" t="str">
        <f>HYPERLINK("http://www.openstreetmap.org/?mlat=33.08&amp;mlon=44.2614&amp;zoom=12#map=12/33.08/44.2614","Maplink1")</f>
        <v>Maplink1</v>
      </c>
      <c r="AV1186" s="14" t="str">
        <f>HYPERLINK("https://www.google.iq/maps/search/+33.08,44.2614/@33.08,44.2614,14z?hl=en","Maplink2")</f>
        <v>Maplink2</v>
      </c>
      <c r="AW1186" s="14" t="str">
        <f>HYPERLINK("http://www.bing.com/maps/?lvl=14&amp;sty=h&amp;cp=33.08~44.2614&amp;sp=point.33.08_44.2614_Hay Al-Sajjad","Maplink3")</f>
        <v>Maplink3</v>
      </c>
    </row>
    <row r="1187" spans="1:49" ht="15" customHeight="1" x14ac:dyDescent="0.25">
      <c r="A1187" s="21">
        <v>7752</v>
      </c>
      <c r="B1187" s="22" t="s">
        <v>11</v>
      </c>
      <c r="C1187" s="22" t="s">
        <v>2204</v>
      </c>
      <c r="D1187" s="22" t="s">
        <v>149</v>
      </c>
      <c r="E1187" s="22" t="s">
        <v>150</v>
      </c>
      <c r="F1187" s="22">
        <v>33.178044995299999</v>
      </c>
      <c r="G1187" s="22">
        <v>44.367274688599998</v>
      </c>
      <c r="H1187" s="21" t="s">
        <v>1449</v>
      </c>
      <c r="I1187" s="21" t="s">
        <v>2207</v>
      </c>
      <c r="J1187" s="21" t="s">
        <v>2257</v>
      </c>
      <c r="K1187" s="24">
        <v>9</v>
      </c>
      <c r="L1187" s="24">
        <v>54</v>
      </c>
      <c r="M1187" s="23">
        <v>9</v>
      </c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>
        <v>9</v>
      </c>
      <c r="AG1187" s="23"/>
      <c r="AH1187" s="23"/>
      <c r="AI1187" s="23"/>
      <c r="AJ1187" s="23"/>
      <c r="AK1187" s="23"/>
      <c r="AL1187" s="23"/>
      <c r="AM1187" s="23"/>
      <c r="AN1187" s="23"/>
      <c r="AO1187" s="23">
        <v>9</v>
      </c>
      <c r="AP1187" s="23"/>
      <c r="AQ1187" s="23"/>
      <c r="AR1187" s="23"/>
      <c r="AS1187" s="23"/>
      <c r="AT1187" s="23"/>
      <c r="AU1187" s="14" t="str">
        <f>HYPERLINK("http://www.openstreetmap.org/?mlat=33.1102&amp;mlon=44.373&amp;zoom=12#map=12/33.1102/44.373","Maplink1")</f>
        <v>Maplink1</v>
      </c>
      <c r="AV1187" s="14" t="str">
        <f>HYPERLINK("https://www.google.iq/maps/search/+33.1102,44.373/@33.1102,44.373,14z?hl=en","Maplink2")</f>
        <v>Maplink2</v>
      </c>
      <c r="AW1187" s="14" t="str">
        <f>HYPERLINK("http://www.bing.com/maps/?lvl=14&amp;sty=h&amp;cp=33.1102~44.373&amp;sp=point.33.1102_44.373_Hay Al-Salam","Maplink3")</f>
        <v>Maplink3</v>
      </c>
    </row>
    <row r="1188" spans="1:49" ht="15" customHeight="1" x14ac:dyDescent="0.25">
      <c r="A1188" s="21">
        <v>27321</v>
      </c>
      <c r="B1188" s="22" t="s">
        <v>11</v>
      </c>
      <c r="C1188" s="22" t="s">
        <v>2204</v>
      </c>
      <c r="D1188" s="22" t="s">
        <v>2258</v>
      </c>
      <c r="E1188" s="22" t="s">
        <v>2196</v>
      </c>
      <c r="F1188" s="22">
        <v>33.118316599000003</v>
      </c>
      <c r="G1188" s="22">
        <v>44.3683247118</v>
      </c>
      <c r="H1188" s="21" t="s">
        <v>1449</v>
      </c>
      <c r="I1188" s="21" t="s">
        <v>2207</v>
      </c>
      <c r="J1188" s="21"/>
      <c r="K1188" s="24">
        <v>19</v>
      </c>
      <c r="L1188" s="24">
        <v>114</v>
      </c>
      <c r="M1188" s="23">
        <v>14</v>
      </c>
      <c r="N1188" s="23">
        <v>3</v>
      </c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>
        <v>2</v>
      </c>
      <c r="AB1188" s="23"/>
      <c r="AC1188" s="23"/>
      <c r="AD1188" s="23"/>
      <c r="AE1188" s="23"/>
      <c r="AF1188" s="23">
        <v>5</v>
      </c>
      <c r="AG1188" s="23"/>
      <c r="AH1188" s="23"/>
      <c r="AI1188" s="23"/>
      <c r="AJ1188" s="23"/>
      <c r="AK1188" s="23">
        <v>14</v>
      </c>
      <c r="AL1188" s="23"/>
      <c r="AM1188" s="23"/>
      <c r="AN1188" s="23"/>
      <c r="AO1188" s="23"/>
      <c r="AP1188" s="23"/>
      <c r="AQ1188" s="23">
        <v>9</v>
      </c>
      <c r="AR1188" s="23"/>
      <c r="AS1188" s="23">
        <v>10</v>
      </c>
      <c r="AT1188" s="23"/>
      <c r="AU1188" s="14" t="str">
        <f>HYPERLINK("http://www.openstreetmap.org/?mlat=33.1102&amp;mlon=44.373&amp;zoom=12#map=12/33.1102/44.373","Maplink1")</f>
        <v>Maplink1</v>
      </c>
      <c r="AV1188" s="14" t="str">
        <f>HYPERLINK("https://www.google.iq/maps/search/+33.1102,44.373/@33.1102,44.373,14z?hl=en","Maplink2")</f>
        <v>Maplink2</v>
      </c>
      <c r="AW1188" s="14" t="str">
        <f>HYPERLINK("http://www.bing.com/maps/?lvl=14&amp;sty=h&amp;cp=33.1102~44.373&amp;sp=point.33.1102_44.373_Hay Al-Zaahraa","Maplink3")</f>
        <v>Maplink3</v>
      </c>
    </row>
    <row r="1189" spans="1:49" ht="15" customHeight="1" x14ac:dyDescent="0.25">
      <c r="A1189" s="21">
        <v>27322</v>
      </c>
      <c r="B1189" s="22" t="s">
        <v>11</v>
      </c>
      <c r="C1189" s="22" t="s">
        <v>2204</v>
      </c>
      <c r="D1189" s="22" t="s">
        <v>2259</v>
      </c>
      <c r="E1189" s="22" t="s">
        <v>2260</v>
      </c>
      <c r="F1189" s="22">
        <v>33.1242031974</v>
      </c>
      <c r="G1189" s="22">
        <v>44.365598515599999</v>
      </c>
      <c r="H1189" s="21" t="s">
        <v>1449</v>
      </c>
      <c r="I1189" s="21" t="s">
        <v>2207</v>
      </c>
      <c r="J1189" s="21"/>
      <c r="K1189" s="24">
        <v>32</v>
      </c>
      <c r="L1189" s="24">
        <v>192</v>
      </c>
      <c r="M1189" s="23">
        <v>32</v>
      </c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>
        <v>11</v>
      </c>
      <c r="AG1189" s="23"/>
      <c r="AH1189" s="23"/>
      <c r="AI1189" s="23"/>
      <c r="AJ1189" s="23"/>
      <c r="AK1189" s="23">
        <v>21</v>
      </c>
      <c r="AL1189" s="23"/>
      <c r="AM1189" s="23"/>
      <c r="AN1189" s="23"/>
      <c r="AO1189" s="23">
        <v>9</v>
      </c>
      <c r="AP1189" s="23"/>
      <c r="AQ1189" s="23"/>
      <c r="AR1189" s="23">
        <v>3</v>
      </c>
      <c r="AS1189" s="23">
        <v>20</v>
      </c>
      <c r="AT1189" s="23"/>
      <c r="AU1189" s="14" t="str">
        <f>HYPERLINK("http://www.openstreetmap.org/?mlat=33.1102&amp;mlon=44.373&amp;zoom=12#map=12/33.1102/44.373","Maplink1")</f>
        <v>Maplink1</v>
      </c>
      <c r="AV1189" s="14" t="str">
        <f>HYPERLINK("https://www.google.iq/maps/search/+33.1102,44.373/@33.1102,44.373,14z?hl=en","Maplink2")</f>
        <v>Maplink2</v>
      </c>
      <c r="AW1189" s="14" t="str">
        <f>HYPERLINK("http://www.bing.com/maps/?lvl=14&amp;sty=h&amp;cp=33.1102~44.373&amp;sp=point.33.1102_44.373_Hay Al-Zayton","Maplink3")</f>
        <v>Maplink3</v>
      </c>
    </row>
    <row r="1190" spans="1:49" ht="15" customHeight="1" x14ac:dyDescent="0.25">
      <c r="A1190" s="21">
        <v>7758</v>
      </c>
      <c r="B1190" s="22" t="s">
        <v>11</v>
      </c>
      <c r="C1190" s="22" t="s">
        <v>2204</v>
      </c>
      <c r="D1190" s="22" t="s">
        <v>2261</v>
      </c>
      <c r="E1190" s="22" t="s">
        <v>2262</v>
      </c>
      <c r="F1190" s="22">
        <v>33.093831293999997</v>
      </c>
      <c r="G1190" s="22">
        <v>44.368727031500001</v>
      </c>
      <c r="H1190" s="21"/>
      <c r="I1190" s="21"/>
      <c r="J1190" s="21" t="s">
        <v>2263</v>
      </c>
      <c r="K1190" s="24">
        <v>76</v>
      </c>
      <c r="L1190" s="24">
        <v>456</v>
      </c>
      <c r="M1190" s="23">
        <v>64</v>
      </c>
      <c r="N1190" s="23"/>
      <c r="O1190" s="23">
        <v>6</v>
      </c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>
        <v>6</v>
      </c>
      <c r="AB1190" s="23"/>
      <c r="AC1190" s="23"/>
      <c r="AD1190" s="23"/>
      <c r="AE1190" s="23"/>
      <c r="AF1190" s="23">
        <v>27</v>
      </c>
      <c r="AG1190" s="23"/>
      <c r="AH1190" s="23"/>
      <c r="AI1190" s="23"/>
      <c r="AJ1190" s="23"/>
      <c r="AK1190" s="23">
        <v>49</v>
      </c>
      <c r="AL1190" s="23"/>
      <c r="AM1190" s="23"/>
      <c r="AN1190" s="23"/>
      <c r="AO1190" s="23">
        <v>3</v>
      </c>
      <c r="AP1190" s="23">
        <v>16</v>
      </c>
      <c r="AQ1190" s="23"/>
      <c r="AR1190" s="23"/>
      <c r="AS1190" s="23">
        <v>57</v>
      </c>
      <c r="AT1190" s="23"/>
      <c r="AU1190" s="14" t="str">
        <f>HYPERLINK("http://www.openstreetmap.org/?mlat=33.0903&amp;mlon=44.3763&amp;zoom=12#map=12/33.0903/44.3763","Maplink1")</f>
        <v>Maplink1</v>
      </c>
      <c r="AV1190" s="14" t="str">
        <f>HYPERLINK("https://www.google.iq/maps/search/+33.0903,44.3763/@33.0903,44.3763,14z?hl=en","Maplink2")</f>
        <v>Maplink2</v>
      </c>
      <c r="AW1190" s="14" t="str">
        <f>HYPERLINK("http://www.bing.com/maps/?lvl=14&amp;sty=h&amp;cp=33.0903~44.3763&amp;sp=point.33.0903_44.3763_Hay Bader","Maplink3")</f>
        <v>Maplink3</v>
      </c>
    </row>
    <row r="1191" spans="1:49" ht="15" customHeight="1" x14ac:dyDescent="0.25">
      <c r="A1191" s="21">
        <v>25153</v>
      </c>
      <c r="B1191" s="22" t="s">
        <v>11</v>
      </c>
      <c r="C1191" s="22" t="s">
        <v>2204</v>
      </c>
      <c r="D1191" s="22" t="s">
        <v>8580</v>
      </c>
      <c r="E1191" s="22" t="s">
        <v>8581</v>
      </c>
      <c r="F1191" s="22">
        <v>32.944312013699999</v>
      </c>
      <c r="G1191" s="22">
        <v>44.355779956299997</v>
      </c>
      <c r="H1191" s="21" t="s">
        <v>1449</v>
      </c>
      <c r="I1191" s="21" t="s">
        <v>2207</v>
      </c>
      <c r="J1191" s="21"/>
      <c r="K1191" s="24">
        <v>4</v>
      </c>
      <c r="L1191" s="24">
        <v>24</v>
      </c>
      <c r="M1191" s="23"/>
      <c r="N1191" s="23">
        <v>4</v>
      </c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>
        <v>4</v>
      </c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>
        <v>4</v>
      </c>
      <c r="AR1191" s="23"/>
      <c r="AS1191" s="23"/>
      <c r="AT1191" s="23"/>
      <c r="AU1191" s="14" t="str">
        <f>HYPERLINK("http://www.openstreetmap.org/?mlat=32.9849&amp;mlon=44.3567&amp;zoom=12#map=12/32.9849/44.3567","Maplink1")</f>
        <v>Maplink1</v>
      </c>
      <c r="AV1191" s="14" t="str">
        <f>HYPERLINK("https://www.google.iq/maps/search/+32.9849,44.3567/@32.9849,44.3567,14z?hl=en","Maplink2")</f>
        <v>Maplink2</v>
      </c>
      <c r="AW1191" s="14" t="str">
        <f>HYPERLINK("http://www.bing.com/maps/?lvl=14&amp;sty=h&amp;cp=32.9849~44.3567&amp;sp=point.32.9849_44.3567_Al Latefia-Kilo 31","Maplink3")</f>
        <v>Maplink3</v>
      </c>
    </row>
    <row r="1192" spans="1:49" ht="15" customHeight="1" x14ac:dyDescent="0.25">
      <c r="A1192" s="21">
        <v>25152</v>
      </c>
      <c r="B1192" s="22" t="s">
        <v>11</v>
      </c>
      <c r="C1192" s="22" t="s">
        <v>2204</v>
      </c>
      <c r="D1192" s="22" t="s">
        <v>782</v>
      </c>
      <c r="E1192" s="22" t="s">
        <v>783</v>
      </c>
      <c r="F1192" s="22">
        <v>32.959730840500001</v>
      </c>
      <c r="G1192" s="22">
        <v>44.336428548299999</v>
      </c>
      <c r="H1192" s="21" t="s">
        <v>1449</v>
      </c>
      <c r="I1192" s="21" t="s">
        <v>2207</v>
      </c>
      <c r="J1192" s="21"/>
      <c r="K1192" s="24">
        <v>262</v>
      </c>
      <c r="L1192" s="24">
        <v>1572</v>
      </c>
      <c r="M1192" s="23">
        <v>19</v>
      </c>
      <c r="N1192" s="23">
        <v>198</v>
      </c>
      <c r="O1192" s="23">
        <v>42</v>
      </c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>
        <v>3</v>
      </c>
      <c r="AB1192" s="23"/>
      <c r="AC1192" s="23"/>
      <c r="AD1192" s="23"/>
      <c r="AE1192" s="23"/>
      <c r="AF1192" s="23">
        <v>182</v>
      </c>
      <c r="AG1192" s="23"/>
      <c r="AH1192" s="23"/>
      <c r="AI1192" s="23"/>
      <c r="AJ1192" s="23"/>
      <c r="AK1192" s="23">
        <v>80</v>
      </c>
      <c r="AL1192" s="23"/>
      <c r="AM1192" s="23"/>
      <c r="AN1192" s="23"/>
      <c r="AO1192" s="23"/>
      <c r="AP1192" s="23"/>
      <c r="AQ1192" s="23">
        <v>169</v>
      </c>
      <c r="AR1192" s="23">
        <v>65</v>
      </c>
      <c r="AS1192" s="23">
        <v>28</v>
      </c>
      <c r="AT1192" s="23"/>
      <c r="AU1192" s="14" t="str">
        <f>HYPERLINK("http://www.openstreetmap.org/?mlat=32.9849&amp;mlon=44.3567&amp;zoom=12#map=12/32.9849/44.3567","Maplink1")</f>
        <v>Maplink1</v>
      </c>
      <c r="AV1192" s="14" t="str">
        <f>HYPERLINK("https://www.google.iq/maps/search/+32.9849,44.3567/@32.9849,44.3567,14z?hl=en","Maplink2")</f>
        <v>Maplink2</v>
      </c>
      <c r="AW1192" s="14" t="str">
        <f>HYPERLINK("http://www.bing.com/maps/?lvl=14&amp;sty=h&amp;cp=32.9849~44.3567&amp;sp=point.32.9849_44.3567_Al Latefia-Kilo 18","Maplink3")</f>
        <v>Maplink3</v>
      </c>
    </row>
    <row r="1193" spans="1:49" ht="15" customHeight="1" x14ac:dyDescent="0.25">
      <c r="A1193" s="21">
        <v>25154</v>
      </c>
      <c r="B1193" s="22" t="s">
        <v>11</v>
      </c>
      <c r="C1193" s="22" t="s">
        <v>2204</v>
      </c>
      <c r="D1193" s="22" t="s">
        <v>8582</v>
      </c>
      <c r="E1193" s="22" t="s">
        <v>2219</v>
      </c>
      <c r="F1193" s="22">
        <v>32.957549301999997</v>
      </c>
      <c r="G1193" s="22">
        <v>44.329585847099999</v>
      </c>
      <c r="H1193" s="21" t="s">
        <v>1449</v>
      </c>
      <c r="I1193" s="21" t="s">
        <v>2207</v>
      </c>
      <c r="J1193" s="21"/>
      <c r="K1193" s="24">
        <v>41</v>
      </c>
      <c r="L1193" s="24">
        <v>246</v>
      </c>
      <c r="M1193" s="23">
        <v>11</v>
      </c>
      <c r="N1193" s="23">
        <v>22</v>
      </c>
      <c r="O1193" s="23">
        <v>8</v>
      </c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>
        <v>35</v>
      </c>
      <c r="AG1193" s="23"/>
      <c r="AH1193" s="23"/>
      <c r="AI1193" s="23"/>
      <c r="AJ1193" s="23"/>
      <c r="AK1193" s="23">
        <v>6</v>
      </c>
      <c r="AL1193" s="23"/>
      <c r="AM1193" s="23"/>
      <c r="AN1193" s="23"/>
      <c r="AO1193" s="23"/>
      <c r="AP1193" s="23"/>
      <c r="AQ1193" s="23">
        <v>24</v>
      </c>
      <c r="AR1193" s="23">
        <v>8</v>
      </c>
      <c r="AS1193" s="23">
        <v>9</v>
      </c>
      <c r="AT1193" s="23"/>
      <c r="AU1193" s="14" t="str">
        <f>HYPERLINK("http://www.openstreetmap.org/?mlat=32.9849&amp;mlon=44.3567&amp;zoom=12#map=12/32.9849/44.3567","Maplink1")</f>
        <v>Maplink1</v>
      </c>
      <c r="AV1193" s="14" t="str">
        <f>HYPERLINK("https://www.google.iq/maps/search/+32.9849,44.3567/@32.9849,44.3567,14z?hl=en","Maplink2")</f>
        <v>Maplink2</v>
      </c>
      <c r="AW1193" s="14" t="str">
        <f>HYPERLINK("http://www.bing.com/maps/?lvl=14&amp;sty=h&amp;cp=32.9849~44.3567&amp;sp=point.32.9849_44.3567_Al Latefia-Kilo 25","Maplink3")</f>
        <v>Maplink3</v>
      </c>
    </row>
    <row r="1194" spans="1:49" ht="15" customHeight="1" x14ac:dyDescent="0.25">
      <c r="A1194" s="21">
        <v>27324</v>
      </c>
      <c r="B1194" s="22" t="s">
        <v>11</v>
      </c>
      <c r="C1194" s="22" t="s">
        <v>2204</v>
      </c>
      <c r="D1194" s="22" t="s">
        <v>2264</v>
      </c>
      <c r="E1194" s="22" t="s">
        <v>2265</v>
      </c>
      <c r="F1194" s="22">
        <v>33.1869972629</v>
      </c>
      <c r="G1194" s="22">
        <v>44.370869164699997</v>
      </c>
      <c r="H1194" s="21" t="s">
        <v>1449</v>
      </c>
      <c r="I1194" s="21" t="s">
        <v>2207</v>
      </c>
      <c r="J1194" s="21"/>
      <c r="K1194" s="24">
        <v>66</v>
      </c>
      <c r="L1194" s="24">
        <v>396</v>
      </c>
      <c r="M1194" s="23">
        <v>27</v>
      </c>
      <c r="N1194" s="23"/>
      <c r="O1194" s="23">
        <v>20</v>
      </c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>
        <v>19</v>
      </c>
      <c r="AB1194" s="23"/>
      <c r="AC1194" s="23"/>
      <c r="AD1194" s="23"/>
      <c r="AE1194" s="23"/>
      <c r="AF1194" s="23">
        <v>30</v>
      </c>
      <c r="AG1194" s="23"/>
      <c r="AH1194" s="23"/>
      <c r="AI1194" s="23"/>
      <c r="AJ1194" s="23"/>
      <c r="AK1194" s="23">
        <v>36</v>
      </c>
      <c r="AL1194" s="23"/>
      <c r="AM1194" s="23"/>
      <c r="AN1194" s="23"/>
      <c r="AO1194" s="23"/>
      <c r="AP1194" s="23"/>
      <c r="AQ1194" s="23">
        <v>16</v>
      </c>
      <c r="AR1194" s="23">
        <v>23</v>
      </c>
      <c r="AS1194" s="23">
        <v>21</v>
      </c>
      <c r="AT1194" s="23">
        <v>6</v>
      </c>
      <c r="AU1194" s="14" t="str">
        <f>HYPERLINK("http://www.openstreetmap.org/?mlat=33.1493&amp;mlon=44.3844&amp;zoom=12#map=12/33.1493/44.3844","Maplink1")</f>
        <v>Maplink1</v>
      </c>
      <c r="AV1194" s="14" t="str">
        <f>HYPERLINK("https://www.google.iq/maps/search/+33.1493,44.3844/@33.1493,44.3844,14z?hl=en","Maplink2")</f>
        <v>Maplink2</v>
      </c>
      <c r="AW1194" s="14" t="str">
        <f>HYPERLINK("http://www.bing.com/maps/?lvl=14&amp;sty=h&amp;cp=33.1493~44.3844&amp;sp=point.33.1493_44.3844_Kuwaresh","Maplink3")</f>
        <v>Maplink3</v>
      </c>
    </row>
    <row r="1195" spans="1:49" ht="15" customHeight="1" x14ac:dyDescent="0.25">
      <c r="A1195" s="21">
        <v>29588</v>
      </c>
      <c r="B1195" s="22" t="s">
        <v>11</v>
      </c>
      <c r="C1195" s="22" t="s">
        <v>2204</v>
      </c>
      <c r="D1195" s="22" t="s">
        <v>8191</v>
      </c>
      <c r="E1195" s="22" t="s">
        <v>8192</v>
      </c>
      <c r="F1195" s="22">
        <v>32.968873000000002</v>
      </c>
      <c r="G1195" s="22">
        <v>44.351599999999998</v>
      </c>
      <c r="H1195" s="21" t="s">
        <v>1449</v>
      </c>
      <c r="I1195" s="21" t="s">
        <v>2207</v>
      </c>
      <c r="J1195" s="21"/>
      <c r="K1195" s="24">
        <v>87</v>
      </c>
      <c r="L1195" s="24">
        <v>522</v>
      </c>
      <c r="M1195" s="23"/>
      <c r="N1195" s="23">
        <v>78</v>
      </c>
      <c r="O1195" s="23">
        <v>9</v>
      </c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>
        <v>87</v>
      </c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>
        <v>87</v>
      </c>
      <c r="AR1195" s="23"/>
      <c r="AS1195" s="23"/>
      <c r="AT1195" s="23"/>
      <c r="AU1195" s="14" t="str">
        <f>HYPERLINK("http://www.openstreetmap.org/?mlat=32.9689&amp;mlon=44.3516&amp;zoom=12#map=12/32.9689/44.3516","Maplink1")</f>
        <v>Maplink1</v>
      </c>
      <c r="AV1195" s="14" t="str">
        <f>HYPERLINK("https://www.google.iq/maps/search/+32.9689,44.3516/@32.9689,44.3516,14z?hl=en","Maplink2")</f>
        <v>Maplink2</v>
      </c>
      <c r="AW1195" s="14" t="str">
        <f>HYPERLINK("http://www.bing.com/maps/?lvl=14&amp;sty=h&amp;cp=32.9689~44.3516&amp;sp=point.32.9689_44.3516","Maplink3")</f>
        <v>Maplink3</v>
      </c>
    </row>
    <row r="1196" spans="1:49" ht="15" customHeight="1" x14ac:dyDescent="0.25">
      <c r="A1196" s="21">
        <v>26103</v>
      </c>
      <c r="B1196" s="22" t="s">
        <v>11</v>
      </c>
      <c r="C1196" s="22" t="s">
        <v>2204</v>
      </c>
      <c r="D1196" s="22" t="s">
        <v>2267</v>
      </c>
      <c r="E1196" s="22" t="s">
        <v>2268</v>
      </c>
      <c r="F1196" s="22">
        <v>33.137846365999998</v>
      </c>
      <c r="G1196" s="22">
        <v>44.046669209999997</v>
      </c>
      <c r="H1196" s="21" t="s">
        <v>1449</v>
      </c>
      <c r="I1196" s="21" t="s">
        <v>2207</v>
      </c>
      <c r="J1196" s="21"/>
      <c r="K1196" s="24">
        <v>41</v>
      </c>
      <c r="L1196" s="24">
        <v>246</v>
      </c>
      <c r="M1196" s="23">
        <v>41</v>
      </c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>
        <v>41</v>
      </c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23"/>
      <c r="AS1196" s="23">
        <v>41</v>
      </c>
      <c r="AT1196" s="23"/>
      <c r="AU1196" s="14" t="str">
        <f>HYPERLINK("http://www.openstreetmap.org/?mlat=33.1406&amp;mlon=44.0416&amp;zoom=12#map=12/33.1406/44.0416","Maplink1")</f>
        <v>Maplink1</v>
      </c>
      <c r="AV1196" s="14" t="str">
        <f>HYPERLINK("https://www.google.iq/maps/search/+33.1406,44.0416/@33.1406,44.0416,14z?hl=en","Maplink2")</f>
        <v>Maplink2</v>
      </c>
      <c r="AW1196" s="14" t="str">
        <f>HYPERLINK("http://www.bing.com/maps/?lvl=14&amp;sty=h&amp;cp=33.1406~44.0416&amp;sp=point.33.1406_44.0416_Mohammed Abass Al Nabet Collective Center","Maplink3")</f>
        <v>Maplink3</v>
      </c>
    </row>
    <row r="1197" spans="1:49" ht="15" customHeight="1" x14ac:dyDescent="0.25">
      <c r="A1197" s="21">
        <v>27251</v>
      </c>
      <c r="B1197" s="22" t="s">
        <v>11</v>
      </c>
      <c r="C1197" s="22" t="s">
        <v>2204</v>
      </c>
      <c r="D1197" s="22" t="s">
        <v>2269</v>
      </c>
      <c r="E1197" s="22" t="s">
        <v>2270</v>
      </c>
      <c r="F1197" s="22">
        <v>33.0705131275</v>
      </c>
      <c r="G1197" s="22">
        <v>44.353033582400002</v>
      </c>
      <c r="H1197" s="21" t="s">
        <v>1449</v>
      </c>
      <c r="I1197" s="21" t="s">
        <v>2207</v>
      </c>
      <c r="J1197" s="21"/>
      <c r="K1197" s="24">
        <v>93</v>
      </c>
      <c r="L1197" s="24">
        <v>558</v>
      </c>
      <c r="M1197" s="23">
        <v>76</v>
      </c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>
        <v>17</v>
      </c>
      <c r="Z1197" s="23"/>
      <c r="AA1197" s="23"/>
      <c r="AB1197" s="23"/>
      <c r="AC1197" s="23"/>
      <c r="AD1197" s="23"/>
      <c r="AE1197" s="23"/>
      <c r="AF1197" s="23">
        <v>24</v>
      </c>
      <c r="AG1197" s="23"/>
      <c r="AH1197" s="23"/>
      <c r="AI1197" s="23"/>
      <c r="AJ1197" s="23"/>
      <c r="AK1197" s="23">
        <v>69</v>
      </c>
      <c r="AL1197" s="23"/>
      <c r="AM1197" s="23"/>
      <c r="AN1197" s="23"/>
      <c r="AO1197" s="23"/>
      <c r="AP1197" s="23"/>
      <c r="AQ1197" s="23"/>
      <c r="AR1197" s="23">
        <v>37</v>
      </c>
      <c r="AS1197" s="23">
        <v>51</v>
      </c>
      <c r="AT1197" s="23">
        <v>5</v>
      </c>
      <c r="AU1197" s="14" t="str">
        <f>HYPERLINK("http://www.openstreetmap.org/?mlat=33.0528&amp;mlon=44.3605&amp;zoom=12#map=12/33.0528/44.3605","Maplink1")</f>
        <v>Maplink1</v>
      </c>
      <c r="AV1197" s="14" t="str">
        <f>HYPERLINK("https://www.google.iq/maps/search/+33.0528,44.3605/@33.0528,44.3605,14z?hl=en","Maplink2")</f>
        <v>Maplink2</v>
      </c>
      <c r="AW1197" s="14" t="str">
        <f>HYPERLINK("http://www.bing.com/maps/?lvl=14&amp;sty=h&amp;cp=33.0528~44.3605&amp;sp=point.33.0528_44.3605_Mustafa complex","Maplink3")</f>
        <v>Maplink3</v>
      </c>
    </row>
    <row r="1198" spans="1:49" ht="15" customHeight="1" x14ac:dyDescent="0.25">
      <c r="A1198" s="21">
        <v>7364</v>
      </c>
      <c r="B1198" s="22" t="s">
        <v>11</v>
      </c>
      <c r="C1198" s="22" t="s">
        <v>2204</v>
      </c>
      <c r="D1198" s="22" t="s">
        <v>2271</v>
      </c>
      <c r="E1198" s="22" t="s">
        <v>2272</v>
      </c>
      <c r="F1198" s="22">
        <v>33.141168336500002</v>
      </c>
      <c r="G1198" s="22">
        <v>44.076447100099998</v>
      </c>
      <c r="H1198" s="21" t="s">
        <v>1449</v>
      </c>
      <c r="I1198" s="21" t="s">
        <v>2207</v>
      </c>
      <c r="J1198" s="21" t="s">
        <v>2273</v>
      </c>
      <c r="K1198" s="24">
        <v>387</v>
      </c>
      <c r="L1198" s="24">
        <v>2322</v>
      </c>
      <c r="M1198" s="23">
        <v>387</v>
      </c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>
        <v>197</v>
      </c>
      <c r="AI1198" s="23"/>
      <c r="AJ1198" s="23"/>
      <c r="AK1198" s="23">
        <v>131</v>
      </c>
      <c r="AL1198" s="23"/>
      <c r="AM1198" s="23">
        <v>59</v>
      </c>
      <c r="AN1198" s="23"/>
      <c r="AO1198" s="23"/>
      <c r="AP1198" s="23"/>
      <c r="AQ1198" s="23"/>
      <c r="AR1198" s="23"/>
      <c r="AS1198" s="23">
        <v>360</v>
      </c>
      <c r="AT1198" s="23">
        <v>27</v>
      </c>
      <c r="AU1198" s="14" t="str">
        <f>HYPERLINK("http://www.openstreetmap.org/?mlat=33.1417&amp;mlon=44.0667&amp;zoom=12#map=12/33.1417/44.0667","Maplink1")</f>
        <v>Maplink1</v>
      </c>
      <c r="AV1198" s="14" t="str">
        <f>HYPERLINK("https://www.google.iq/maps/search/+33.1417,44.0667/@33.1417,44.0667,14z?hl=en","Maplink2")</f>
        <v>Maplink2</v>
      </c>
      <c r="AW1198" s="14" t="str">
        <f>HYPERLINK("http://www.bing.com/maps/?lvl=14&amp;sty=h&amp;cp=33.1417~44.0667&amp;sp=point.33.1417_44.0667_Sader Al Yousfiya","Maplink3")</f>
        <v>Maplink3</v>
      </c>
    </row>
    <row r="1199" spans="1:49" ht="15" customHeight="1" x14ac:dyDescent="0.25">
      <c r="A1199" s="21">
        <v>25155</v>
      </c>
      <c r="B1199" s="22" t="s">
        <v>11</v>
      </c>
      <c r="C1199" s="22" t="s">
        <v>2204</v>
      </c>
      <c r="D1199" s="22" t="s">
        <v>8583</v>
      </c>
      <c r="E1199" s="22" t="s">
        <v>2220</v>
      </c>
      <c r="F1199" s="22">
        <v>33.022399999999998</v>
      </c>
      <c r="G1199" s="22">
        <v>44.575800000000001</v>
      </c>
      <c r="H1199" s="21" t="s">
        <v>1449</v>
      </c>
      <c r="I1199" s="21" t="s">
        <v>2207</v>
      </c>
      <c r="J1199" s="21"/>
      <c r="K1199" s="24">
        <v>27</v>
      </c>
      <c r="L1199" s="24">
        <v>162</v>
      </c>
      <c r="M1199" s="23"/>
      <c r="N1199" s="23">
        <v>11</v>
      </c>
      <c r="O1199" s="23">
        <v>16</v>
      </c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>
        <v>27</v>
      </c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>
        <v>27</v>
      </c>
      <c r="AR1199" s="23"/>
      <c r="AS1199" s="23"/>
      <c r="AT1199" s="23"/>
      <c r="AU1199" s="14" t="str">
        <f>HYPERLINK("http://www.openstreetmap.org/?mlat=32.9849&amp;mlon=44.3567&amp;zoom=12#map=12/32.9849/44.3567","Maplink1")</f>
        <v>Maplink1</v>
      </c>
      <c r="AV1199" s="14" t="str">
        <f>HYPERLINK("https://www.google.iq/maps/search/+32.9849,44.3567/@32.9849,44.3567,14z?hl=en","Maplink2")</f>
        <v>Maplink2</v>
      </c>
      <c r="AW1199" s="14" t="str">
        <f>HYPERLINK("http://www.bing.com/maps/?lvl=14&amp;sty=h&amp;cp=32.9849~44.3567&amp;sp=point.32.9849_44.3567_Al Latefia-Tell Al Sumer","Maplink3")</f>
        <v>Maplink3</v>
      </c>
    </row>
    <row r="1200" spans="1:49" ht="15" customHeight="1" x14ac:dyDescent="0.25">
      <c r="A1200" s="21">
        <v>25148</v>
      </c>
      <c r="B1200" s="22" t="s">
        <v>11</v>
      </c>
      <c r="C1200" s="22" t="s">
        <v>2204</v>
      </c>
      <c r="D1200" s="22" t="s">
        <v>2274</v>
      </c>
      <c r="E1200" s="22" t="s">
        <v>2275</v>
      </c>
      <c r="F1200" s="22">
        <v>33.121623338900001</v>
      </c>
      <c r="G1200" s="22">
        <v>44.061937549100001</v>
      </c>
      <c r="H1200" s="21" t="s">
        <v>1449</v>
      </c>
      <c r="I1200" s="21" t="s">
        <v>2207</v>
      </c>
      <c r="J1200" s="21"/>
      <c r="K1200" s="24">
        <v>48</v>
      </c>
      <c r="L1200" s="24">
        <v>288</v>
      </c>
      <c r="M1200" s="23">
        <v>48</v>
      </c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>
        <v>48</v>
      </c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23"/>
      <c r="AS1200" s="23">
        <v>48</v>
      </c>
      <c r="AT1200" s="23"/>
      <c r="AU1200" s="14" t="str">
        <f>HYPERLINK("http://www.openstreetmap.org/?mlat=33.0792&amp;mlon=44.2531&amp;zoom=12#map=12/33.0792/44.2531","Maplink1")</f>
        <v>Maplink1</v>
      </c>
      <c r="AV1200" s="14" t="str">
        <f>HYPERLINK("https://www.google.iq/maps/search/+33.0792,44.2531/@33.0792,44.2531,14z?hl=en","Maplink2")</f>
        <v>Maplink2</v>
      </c>
      <c r="AW1200" s="14" t="str">
        <f>HYPERLINK("http://www.bing.com/maps/?lvl=14&amp;sty=h&amp;cp=33.0792~44.2531&amp;sp=point.33.0792_44.2531_Zoya Al Akrad","Maplink3")</f>
        <v>Maplink3</v>
      </c>
    </row>
    <row r="1201" spans="1:49" ht="15" customHeight="1" x14ac:dyDescent="0.25">
      <c r="A1201" s="21">
        <v>25427</v>
      </c>
      <c r="B1201" s="22" t="s">
        <v>11</v>
      </c>
      <c r="C1201" s="22" t="s">
        <v>2276</v>
      </c>
      <c r="D1201" s="22" t="s">
        <v>2277</v>
      </c>
      <c r="E1201" s="22" t="s">
        <v>2278</v>
      </c>
      <c r="F1201" s="22">
        <v>33.703060000000001</v>
      </c>
      <c r="G1201" s="22">
        <v>44.421230000000001</v>
      </c>
      <c r="H1201" s="21" t="s">
        <v>1449</v>
      </c>
      <c r="I1201" s="21" t="s">
        <v>2279</v>
      </c>
      <c r="J1201" s="21"/>
      <c r="K1201" s="24">
        <v>120</v>
      </c>
      <c r="L1201" s="24">
        <v>720</v>
      </c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>
        <v>120</v>
      </c>
      <c r="AB1201" s="23"/>
      <c r="AC1201" s="23"/>
      <c r="AD1201" s="23"/>
      <c r="AE1201" s="23"/>
      <c r="AF1201" s="23">
        <v>92</v>
      </c>
      <c r="AG1201" s="23"/>
      <c r="AH1201" s="23"/>
      <c r="AI1201" s="23"/>
      <c r="AJ1201" s="23"/>
      <c r="AK1201" s="23">
        <v>28</v>
      </c>
      <c r="AL1201" s="23"/>
      <c r="AM1201" s="23"/>
      <c r="AN1201" s="23"/>
      <c r="AO1201" s="23"/>
      <c r="AP1201" s="23"/>
      <c r="AQ1201" s="23">
        <v>30</v>
      </c>
      <c r="AR1201" s="23">
        <v>90</v>
      </c>
      <c r="AS1201" s="23"/>
      <c r="AT1201" s="23"/>
      <c r="AU1201" s="14" t="str">
        <f>HYPERLINK("http://www.openstreetmap.org/?mlat=33.7052&amp;mlon=44.4225&amp;zoom=12#map=12/33.7052/44.4225","Maplink1")</f>
        <v>Maplink1</v>
      </c>
      <c r="AV1201" s="14" t="str">
        <f>HYPERLINK("https://www.google.iq/maps/search/+33.7052,44.4225/@33.7052,44.4225,14z?hl=en","Maplink2")</f>
        <v>Maplink2</v>
      </c>
      <c r="AW1201" s="14" t="str">
        <f>HYPERLINK("http://www.bing.com/maps/?lvl=14&amp;sty=h&amp;cp=33.7052~44.4225&amp;sp=point.33.7052_44.4225_Abu Sreweel Village","Maplink3")</f>
        <v>Maplink3</v>
      </c>
    </row>
    <row r="1202" spans="1:49" ht="15" customHeight="1" x14ac:dyDescent="0.25">
      <c r="A1202" s="21">
        <v>25416</v>
      </c>
      <c r="B1202" s="22" t="s">
        <v>11</v>
      </c>
      <c r="C1202" s="22" t="s">
        <v>2276</v>
      </c>
      <c r="D1202" s="22" t="s">
        <v>2280</v>
      </c>
      <c r="E1202" s="22" t="s">
        <v>7880</v>
      </c>
      <c r="F1202" s="22">
        <v>33.682679999999998</v>
      </c>
      <c r="G1202" s="22">
        <v>44.375450000000001</v>
      </c>
      <c r="H1202" s="21" t="s">
        <v>1449</v>
      </c>
      <c r="I1202" s="21" t="s">
        <v>2279</v>
      </c>
      <c r="J1202" s="21"/>
      <c r="K1202" s="24">
        <v>100</v>
      </c>
      <c r="L1202" s="24">
        <v>600</v>
      </c>
      <c r="M1202" s="23">
        <v>45</v>
      </c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>
        <v>55</v>
      </c>
      <c r="AB1202" s="23"/>
      <c r="AC1202" s="23"/>
      <c r="AD1202" s="23"/>
      <c r="AE1202" s="23"/>
      <c r="AF1202" s="23">
        <v>65</v>
      </c>
      <c r="AG1202" s="23"/>
      <c r="AH1202" s="23"/>
      <c r="AI1202" s="23"/>
      <c r="AJ1202" s="23"/>
      <c r="AK1202" s="23">
        <v>35</v>
      </c>
      <c r="AL1202" s="23"/>
      <c r="AM1202" s="23"/>
      <c r="AN1202" s="23"/>
      <c r="AO1202" s="23"/>
      <c r="AP1202" s="23"/>
      <c r="AQ1202" s="23">
        <v>80</v>
      </c>
      <c r="AR1202" s="23">
        <v>20</v>
      </c>
      <c r="AS1202" s="23"/>
      <c r="AT1202" s="23"/>
      <c r="AU1202" s="14" t="str">
        <f>HYPERLINK("http://www.openstreetmap.org/?mlat=33.6826&amp;mlon=44.3745&amp;zoom=12#map=12/33.6826/44.3745","Maplink1")</f>
        <v>Maplink1</v>
      </c>
      <c r="AV1202" s="14" t="str">
        <f>HYPERLINK("https://www.google.iq/maps/search/+33.6826,44.3745/@33.6826,44.3745,14z?hl=en","Maplink2")</f>
        <v>Maplink2</v>
      </c>
      <c r="AW1202" s="14" t="str">
        <f>HYPERLINK("http://www.bing.com/maps/?lvl=14&amp;sty=h&amp;cp=33.6826~44.3745&amp;sp=point.33.6826_44.3745_Al Farook Quarter-1","Maplink3")</f>
        <v>Maplink3</v>
      </c>
    </row>
    <row r="1203" spans="1:49" ht="15" customHeight="1" x14ac:dyDescent="0.25">
      <c r="A1203" s="21">
        <v>25417</v>
      </c>
      <c r="B1203" s="22" t="s">
        <v>11</v>
      </c>
      <c r="C1203" s="22" t="s">
        <v>2276</v>
      </c>
      <c r="D1203" s="22" t="s">
        <v>2281</v>
      </c>
      <c r="E1203" s="22" t="s">
        <v>7881</v>
      </c>
      <c r="F1203" s="22">
        <v>33.661839999999998</v>
      </c>
      <c r="G1203" s="22">
        <v>44.390419999999999</v>
      </c>
      <c r="H1203" s="21" t="s">
        <v>1449</v>
      </c>
      <c r="I1203" s="21" t="s">
        <v>2279</v>
      </c>
      <c r="J1203" s="21"/>
      <c r="K1203" s="24">
        <v>135</v>
      </c>
      <c r="L1203" s="24">
        <v>810</v>
      </c>
      <c r="M1203" s="23">
        <v>88</v>
      </c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>
        <v>47</v>
      </c>
      <c r="AB1203" s="23"/>
      <c r="AC1203" s="23"/>
      <c r="AD1203" s="23"/>
      <c r="AE1203" s="23"/>
      <c r="AF1203" s="23">
        <v>45</v>
      </c>
      <c r="AG1203" s="23"/>
      <c r="AH1203" s="23"/>
      <c r="AI1203" s="23"/>
      <c r="AJ1203" s="23"/>
      <c r="AK1203" s="23">
        <v>90</v>
      </c>
      <c r="AL1203" s="23"/>
      <c r="AM1203" s="23"/>
      <c r="AN1203" s="23"/>
      <c r="AO1203" s="23">
        <v>63</v>
      </c>
      <c r="AP1203" s="23"/>
      <c r="AQ1203" s="23">
        <v>25</v>
      </c>
      <c r="AR1203" s="23">
        <v>47</v>
      </c>
      <c r="AS1203" s="23"/>
      <c r="AT1203" s="23"/>
      <c r="AU1203" s="14" t="str">
        <f>HYPERLINK("http://www.openstreetmap.org/?mlat=33.6826&amp;mlon=44.3652&amp;zoom=12#map=12/33.6826/44.3652","Maplink1")</f>
        <v>Maplink1</v>
      </c>
      <c r="AV1203" s="14" t="str">
        <f>HYPERLINK("https://www.google.iq/maps/search/+33.6826,44.3652/@33.6826,44.3652,14z?hl=en","Maplink2")</f>
        <v>Maplink2</v>
      </c>
      <c r="AW1203" s="14" t="str">
        <f>HYPERLINK("http://www.bing.com/maps/?lvl=14&amp;sty=h&amp;cp=33.6826~44.3652&amp;sp=point.33.6826_44.3652_Al Farook Quarter-2","Maplink3")</f>
        <v>Maplink3</v>
      </c>
    </row>
    <row r="1204" spans="1:49" ht="15" customHeight="1" x14ac:dyDescent="0.25">
      <c r="A1204" s="21">
        <v>21685</v>
      </c>
      <c r="B1204" s="22" t="s">
        <v>11</v>
      </c>
      <c r="C1204" s="22" t="s">
        <v>2276</v>
      </c>
      <c r="D1204" s="22" t="s">
        <v>2282</v>
      </c>
      <c r="E1204" s="22" t="s">
        <v>2283</v>
      </c>
      <c r="F1204" s="22">
        <v>33.669110000000003</v>
      </c>
      <c r="G1204" s="22">
        <v>44.359670000000001</v>
      </c>
      <c r="H1204" s="21" t="s">
        <v>1449</v>
      </c>
      <c r="I1204" s="21" t="s">
        <v>2279</v>
      </c>
      <c r="J1204" s="21" t="s">
        <v>2284</v>
      </c>
      <c r="K1204" s="24">
        <v>120</v>
      </c>
      <c r="L1204" s="24">
        <v>720</v>
      </c>
      <c r="M1204" s="23">
        <v>120</v>
      </c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>
        <v>120</v>
      </c>
      <c r="AG1204" s="23"/>
      <c r="AH1204" s="23"/>
      <c r="AI1204" s="23"/>
      <c r="AJ1204" s="23"/>
      <c r="AK1204" s="23"/>
      <c r="AL1204" s="23"/>
      <c r="AM1204" s="23"/>
      <c r="AN1204" s="23"/>
      <c r="AO1204" s="23">
        <v>55</v>
      </c>
      <c r="AP1204" s="23">
        <v>30</v>
      </c>
      <c r="AQ1204" s="23">
        <v>35</v>
      </c>
      <c r="AR1204" s="23"/>
      <c r="AS1204" s="23"/>
      <c r="AT1204" s="23"/>
      <c r="AU1204" s="14" t="str">
        <f>HYPERLINK("http://www.openstreetmap.org/?mlat=33.6728&amp;mlon=44.3645&amp;zoom=12#map=12/33.6728/44.3645","Maplink1")</f>
        <v>Maplink1</v>
      </c>
      <c r="AV1204" s="14" t="str">
        <f>HYPERLINK("https://www.google.iq/maps/search/+33.6728,44.3645/@33.6728,44.3645,14z?hl=en","Maplink2")</f>
        <v>Maplink2</v>
      </c>
      <c r="AW1204" s="14" t="str">
        <f>HYPERLINK("http://www.bing.com/maps/?lvl=14&amp;sty=h&amp;cp=33.6728~44.3645&amp;sp=point.33.6728_44.3645_Al Khadraa village","Maplink3")</f>
        <v>Maplink3</v>
      </c>
    </row>
    <row r="1205" spans="1:49" ht="15" customHeight="1" x14ac:dyDescent="0.25">
      <c r="A1205" s="21">
        <v>23738</v>
      </c>
      <c r="B1205" s="22" t="s">
        <v>11</v>
      </c>
      <c r="C1205" s="22" t="s">
        <v>2276</v>
      </c>
      <c r="D1205" s="22" t="s">
        <v>2285</v>
      </c>
      <c r="E1205" s="22" t="s">
        <v>2286</v>
      </c>
      <c r="F1205" s="22">
        <v>33.729529999999997</v>
      </c>
      <c r="G1205" s="22">
        <v>44.258679999999998</v>
      </c>
      <c r="H1205" s="21" t="s">
        <v>1449</v>
      </c>
      <c r="I1205" s="21" t="s">
        <v>2279</v>
      </c>
      <c r="J1205" s="21" t="s">
        <v>2287</v>
      </c>
      <c r="K1205" s="24">
        <v>101</v>
      </c>
      <c r="L1205" s="24">
        <v>606</v>
      </c>
      <c r="M1205" s="23">
        <v>101</v>
      </c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>
        <v>90</v>
      </c>
      <c r="AG1205" s="23"/>
      <c r="AH1205" s="23">
        <v>11</v>
      </c>
      <c r="AI1205" s="23"/>
      <c r="AJ1205" s="23"/>
      <c r="AK1205" s="23"/>
      <c r="AL1205" s="23"/>
      <c r="AM1205" s="23"/>
      <c r="AN1205" s="23"/>
      <c r="AO1205" s="23">
        <v>101</v>
      </c>
      <c r="AP1205" s="23"/>
      <c r="AQ1205" s="23"/>
      <c r="AR1205" s="23"/>
      <c r="AS1205" s="23"/>
      <c r="AT1205" s="23"/>
      <c r="AU1205" s="14" t="str">
        <f>HYPERLINK("http://www.openstreetmap.org/?mlat=33.7304&amp;mlon=44.2577&amp;zoom=12#map=12/33.7304/44.2577","Maplink1")</f>
        <v>Maplink1</v>
      </c>
      <c r="AV1205" s="14" t="str">
        <f>HYPERLINK("https://www.google.iq/maps/search/+33.7304,44.2577/@33.7304,44.2577,14z?hl=en","Maplink2")</f>
        <v>Maplink2</v>
      </c>
      <c r="AW1205" s="14" t="str">
        <f>HYPERLINK("http://www.bing.com/maps/?lvl=14&amp;sty=h&amp;cp=33.7304~44.2577&amp;sp=point.33.7304_44.2577_Al Rawad","Maplink3")</f>
        <v>Maplink3</v>
      </c>
    </row>
    <row r="1206" spans="1:49" ht="15" customHeight="1" x14ac:dyDescent="0.25">
      <c r="A1206" s="21">
        <v>24061</v>
      </c>
      <c r="B1206" s="22" t="s">
        <v>11</v>
      </c>
      <c r="C1206" s="22" t="s">
        <v>2276</v>
      </c>
      <c r="D1206" s="22" t="s">
        <v>2288</v>
      </c>
      <c r="E1206" s="22" t="s">
        <v>2289</v>
      </c>
      <c r="F1206" s="22">
        <v>33.661960000000001</v>
      </c>
      <c r="G1206" s="22">
        <v>44.391440000000003</v>
      </c>
      <c r="H1206" s="21" t="s">
        <v>1449</v>
      </c>
      <c r="I1206" s="21" t="s">
        <v>2279</v>
      </c>
      <c r="J1206" s="21" t="s">
        <v>2290</v>
      </c>
      <c r="K1206" s="24">
        <v>100</v>
      </c>
      <c r="L1206" s="24">
        <v>600</v>
      </c>
      <c r="M1206" s="23">
        <v>100</v>
      </c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>
        <v>80</v>
      </c>
      <c r="AG1206" s="23"/>
      <c r="AH1206" s="23"/>
      <c r="AI1206" s="23"/>
      <c r="AJ1206" s="23"/>
      <c r="AK1206" s="23">
        <v>20</v>
      </c>
      <c r="AL1206" s="23"/>
      <c r="AM1206" s="23"/>
      <c r="AN1206" s="23"/>
      <c r="AO1206" s="23">
        <v>100</v>
      </c>
      <c r="AP1206" s="23"/>
      <c r="AQ1206" s="23"/>
      <c r="AR1206" s="23"/>
      <c r="AS1206" s="23"/>
      <c r="AT1206" s="23"/>
      <c r="AU1206" s="14" t="str">
        <f>HYPERLINK("http://www.openstreetmap.org/?mlat=33.662&amp;mlon=44.3904&amp;zoom=12#map=12/33.662/44.3904","Maplink1")</f>
        <v>Maplink1</v>
      </c>
      <c r="AV1206" s="14" t="str">
        <f>HYPERLINK("https://www.google.iq/maps/search/+33.662,44.3904/@33.662,44.3904,14z?hl=en","Maplink2")</f>
        <v>Maplink2</v>
      </c>
      <c r="AW1206" s="14" t="str">
        <f>HYPERLINK("http://www.bing.com/maps/?lvl=14&amp;sty=h&amp;cp=33.662~44.3904&amp;sp=point.33.662_44.3904_Al Tarmiya Center","Maplink3")</f>
        <v>Maplink3</v>
      </c>
    </row>
    <row r="1207" spans="1:49" ht="15" customHeight="1" x14ac:dyDescent="0.25">
      <c r="A1207" s="21">
        <v>24063</v>
      </c>
      <c r="B1207" s="22" t="s">
        <v>11</v>
      </c>
      <c r="C1207" s="22" t="s">
        <v>2276</v>
      </c>
      <c r="D1207" s="22" t="s">
        <v>2291</v>
      </c>
      <c r="E1207" s="22" t="s">
        <v>7882</v>
      </c>
      <c r="F1207" s="22">
        <v>33.668520000000001</v>
      </c>
      <c r="G1207" s="22">
        <v>44.375239999999998</v>
      </c>
      <c r="H1207" s="21" t="s">
        <v>1449</v>
      </c>
      <c r="I1207" s="21" t="s">
        <v>2279</v>
      </c>
      <c r="J1207" s="21" t="s">
        <v>2292</v>
      </c>
      <c r="K1207" s="24">
        <v>42</v>
      </c>
      <c r="L1207" s="24">
        <v>252</v>
      </c>
      <c r="M1207" s="23">
        <v>42</v>
      </c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>
        <v>20</v>
      </c>
      <c r="AG1207" s="23"/>
      <c r="AH1207" s="23"/>
      <c r="AI1207" s="23"/>
      <c r="AJ1207" s="23"/>
      <c r="AK1207" s="23">
        <v>15</v>
      </c>
      <c r="AL1207" s="23"/>
      <c r="AM1207" s="23"/>
      <c r="AN1207" s="23">
        <v>7</v>
      </c>
      <c r="AO1207" s="23">
        <v>42</v>
      </c>
      <c r="AP1207" s="23"/>
      <c r="AQ1207" s="23"/>
      <c r="AR1207" s="23"/>
      <c r="AS1207" s="23"/>
      <c r="AT1207" s="23"/>
      <c r="AU1207" s="14" t="str">
        <f>HYPERLINK("http://www.openstreetmap.org/?mlat=33.662&amp;mlon=44.3904&amp;zoom=12#map=12/33.662/44.3904","Maplink1")</f>
        <v>Maplink1</v>
      </c>
      <c r="AV1207" s="14" t="str">
        <f>HYPERLINK("https://www.google.iq/maps/search/+33.662,44.3904/@33.662,44.3904,14z?hl=en","Maplink2")</f>
        <v>Maplink2</v>
      </c>
      <c r="AW1207" s="14" t="str">
        <f>HYPERLINK("http://www.bing.com/maps/?lvl=14&amp;sty=h&amp;cp=33.662~44.3904&amp;sp=point.33.662_44.3904_Al-Abayechi-1","Maplink3")</f>
        <v>Maplink3</v>
      </c>
    </row>
    <row r="1208" spans="1:49" ht="15" customHeight="1" x14ac:dyDescent="0.25">
      <c r="A1208" s="21">
        <v>24071</v>
      </c>
      <c r="B1208" s="22" t="s">
        <v>11</v>
      </c>
      <c r="C1208" s="22" t="s">
        <v>2276</v>
      </c>
      <c r="D1208" s="22" t="s">
        <v>2293</v>
      </c>
      <c r="E1208" s="22" t="s">
        <v>7883</v>
      </c>
      <c r="F1208" s="22">
        <v>33.666730000000001</v>
      </c>
      <c r="G1208" s="22">
        <v>44.386429999999997</v>
      </c>
      <c r="H1208" s="21" t="s">
        <v>1449</v>
      </c>
      <c r="I1208" s="21" t="s">
        <v>2279</v>
      </c>
      <c r="J1208" s="21" t="s">
        <v>2294</v>
      </c>
      <c r="K1208" s="24">
        <v>30</v>
      </c>
      <c r="L1208" s="24">
        <v>180</v>
      </c>
      <c r="M1208" s="23">
        <v>30</v>
      </c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>
        <v>21</v>
      </c>
      <c r="AG1208" s="23"/>
      <c r="AH1208" s="23"/>
      <c r="AI1208" s="23"/>
      <c r="AJ1208" s="23"/>
      <c r="AK1208" s="23">
        <v>9</v>
      </c>
      <c r="AL1208" s="23"/>
      <c r="AM1208" s="23"/>
      <c r="AN1208" s="23"/>
      <c r="AO1208" s="23">
        <v>30</v>
      </c>
      <c r="AP1208" s="23"/>
      <c r="AQ1208" s="23"/>
      <c r="AR1208" s="23"/>
      <c r="AS1208" s="23"/>
      <c r="AT1208" s="23"/>
      <c r="AU1208" s="14" t="str">
        <f>HYPERLINK("http://www.openstreetmap.org/?mlat=33.662&amp;mlon=44.3904&amp;zoom=12#map=12/33.662/44.3904","Maplink1")</f>
        <v>Maplink1</v>
      </c>
      <c r="AV1208" s="14" t="str">
        <f>HYPERLINK("https://www.google.iq/maps/search/+33.662,44.3904/@33.662,44.3904,14z?hl=en","Maplink2")</f>
        <v>Maplink2</v>
      </c>
      <c r="AW1208" s="14" t="str">
        <f>HYPERLINK("http://www.bing.com/maps/?lvl=14&amp;sty=h&amp;cp=33.662~44.3904&amp;sp=point.33.662_44.3904_Al-Abayechi-10","Maplink3")</f>
        <v>Maplink3</v>
      </c>
    </row>
    <row r="1209" spans="1:49" ht="15" customHeight="1" x14ac:dyDescent="0.25">
      <c r="A1209" s="21">
        <v>25419</v>
      </c>
      <c r="B1209" s="22" t="s">
        <v>11</v>
      </c>
      <c r="C1209" s="22" t="s">
        <v>2276</v>
      </c>
      <c r="D1209" s="22" t="s">
        <v>2295</v>
      </c>
      <c r="E1209" s="22" t="s">
        <v>2296</v>
      </c>
      <c r="F1209" s="22">
        <v>33.677999999999997</v>
      </c>
      <c r="G1209" s="22">
        <v>44.374299999999998</v>
      </c>
      <c r="H1209" s="21" t="s">
        <v>1449</v>
      </c>
      <c r="I1209" s="21" t="s">
        <v>2279</v>
      </c>
      <c r="J1209" s="21"/>
      <c r="K1209" s="24">
        <v>170</v>
      </c>
      <c r="L1209" s="24">
        <v>1020</v>
      </c>
      <c r="M1209" s="23">
        <v>131</v>
      </c>
      <c r="N1209" s="23"/>
      <c r="O1209" s="23"/>
      <c r="P1209" s="23"/>
      <c r="Q1209" s="23"/>
      <c r="R1209" s="23">
        <v>22</v>
      </c>
      <c r="S1209" s="23"/>
      <c r="T1209" s="23"/>
      <c r="U1209" s="23"/>
      <c r="V1209" s="23"/>
      <c r="W1209" s="23"/>
      <c r="X1209" s="23"/>
      <c r="Y1209" s="23"/>
      <c r="Z1209" s="23"/>
      <c r="AA1209" s="23">
        <v>17</v>
      </c>
      <c r="AB1209" s="23"/>
      <c r="AC1209" s="23"/>
      <c r="AD1209" s="23"/>
      <c r="AE1209" s="23"/>
      <c r="AF1209" s="23">
        <v>60</v>
      </c>
      <c r="AG1209" s="23"/>
      <c r="AH1209" s="23"/>
      <c r="AI1209" s="23"/>
      <c r="AJ1209" s="23"/>
      <c r="AK1209" s="23">
        <v>110</v>
      </c>
      <c r="AL1209" s="23"/>
      <c r="AM1209" s="23"/>
      <c r="AN1209" s="23"/>
      <c r="AO1209" s="23">
        <v>88</v>
      </c>
      <c r="AP1209" s="23"/>
      <c r="AQ1209" s="23">
        <v>82</v>
      </c>
      <c r="AR1209" s="23"/>
      <c r="AS1209" s="23"/>
      <c r="AT1209" s="23"/>
      <c r="AU1209" s="14" t="str">
        <f>HYPERLINK("http://www.openstreetmap.org/?mlat=33.6563&amp;mlon=44.3608&amp;zoom=12#map=12/33.6563/44.3608","Maplink1")</f>
        <v>Maplink1</v>
      </c>
      <c r="AV1209" s="14" t="str">
        <f>HYPERLINK("https://www.google.iq/maps/search/+33.6563,44.3608/@33.6563,44.3608,14z?hl=en","Maplink2")</f>
        <v>Maplink2</v>
      </c>
      <c r="AW1209" s="14" t="str">
        <f>HYPERLINK("http://www.bing.com/maps/?lvl=14&amp;sty=h&amp;cp=33.6563~44.3608&amp;sp=point.33.6563_44.3608_Hai Al Hukem Al Mahali","Maplink3")</f>
        <v>Maplink3</v>
      </c>
    </row>
    <row r="1210" spans="1:49" ht="15" customHeight="1" x14ac:dyDescent="0.25">
      <c r="A1210" s="21">
        <v>25423</v>
      </c>
      <c r="B1210" s="22" t="s">
        <v>11</v>
      </c>
      <c r="C1210" s="22" t="s">
        <v>2276</v>
      </c>
      <c r="D1210" s="22" t="s">
        <v>2297</v>
      </c>
      <c r="E1210" s="22" t="s">
        <v>7884</v>
      </c>
      <c r="F1210" s="22">
        <v>33.654829999999997</v>
      </c>
      <c r="G1210" s="22">
        <v>44.301020000000001</v>
      </c>
      <c r="H1210" s="21" t="s">
        <v>1449</v>
      </c>
      <c r="I1210" s="21" t="s">
        <v>2279</v>
      </c>
      <c r="J1210" s="21"/>
      <c r="K1210" s="24">
        <v>195</v>
      </c>
      <c r="L1210" s="24">
        <v>1170</v>
      </c>
      <c r="M1210" s="23">
        <v>141</v>
      </c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>
        <v>54</v>
      </c>
      <c r="AB1210" s="23"/>
      <c r="AC1210" s="23"/>
      <c r="AD1210" s="23"/>
      <c r="AE1210" s="23"/>
      <c r="AF1210" s="23">
        <v>75</v>
      </c>
      <c r="AG1210" s="23"/>
      <c r="AH1210" s="23"/>
      <c r="AI1210" s="23"/>
      <c r="AJ1210" s="23"/>
      <c r="AK1210" s="23">
        <v>120</v>
      </c>
      <c r="AL1210" s="23"/>
      <c r="AM1210" s="23"/>
      <c r="AN1210" s="23"/>
      <c r="AO1210" s="23"/>
      <c r="AP1210" s="23"/>
      <c r="AQ1210" s="23">
        <v>116</v>
      </c>
      <c r="AR1210" s="23">
        <v>79</v>
      </c>
      <c r="AS1210" s="23"/>
      <c r="AT1210" s="23"/>
      <c r="AU1210" s="14" t="str">
        <f>HYPERLINK("http://www.openstreetmap.org/?mlat=33.6561&amp;mlon=44.3&amp;zoom=12#map=12/33.6561/44.3","Maplink1")</f>
        <v>Maplink1</v>
      </c>
      <c r="AV1210" s="14" t="str">
        <f>HYPERLINK("https://www.google.iq/maps/search/+33.6561,44.3/@33.6561,44.3,14z?hl=en","Maplink2")</f>
        <v>Maplink2</v>
      </c>
      <c r="AW1210" s="14" t="str">
        <f>HYPERLINK("http://www.bing.com/maps/?lvl=14&amp;sty=h&amp;cp=33.6561~44.3&amp;sp=point.33.6561_44.3_Hai Al Qadessia-1","Maplink3")</f>
        <v>Maplink3</v>
      </c>
    </row>
    <row r="1211" spans="1:49" ht="15" customHeight="1" x14ac:dyDescent="0.25">
      <c r="A1211" s="21">
        <v>25424</v>
      </c>
      <c r="B1211" s="22" t="s">
        <v>11</v>
      </c>
      <c r="C1211" s="22" t="s">
        <v>2276</v>
      </c>
      <c r="D1211" s="22" t="s">
        <v>2298</v>
      </c>
      <c r="E1211" s="22" t="s">
        <v>7885</v>
      </c>
      <c r="F1211" s="22">
        <v>33.642569999999999</v>
      </c>
      <c r="G1211" s="22">
        <v>44.287889999999997</v>
      </c>
      <c r="H1211" s="21" t="s">
        <v>1449</v>
      </c>
      <c r="I1211" s="21" t="s">
        <v>2279</v>
      </c>
      <c r="J1211" s="21"/>
      <c r="K1211" s="24">
        <v>185</v>
      </c>
      <c r="L1211" s="24">
        <v>1110</v>
      </c>
      <c r="M1211" s="23">
        <v>90</v>
      </c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>
        <v>95</v>
      </c>
      <c r="AB1211" s="23"/>
      <c r="AC1211" s="23"/>
      <c r="AD1211" s="23"/>
      <c r="AE1211" s="23"/>
      <c r="AF1211" s="23">
        <v>55</v>
      </c>
      <c r="AG1211" s="23"/>
      <c r="AH1211" s="23"/>
      <c r="AI1211" s="23"/>
      <c r="AJ1211" s="23"/>
      <c r="AK1211" s="23">
        <v>130</v>
      </c>
      <c r="AL1211" s="23"/>
      <c r="AM1211" s="23"/>
      <c r="AN1211" s="23"/>
      <c r="AO1211" s="23">
        <v>68</v>
      </c>
      <c r="AP1211" s="23"/>
      <c r="AQ1211" s="23">
        <v>95</v>
      </c>
      <c r="AR1211" s="23">
        <v>22</v>
      </c>
      <c r="AS1211" s="23"/>
      <c r="AT1211" s="23"/>
      <c r="AU1211" s="14" t="str">
        <f>HYPERLINK("http://www.openstreetmap.org/?mlat=33.6424&amp;mlon=44.288&amp;zoom=12#map=12/33.6424/44.288","Maplink1")</f>
        <v>Maplink1</v>
      </c>
      <c r="AV1211" s="14" t="str">
        <f>HYPERLINK("https://www.google.iq/maps/search/+33.6424,44.288/@33.6424,44.288,14z?hl=en","Maplink2")</f>
        <v>Maplink2</v>
      </c>
      <c r="AW1211" s="14" t="str">
        <f>HYPERLINK("http://www.bing.com/maps/?lvl=14&amp;sty=h&amp;cp=33.6424~44.288&amp;sp=point.33.6424_44.288_Hai Al Qadessia-2","Maplink3")</f>
        <v>Maplink3</v>
      </c>
    </row>
    <row r="1212" spans="1:49" ht="15" customHeight="1" x14ac:dyDescent="0.25">
      <c r="A1212" s="21">
        <v>25418</v>
      </c>
      <c r="B1212" s="22" t="s">
        <v>11</v>
      </c>
      <c r="C1212" s="22" t="s">
        <v>2276</v>
      </c>
      <c r="D1212" s="22" t="s">
        <v>2299</v>
      </c>
      <c r="E1212" s="22" t="s">
        <v>2300</v>
      </c>
      <c r="F1212" s="22">
        <v>33.659059999999997</v>
      </c>
      <c r="G1212" s="22">
        <v>44.36477</v>
      </c>
      <c r="H1212" s="21" t="s">
        <v>1449</v>
      </c>
      <c r="I1212" s="21" t="s">
        <v>2279</v>
      </c>
      <c r="J1212" s="21"/>
      <c r="K1212" s="24">
        <v>149</v>
      </c>
      <c r="L1212" s="24">
        <v>894</v>
      </c>
      <c r="M1212" s="23">
        <v>102</v>
      </c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>
        <v>47</v>
      </c>
      <c r="AB1212" s="23"/>
      <c r="AC1212" s="23"/>
      <c r="AD1212" s="23"/>
      <c r="AE1212" s="23"/>
      <c r="AF1212" s="23">
        <v>64</v>
      </c>
      <c r="AG1212" s="23"/>
      <c r="AH1212" s="23"/>
      <c r="AI1212" s="23"/>
      <c r="AJ1212" s="23"/>
      <c r="AK1212" s="23">
        <v>85</v>
      </c>
      <c r="AL1212" s="23"/>
      <c r="AM1212" s="23"/>
      <c r="AN1212" s="23"/>
      <c r="AO1212" s="23">
        <v>55</v>
      </c>
      <c r="AP1212" s="23"/>
      <c r="AQ1212" s="23"/>
      <c r="AR1212" s="23">
        <v>94</v>
      </c>
      <c r="AS1212" s="23"/>
      <c r="AT1212" s="23"/>
      <c r="AU1212" s="14" t="str">
        <f>HYPERLINK("http://www.openstreetmap.org/?mlat=33.695&amp;mlon=44.3681&amp;zoom=12#map=12/33.695/44.3681","Maplink1")</f>
        <v>Maplink1</v>
      </c>
      <c r="AV1212" s="14" t="str">
        <f>HYPERLINK("https://www.google.iq/maps/search/+33.695,44.3681/@33.695,44.3681,14z?hl=en","Maplink2")</f>
        <v>Maplink2</v>
      </c>
      <c r="AW1212" s="14" t="str">
        <f>HYPERLINK("http://www.bing.com/maps/?lvl=14&amp;sty=h&amp;cp=33.695~44.3681&amp;sp=point.33.695_44.3681_Hai Al Resala","Maplink3")</f>
        <v>Maplink3</v>
      </c>
    </row>
    <row r="1213" spans="1:49" ht="15" customHeight="1" x14ac:dyDescent="0.25">
      <c r="A1213" s="21">
        <v>25420</v>
      </c>
      <c r="B1213" s="22" t="s">
        <v>11</v>
      </c>
      <c r="C1213" s="22" t="s">
        <v>2276</v>
      </c>
      <c r="D1213" s="22" t="s">
        <v>2301</v>
      </c>
      <c r="E1213" s="22" t="s">
        <v>436</v>
      </c>
      <c r="F1213" s="22">
        <v>33.68233</v>
      </c>
      <c r="G1213" s="22">
        <v>44.331969999999998</v>
      </c>
      <c r="H1213" s="21" t="s">
        <v>1449</v>
      </c>
      <c r="I1213" s="21" t="s">
        <v>2279</v>
      </c>
      <c r="J1213" s="21"/>
      <c r="K1213" s="24">
        <v>171</v>
      </c>
      <c r="L1213" s="24">
        <v>1026</v>
      </c>
      <c r="M1213" s="23">
        <v>118</v>
      </c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>
        <v>53</v>
      </c>
      <c r="AB1213" s="23"/>
      <c r="AC1213" s="23"/>
      <c r="AD1213" s="23"/>
      <c r="AE1213" s="23"/>
      <c r="AF1213" s="23">
        <v>35</v>
      </c>
      <c r="AG1213" s="23"/>
      <c r="AH1213" s="23"/>
      <c r="AI1213" s="23"/>
      <c r="AJ1213" s="23"/>
      <c r="AK1213" s="23">
        <v>136</v>
      </c>
      <c r="AL1213" s="23"/>
      <c r="AM1213" s="23"/>
      <c r="AN1213" s="23"/>
      <c r="AO1213" s="23"/>
      <c r="AP1213" s="23"/>
      <c r="AQ1213" s="23">
        <v>53</v>
      </c>
      <c r="AR1213" s="23">
        <v>118</v>
      </c>
      <c r="AS1213" s="23"/>
      <c r="AT1213" s="23"/>
      <c r="AU1213" s="14" t="str">
        <f>HYPERLINK("http://www.openstreetmap.org/?mlat=33.6872&amp;mlon=44.3301&amp;zoom=12#map=12/33.6872/44.3301","Maplink1")</f>
        <v>Maplink1</v>
      </c>
      <c r="AV1213" s="14" t="str">
        <f>HYPERLINK("https://www.google.iq/maps/search/+33.6872,44.3301/@33.6872,44.3301,14z?hl=en","Maplink2")</f>
        <v>Maplink2</v>
      </c>
      <c r="AW1213" s="14" t="str">
        <f>HYPERLINK("http://www.bing.com/maps/?lvl=14&amp;sty=h&amp;cp=33.6872~44.3301&amp;sp=point.33.6872_44.3301_Hai Al Sedeq","Maplink3")</f>
        <v>Maplink3</v>
      </c>
    </row>
    <row r="1214" spans="1:49" ht="15" customHeight="1" x14ac:dyDescent="0.25">
      <c r="A1214" s="21">
        <v>25422</v>
      </c>
      <c r="B1214" s="22" t="s">
        <v>11</v>
      </c>
      <c r="C1214" s="22" t="s">
        <v>2276</v>
      </c>
      <c r="D1214" s="22" t="s">
        <v>2302</v>
      </c>
      <c r="E1214" s="22" t="s">
        <v>2303</v>
      </c>
      <c r="F1214" s="22">
        <v>33.64</v>
      </c>
      <c r="G1214" s="22">
        <v>44.377470000000002</v>
      </c>
      <c r="H1214" s="21" t="s">
        <v>1449</v>
      </c>
      <c r="I1214" s="21" t="s">
        <v>2279</v>
      </c>
      <c r="J1214" s="21"/>
      <c r="K1214" s="24">
        <v>155</v>
      </c>
      <c r="L1214" s="24">
        <v>930</v>
      </c>
      <c r="M1214" s="23">
        <v>103</v>
      </c>
      <c r="N1214" s="23"/>
      <c r="O1214" s="23"/>
      <c r="P1214" s="23"/>
      <c r="Q1214" s="23"/>
      <c r="R1214" s="23">
        <v>20</v>
      </c>
      <c r="S1214" s="23"/>
      <c r="T1214" s="23"/>
      <c r="U1214" s="23"/>
      <c r="V1214" s="23"/>
      <c r="W1214" s="23"/>
      <c r="X1214" s="23"/>
      <c r="Y1214" s="23"/>
      <c r="Z1214" s="23"/>
      <c r="AA1214" s="23">
        <v>32</v>
      </c>
      <c r="AB1214" s="23"/>
      <c r="AC1214" s="23"/>
      <c r="AD1214" s="23"/>
      <c r="AE1214" s="23"/>
      <c r="AF1214" s="23">
        <v>60</v>
      </c>
      <c r="AG1214" s="23"/>
      <c r="AH1214" s="23"/>
      <c r="AI1214" s="23"/>
      <c r="AJ1214" s="23"/>
      <c r="AK1214" s="23">
        <v>95</v>
      </c>
      <c r="AL1214" s="23"/>
      <c r="AM1214" s="23"/>
      <c r="AN1214" s="23"/>
      <c r="AO1214" s="23">
        <v>63</v>
      </c>
      <c r="AP1214" s="23">
        <v>72</v>
      </c>
      <c r="AQ1214" s="23"/>
      <c r="AR1214" s="23">
        <v>20</v>
      </c>
      <c r="AS1214" s="23"/>
      <c r="AT1214" s="23"/>
      <c r="AU1214" s="14" t="str">
        <f>HYPERLINK("http://www.openstreetmap.org/?mlat=33.6393&amp;mlon=44.3757&amp;zoom=12#map=12/33.6393/44.3757","Maplink1")</f>
        <v>Maplink1</v>
      </c>
      <c r="AV1214" s="14" t="str">
        <f>HYPERLINK("https://www.google.iq/maps/search/+33.6393,44.3757/@33.6393,44.3757,14z?hl=en","Maplink2")</f>
        <v>Maplink2</v>
      </c>
      <c r="AW1214" s="14" t="str">
        <f>HYPERLINK("http://www.bing.com/maps/?lvl=14&amp;sty=h&amp;cp=33.6393~44.3757&amp;sp=point.33.6393_44.3757_Hai Al Turba","Maplink3")</f>
        <v>Maplink3</v>
      </c>
    </row>
    <row r="1215" spans="1:49" ht="15" customHeight="1" x14ac:dyDescent="0.25">
      <c r="A1215" s="21">
        <v>25421</v>
      </c>
      <c r="B1215" s="22" t="s">
        <v>11</v>
      </c>
      <c r="C1215" s="22" t="s">
        <v>2276</v>
      </c>
      <c r="D1215" s="22" t="s">
        <v>2304</v>
      </c>
      <c r="E1215" s="22" t="s">
        <v>313</v>
      </c>
      <c r="F1215" s="22">
        <v>33.663229999999999</v>
      </c>
      <c r="G1215" s="22">
        <v>44.37276</v>
      </c>
      <c r="H1215" s="21" t="s">
        <v>1449</v>
      </c>
      <c r="I1215" s="21" t="s">
        <v>2279</v>
      </c>
      <c r="J1215" s="21"/>
      <c r="K1215" s="24">
        <v>180</v>
      </c>
      <c r="L1215" s="24">
        <v>1080</v>
      </c>
      <c r="M1215" s="23">
        <v>105</v>
      </c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>
        <v>75</v>
      </c>
      <c r="AB1215" s="23"/>
      <c r="AC1215" s="23"/>
      <c r="AD1215" s="23"/>
      <c r="AE1215" s="23"/>
      <c r="AF1215" s="23">
        <v>45</v>
      </c>
      <c r="AG1215" s="23"/>
      <c r="AH1215" s="23"/>
      <c r="AI1215" s="23"/>
      <c r="AJ1215" s="23"/>
      <c r="AK1215" s="23">
        <v>135</v>
      </c>
      <c r="AL1215" s="23"/>
      <c r="AM1215" s="23"/>
      <c r="AN1215" s="23"/>
      <c r="AO1215" s="23"/>
      <c r="AP1215" s="23"/>
      <c r="AQ1215" s="23">
        <v>45</v>
      </c>
      <c r="AR1215" s="23">
        <v>135</v>
      </c>
      <c r="AS1215" s="23"/>
      <c r="AT1215" s="23"/>
      <c r="AU1215" s="14" t="str">
        <f>HYPERLINK("http://www.openstreetmap.org/?mlat=33.66&amp;mlon=44.335&amp;zoom=12#map=12/33.66/44.335","Maplink1")</f>
        <v>Maplink1</v>
      </c>
      <c r="AV1215" s="14" t="str">
        <f>HYPERLINK("https://www.google.iq/maps/search/+33.66,44.335/@33.66,44.335,14z?hl=en","Maplink2")</f>
        <v>Maplink2</v>
      </c>
      <c r="AW1215" s="14" t="str">
        <f>HYPERLINK("http://www.bing.com/maps/?lvl=14&amp;sty=h&amp;cp=33.66~44.335&amp;sp=point.33.66_44.335_Hai Al Wehda","Maplink3")</f>
        <v>Maplink3</v>
      </c>
    </row>
    <row r="1216" spans="1:49" ht="15" customHeight="1" x14ac:dyDescent="0.25">
      <c r="A1216" s="21">
        <v>25428</v>
      </c>
      <c r="B1216" s="22" t="s">
        <v>11</v>
      </c>
      <c r="C1216" s="22" t="s">
        <v>2276</v>
      </c>
      <c r="D1216" s="22" t="s">
        <v>2305</v>
      </c>
      <c r="E1216" s="22" t="s">
        <v>2306</v>
      </c>
      <c r="F1216" s="22">
        <v>33.716059999999999</v>
      </c>
      <c r="G1216" s="22">
        <v>44.34404</v>
      </c>
      <c r="H1216" s="21" t="s">
        <v>1449</v>
      </c>
      <c r="I1216" s="21" t="s">
        <v>2279</v>
      </c>
      <c r="J1216" s="21"/>
      <c r="K1216" s="24">
        <v>80</v>
      </c>
      <c r="L1216" s="24">
        <v>480</v>
      </c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>
        <v>80</v>
      </c>
      <c r="AB1216" s="23"/>
      <c r="AC1216" s="23"/>
      <c r="AD1216" s="23"/>
      <c r="AE1216" s="23"/>
      <c r="AF1216" s="23">
        <v>58</v>
      </c>
      <c r="AG1216" s="23"/>
      <c r="AH1216" s="23"/>
      <c r="AI1216" s="23"/>
      <c r="AJ1216" s="23"/>
      <c r="AK1216" s="23">
        <v>22</v>
      </c>
      <c r="AL1216" s="23"/>
      <c r="AM1216" s="23"/>
      <c r="AN1216" s="23"/>
      <c r="AO1216" s="23"/>
      <c r="AP1216" s="23"/>
      <c r="AQ1216" s="23">
        <v>21</v>
      </c>
      <c r="AR1216" s="23">
        <v>59</v>
      </c>
      <c r="AS1216" s="23"/>
      <c r="AT1216" s="23"/>
      <c r="AU1216" s="14" t="str">
        <f>HYPERLINK("http://www.openstreetmap.org/?mlat=33.7259&amp;mlon=44.345&amp;zoom=12#map=12/33.7259/44.345","Maplink1")</f>
        <v>Maplink1</v>
      </c>
      <c r="AV1216" s="14" t="str">
        <f>HYPERLINK("https://www.google.iq/maps/search/+33.7259,44.345/@33.7259,44.345,14z?hl=en","Maplink2")</f>
        <v>Maplink2</v>
      </c>
      <c r="AW1216" s="14" t="str">
        <f>HYPERLINK("http://www.bing.com/maps/?lvl=14&amp;sty=h&amp;cp=33.7259~44.345&amp;sp=point.33.7259_44.345_Hamadi Al Khalil Village","Maplink3")</f>
        <v>Maplink3</v>
      </c>
    </row>
    <row r="1217" spans="1:49" ht="15" customHeight="1" x14ac:dyDescent="0.25">
      <c r="A1217" s="21">
        <v>25425</v>
      </c>
      <c r="B1217" s="22" t="s">
        <v>11</v>
      </c>
      <c r="C1217" s="22" t="s">
        <v>2276</v>
      </c>
      <c r="D1217" s="22" t="s">
        <v>7535</v>
      </c>
      <c r="E1217" s="22" t="s">
        <v>7886</v>
      </c>
      <c r="F1217" s="22">
        <v>33.672519999999999</v>
      </c>
      <c r="G1217" s="22">
        <v>44.261789999999998</v>
      </c>
      <c r="H1217" s="21" t="s">
        <v>1449</v>
      </c>
      <c r="I1217" s="21" t="s">
        <v>2279</v>
      </c>
      <c r="J1217" s="21"/>
      <c r="K1217" s="24">
        <v>95</v>
      </c>
      <c r="L1217" s="24">
        <v>570</v>
      </c>
      <c r="M1217" s="23">
        <v>43</v>
      </c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>
        <v>52</v>
      </c>
      <c r="AB1217" s="23"/>
      <c r="AC1217" s="23"/>
      <c r="AD1217" s="23"/>
      <c r="AE1217" s="23"/>
      <c r="AF1217" s="23">
        <v>95</v>
      </c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>
        <v>43</v>
      </c>
      <c r="AQ1217" s="23">
        <v>30</v>
      </c>
      <c r="AR1217" s="23">
        <v>22</v>
      </c>
      <c r="AS1217" s="23"/>
      <c r="AT1217" s="23"/>
      <c r="AU1217" s="14" t="str">
        <f>HYPERLINK("http://www.openstreetmap.org/?mlat=33.6736&amp;mlon=44.2616&amp;zoom=12#map=12/33.6736/44.2616","Maplink1")</f>
        <v>Maplink1</v>
      </c>
      <c r="AV1217" s="14" t="str">
        <f>HYPERLINK("https://www.google.iq/maps/search/+33.6736,44.2616/@33.6736,44.2616,14z?hl=en","Maplink2")</f>
        <v>Maplink2</v>
      </c>
      <c r="AW1217" s="14" t="str">
        <f>HYPERLINK("http://www.bing.com/maps/?lvl=14&amp;sty=h&amp;cp=33.6736~44.2616&amp;sp=point.33.6736_44.2616_Nadeem -1 Village","Maplink3")</f>
        <v>Maplink3</v>
      </c>
    </row>
    <row r="1218" spans="1:49" ht="15" customHeight="1" x14ac:dyDescent="0.25">
      <c r="A1218" s="21">
        <v>25426</v>
      </c>
      <c r="B1218" s="22" t="s">
        <v>11</v>
      </c>
      <c r="C1218" s="22" t="s">
        <v>2276</v>
      </c>
      <c r="D1218" s="22" t="s">
        <v>7536</v>
      </c>
      <c r="E1218" s="22" t="s">
        <v>7887</v>
      </c>
      <c r="F1218" s="22">
        <v>33.650930000000002</v>
      </c>
      <c r="G1218" s="22">
        <v>44.27129</v>
      </c>
      <c r="H1218" s="21" t="s">
        <v>1449</v>
      </c>
      <c r="I1218" s="21" t="s">
        <v>2279</v>
      </c>
      <c r="J1218" s="21"/>
      <c r="K1218" s="24">
        <v>85</v>
      </c>
      <c r="L1218" s="24">
        <v>510</v>
      </c>
      <c r="M1218" s="23"/>
      <c r="N1218" s="23"/>
      <c r="O1218" s="23"/>
      <c r="P1218" s="23"/>
      <c r="Q1218" s="23"/>
      <c r="R1218" s="23">
        <v>65</v>
      </c>
      <c r="S1218" s="23"/>
      <c r="T1218" s="23"/>
      <c r="U1218" s="23"/>
      <c r="V1218" s="23"/>
      <c r="W1218" s="23"/>
      <c r="X1218" s="23"/>
      <c r="Y1218" s="23"/>
      <c r="Z1218" s="23"/>
      <c r="AA1218" s="23">
        <v>20</v>
      </c>
      <c r="AB1218" s="23"/>
      <c r="AC1218" s="23"/>
      <c r="AD1218" s="23"/>
      <c r="AE1218" s="23"/>
      <c r="AF1218" s="23">
        <v>85</v>
      </c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>
        <v>35</v>
      </c>
      <c r="AR1218" s="23">
        <v>50</v>
      </c>
      <c r="AS1218" s="23"/>
      <c r="AT1218" s="23"/>
      <c r="AU1218" s="14" t="str">
        <f>HYPERLINK("http://www.openstreetmap.org/?mlat=33.6509&amp;mlon=44.2713&amp;zoom=12#map=12/33.6509/44.2713","Maplink1")</f>
        <v>Maplink1</v>
      </c>
      <c r="AV1218" s="14" t="str">
        <f>HYPERLINK("https://www.google.iq/maps/search/+33.6509,44.2713/@33.6509,44.2713,14z?hl=en","Maplink2")</f>
        <v>Maplink2</v>
      </c>
      <c r="AW1218" s="14" t="str">
        <f>HYPERLINK("http://www.bing.com/maps/?lvl=14&amp;sty=h&amp;cp=33.6509~44.2713&amp;sp=point.33.6509_44.2713_Nadeem -2 Village","Maplink3")</f>
        <v>Maplink3</v>
      </c>
    </row>
    <row r="1219" spans="1:49" ht="15" customHeight="1" x14ac:dyDescent="0.25">
      <c r="A1219" s="21">
        <v>24736</v>
      </c>
      <c r="B1219" s="22" t="s">
        <v>11</v>
      </c>
      <c r="C1219" s="22" t="s">
        <v>2307</v>
      </c>
      <c r="D1219" s="22" t="s">
        <v>8584</v>
      </c>
      <c r="E1219" s="22" t="s">
        <v>7888</v>
      </c>
      <c r="F1219" s="22">
        <v>33.374970718699998</v>
      </c>
      <c r="G1219" s="22">
        <v>44.450368024399999</v>
      </c>
      <c r="H1219" s="21" t="s">
        <v>1449</v>
      </c>
      <c r="I1219" s="21" t="s">
        <v>2308</v>
      </c>
      <c r="J1219" s="21"/>
      <c r="K1219" s="24">
        <v>11</v>
      </c>
      <c r="L1219" s="24">
        <v>66</v>
      </c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>
        <v>6</v>
      </c>
      <c r="Z1219" s="23"/>
      <c r="AA1219" s="23">
        <v>5</v>
      </c>
      <c r="AB1219" s="23"/>
      <c r="AC1219" s="23"/>
      <c r="AD1219" s="23"/>
      <c r="AE1219" s="23"/>
      <c r="AF1219" s="23">
        <v>11</v>
      </c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>
        <v>11</v>
      </c>
      <c r="AR1219" s="23"/>
      <c r="AS1219" s="23"/>
      <c r="AT1219" s="23"/>
      <c r="AU1219" s="14" t="str">
        <f>HYPERLINK("http://www.openstreetmap.org/?mlat=33.3741&amp;mlon=44.4435&amp;zoom=12#map=12/33.3741/44.4435","Maplink1")</f>
        <v>Maplink1</v>
      </c>
      <c r="AV1219" s="14" t="str">
        <f>HYPERLINK("https://www.google.iq/maps/search/+33.3741,44.4435/@33.3741,44.4435,14z?hl=en","Maplink2")</f>
        <v>Maplink2</v>
      </c>
      <c r="AW1219" s="14" t="str">
        <f>HYPERLINK("http://www.bing.com/maps/?lvl=14&amp;sty=h&amp;cp=33.3741~44.4435&amp;sp=point.33.3741_44.4435_Sadir-Mahalla 527","Maplink3")</f>
        <v>Maplink3</v>
      </c>
    </row>
    <row r="1220" spans="1:49" ht="15" customHeight="1" x14ac:dyDescent="0.25">
      <c r="A1220" s="21">
        <v>24737</v>
      </c>
      <c r="B1220" s="22" t="s">
        <v>11</v>
      </c>
      <c r="C1220" s="22" t="s">
        <v>2307</v>
      </c>
      <c r="D1220" s="22" t="s">
        <v>8585</v>
      </c>
      <c r="E1220" s="22" t="s">
        <v>7889</v>
      </c>
      <c r="F1220" s="22">
        <v>33.399242068500001</v>
      </c>
      <c r="G1220" s="22">
        <v>44.477670547300001</v>
      </c>
      <c r="H1220" s="21" t="s">
        <v>1449</v>
      </c>
      <c r="I1220" s="21" t="s">
        <v>2308</v>
      </c>
      <c r="J1220" s="21"/>
      <c r="K1220" s="24">
        <v>8</v>
      </c>
      <c r="L1220" s="24">
        <v>48</v>
      </c>
      <c r="M1220" s="23"/>
      <c r="N1220" s="23"/>
      <c r="O1220" s="23"/>
      <c r="P1220" s="23"/>
      <c r="Q1220" s="23"/>
      <c r="R1220" s="23">
        <v>3</v>
      </c>
      <c r="S1220" s="23"/>
      <c r="T1220" s="23"/>
      <c r="U1220" s="23"/>
      <c r="V1220" s="23"/>
      <c r="W1220" s="23"/>
      <c r="X1220" s="23"/>
      <c r="Y1220" s="23"/>
      <c r="Z1220" s="23"/>
      <c r="AA1220" s="23">
        <v>5</v>
      </c>
      <c r="AB1220" s="23"/>
      <c r="AC1220" s="23"/>
      <c r="AD1220" s="23"/>
      <c r="AE1220" s="23"/>
      <c r="AF1220" s="23">
        <v>8</v>
      </c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23">
        <v>8</v>
      </c>
      <c r="AS1220" s="23"/>
      <c r="AT1220" s="23"/>
      <c r="AU1220" s="14" t="str">
        <f>HYPERLINK("http://www.openstreetmap.org/?mlat=33.399&amp;mlon=44.478&amp;zoom=12#map=12/33.399/44.478","Maplink1")</f>
        <v>Maplink1</v>
      </c>
      <c r="AV1220" s="14" t="str">
        <f>HYPERLINK("https://www.google.iq/maps/search/+33.399,44.478/@33.399,44.478,14z?hl=en","Maplink2")</f>
        <v>Maplink2</v>
      </c>
      <c r="AW1220" s="14" t="str">
        <f>HYPERLINK("http://www.bing.com/maps/?lvl=14&amp;sty=h&amp;cp=33.399~44.478&amp;sp=point.33.399_44.478_Sadir-Mahalla 567","Maplink3")</f>
        <v>Maplink3</v>
      </c>
    </row>
    <row r="1221" spans="1:49" ht="15" customHeight="1" x14ac:dyDescent="0.25">
      <c r="A1221" s="21">
        <v>24622</v>
      </c>
      <c r="B1221" s="22" t="s">
        <v>11</v>
      </c>
      <c r="C1221" s="22" t="s">
        <v>2309</v>
      </c>
      <c r="D1221" s="22" t="s">
        <v>8586</v>
      </c>
      <c r="E1221" s="22" t="s">
        <v>7890</v>
      </c>
      <c r="F1221" s="22">
        <v>33.376643573499997</v>
      </c>
      <c r="G1221" s="22">
        <v>44.416156709799999</v>
      </c>
      <c r="H1221" s="21" t="s">
        <v>1449</v>
      </c>
      <c r="I1221" s="21" t="s">
        <v>2310</v>
      </c>
      <c r="J1221" s="21"/>
      <c r="K1221" s="24">
        <v>30</v>
      </c>
      <c r="L1221" s="24">
        <v>180</v>
      </c>
      <c r="M1221" s="23"/>
      <c r="N1221" s="23"/>
      <c r="O1221" s="23"/>
      <c r="P1221" s="23"/>
      <c r="Q1221" s="23"/>
      <c r="R1221" s="23"/>
      <c r="S1221" s="23"/>
      <c r="T1221" s="23"/>
      <c r="U1221" s="23">
        <v>7</v>
      </c>
      <c r="V1221" s="23"/>
      <c r="W1221" s="23"/>
      <c r="X1221" s="23"/>
      <c r="Y1221" s="23">
        <v>23</v>
      </c>
      <c r="Z1221" s="23"/>
      <c r="AA1221" s="23"/>
      <c r="AB1221" s="23"/>
      <c r="AC1221" s="23"/>
      <c r="AD1221" s="23"/>
      <c r="AE1221" s="23"/>
      <c r="AF1221" s="23">
        <v>7</v>
      </c>
      <c r="AG1221" s="23"/>
      <c r="AH1221" s="23"/>
      <c r="AI1221" s="23"/>
      <c r="AJ1221" s="23"/>
      <c r="AK1221" s="23"/>
      <c r="AL1221" s="23">
        <v>23</v>
      </c>
      <c r="AM1221" s="23"/>
      <c r="AN1221" s="23"/>
      <c r="AO1221" s="23"/>
      <c r="AP1221" s="23"/>
      <c r="AQ1221" s="23"/>
      <c r="AR1221" s="23">
        <v>30</v>
      </c>
      <c r="AS1221" s="23"/>
      <c r="AT1221" s="23"/>
      <c r="AU1221" s="14" t="str">
        <f>HYPERLINK("http://www.openstreetmap.org/?mlat=33.3819&amp;mlon=44.4249&amp;zoom=12#map=12/33.3819/44.4249","Maplink1")</f>
        <v>Maplink1</v>
      </c>
      <c r="AV1221" s="14" t="str">
        <f>HYPERLINK("https://www.google.iq/maps/search/+33.3819,44.4249/@33.3819,44.4249,14z?hl=en","Maplink2")</f>
        <v>Maplink2</v>
      </c>
      <c r="AW1221" s="14" t="str">
        <f>HYPERLINK("http://www.bing.com/maps/?lvl=14&amp;sty=h&amp;cp=33.3819~44.4249&amp;sp=point.33.3819_44.4249_Al Sadir 2-Mahala 512","Maplink3")</f>
        <v>Maplink3</v>
      </c>
    </row>
    <row r="1222" spans="1:49" ht="15" customHeight="1" x14ac:dyDescent="0.25">
      <c r="A1222" s="21">
        <v>24656</v>
      </c>
      <c r="B1222" s="22" t="s">
        <v>11</v>
      </c>
      <c r="C1222" s="22" t="s">
        <v>2309</v>
      </c>
      <c r="D1222" s="22" t="s">
        <v>8587</v>
      </c>
      <c r="E1222" s="22" t="s">
        <v>7891</v>
      </c>
      <c r="F1222" s="22">
        <v>33.367790923699999</v>
      </c>
      <c r="G1222" s="22">
        <v>44.4349387432</v>
      </c>
      <c r="H1222" s="21" t="s">
        <v>1449</v>
      </c>
      <c r="I1222" s="21" t="s">
        <v>2310</v>
      </c>
      <c r="J1222" s="21"/>
      <c r="K1222" s="24">
        <v>62</v>
      </c>
      <c r="L1222" s="24">
        <v>372</v>
      </c>
      <c r="M1222" s="23"/>
      <c r="N1222" s="23"/>
      <c r="O1222" s="23"/>
      <c r="P1222" s="23"/>
      <c r="Q1222" s="23"/>
      <c r="R1222" s="23">
        <v>19</v>
      </c>
      <c r="S1222" s="23"/>
      <c r="T1222" s="23"/>
      <c r="U1222" s="23"/>
      <c r="V1222" s="23"/>
      <c r="W1222" s="23"/>
      <c r="X1222" s="23"/>
      <c r="Y1222" s="23">
        <v>15</v>
      </c>
      <c r="Z1222" s="23"/>
      <c r="AA1222" s="23">
        <v>28</v>
      </c>
      <c r="AB1222" s="23"/>
      <c r="AC1222" s="23"/>
      <c r="AD1222" s="23"/>
      <c r="AE1222" s="23"/>
      <c r="AF1222" s="23">
        <v>13</v>
      </c>
      <c r="AG1222" s="23"/>
      <c r="AH1222" s="23"/>
      <c r="AI1222" s="23"/>
      <c r="AJ1222" s="23"/>
      <c r="AK1222" s="23">
        <v>49</v>
      </c>
      <c r="AL1222" s="23"/>
      <c r="AM1222" s="23"/>
      <c r="AN1222" s="23"/>
      <c r="AO1222" s="23"/>
      <c r="AP1222" s="23">
        <v>28</v>
      </c>
      <c r="AQ1222" s="23"/>
      <c r="AR1222" s="23">
        <v>34</v>
      </c>
      <c r="AS1222" s="23"/>
      <c r="AT1222" s="23"/>
      <c r="AU1222" s="14" t="str">
        <f>HYPERLINK("http://www.openstreetmap.org/?mlat=33.3843&amp;mlon=44.4305&amp;zoom=12#map=12/33.3843/44.4305","Maplink1")</f>
        <v>Maplink1</v>
      </c>
      <c r="AV1222" s="14" t="str">
        <f>HYPERLINK("https://www.google.iq/maps/search/+33.3843,44.4305/@33.3843,44.4305,14z?hl=en","Maplink2")</f>
        <v>Maplink2</v>
      </c>
      <c r="AW1222" s="14" t="str">
        <f>HYPERLINK("http://www.bing.com/maps/?lvl=14&amp;sty=h&amp;cp=33.3843~44.4305&amp;sp=point.33.3843_44.4305_Sadir 2- 513","Maplink3")</f>
        <v>Maplink3</v>
      </c>
    </row>
    <row r="1223" spans="1:49" ht="15" customHeight="1" x14ac:dyDescent="0.25">
      <c r="A1223" s="21">
        <v>24655</v>
      </c>
      <c r="B1223" s="22" t="s">
        <v>11</v>
      </c>
      <c r="C1223" s="22" t="s">
        <v>2309</v>
      </c>
      <c r="D1223" s="22" t="s">
        <v>8588</v>
      </c>
      <c r="E1223" s="22" t="s">
        <v>2311</v>
      </c>
      <c r="F1223" s="22">
        <v>33.355584409400002</v>
      </c>
      <c r="G1223" s="22">
        <v>44.445682358600003</v>
      </c>
      <c r="H1223" s="21" t="s">
        <v>1449</v>
      </c>
      <c r="I1223" s="21" t="s">
        <v>2310</v>
      </c>
      <c r="J1223" s="21"/>
      <c r="K1223" s="24">
        <v>26</v>
      </c>
      <c r="L1223" s="24">
        <v>156</v>
      </c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>
        <v>22</v>
      </c>
      <c r="Z1223" s="23"/>
      <c r="AA1223" s="23">
        <v>4</v>
      </c>
      <c r="AB1223" s="23"/>
      <c r="AC1223" s="23"/>
      <c r="AD1223" s="23"/>
      <c r="AE1223" s="23"/>
      <c r="AF1223" s="23">
        <v>10</v>
      </c>
      <c r="AG1223" s="23"/>
      <c r="AH1223" s="23"/>
      <c r="AI1223" s="23"/>
      <c r="AJ1223" s="23"/>
      <c r="AK1223" s="23">
        <v>16</v>
      </c>
      <c r="AL1223" s="23"/>
      <c r="AM1223" s="23"/>
      <c r="AN1223" s="23"/>
      <c r="AO1223" s="23"/>
      <c r="AP1223" s="23"/>
      <c r="AQ1223" s="23"/>
      <c r="AR1223" s="23">
        <v>26</v>
      </c>
      <c r="AS1223" s="23"/>
      <c r="AT1223" s="23"/>
      <c r="AU1223" s="14" t="str">
        <f>HYPERLINK("http://www.openstreetmap.org/?mlat=33.3843&amp;mlon=44.4305&amp;zoom=12#map=12/33.3843/44.4305","Maplink1")</f>
        <v>Maplink1</v>
      </c>
      <c r="AV1223" s="14" t="str">
        <f>HYPERLINK("https://www.google.iq/maps/search/+33.3843,44.4305/@33.3843,44.4305,14z?hl=en","Maplink2")</f>
        <v>Maplink2</v>
      </c>
      <c r="AW1223" s="14" t="str">
        <f>HYPERLINK("http://www.bing.com/maps/?lvl=14&amp;sty=h&amp;cp=33.3843~44.4305&amp;sp=point.33.3843_44.4305_Sadir 2- 515","Maplink3")</f>
        <v>Maplink3</v>
      </c>
    </row>
    <row r="1224" spans="1:49" ht="15" customHeight="1" x14ac:dyDescent="0.25">
      <c r="A1224" s="21">
        <v>24503</v>
      </c>
      <c r="B1224" s="22" t="s">
        <v>11</v>
      </c>
      <c r="C1224" s="22" t="s">
        <v>2309</v>
      </c>
      <c r="D1224" s="22" t="s">
        <v>8589</v>
      </c>
      <c r="E1224" s="22" t="s">
        <v>7892</v>
      </c>
      <c r="F1224" s="22">
        <v>33.362776050199997</v>
      </c>
      <c r="G1224" s="22">
        <v>44.433260040500002</v>
      </c>
      <c r="H1224" s="21" t="s">
        <v>1449</v>
      </c>
      <c r="I1224" s="21" t="s">
        <v>2310</v>
      </c>
      <c r="J1224" s="21"/>
      <c r="K1224" s="24">
        <v>27</v>
      </c>
      <c r="L1224" s="24">
        <v>162</v>
      </c>
      <c r="M1224" s="23"/>
      <c r="N1224" s="23"/>
      <c r="O1224" s="23"/>
      <c r="P1224" s="23"/>
      <c r="Q1224" s="23"/>
      <c r="R1224" s="23">
        <v>2</v>
      </c>
      <c r="S1224" s="23"/>
      <c r="T1224" s="23"/>
      <c r="U1224" s="23">
        <v>5</v>
      </c>
      <c r="V1224" s="23"/>
      <c r="W1224" s="23"/>
      <c r="X1224" s="23"/>
      <c r="Y1224" s="23">
        <v>20</v>
      </c>
      <c r="Z1224" s="23"/>
      <c r="AA1224" s="23"/>
      <c r="AB1224" s="23"/>
      <c r="AC1224" s="23"/>
      <c r="AD1224" s="23"/>
      <c r="AE1224" s="23"/>
      <c r="AF1224" s="23">
        <v>3</v>
      </c>
      <c r="AG1224" s="23"/>
      <c r="AH1224" s="23"/>
      <c r="AI1224" s="23"/>
      <c r="AJ1224" s="23"/>
      <c r="AK1224" s="23">
        <v>4</v>
      </c>
      <c r="AL1224" s="23">
        <v>20</v>
      </c>
      <c r="AM1224" s="23"/>
      <c r="AN1224" s="23"/>
      <c r="AO1224" s="23"/>
      <c r="AP1224" s="23"/>
      <c r="AQ1224" s="23">
        <v>7</v>
      </c>
      <c r="AR1224" s="23">
        <v>20</v>
      </c>
      <c r="AS1224" s="23"/>
      <c r="AT1224" s="23"/>
      <c r="AU1224" s="14" t="str">
        <f>HYPERLINK("http://www.openstreetmap.org/?mlat=33.3819&amp;mlon=44.4249&amp;zoom=12#map=12/33.3819/44.4249","Maplink1")</f>
        <v>Maplink1</v>
      </c>
      <c r="AV1224" s="14" t="str">
        <f>HYPERLINK("https://www.google.iq/maps/search/+33.3819,44.4249/@33.3819,44.4249,14z?hl=en","Maplink2")</f>
        <v>Maplink2</v>
      </c>
      <c r="AW1224" s="14" t="str">
        <f>HYPERLINK("http://www.bing.com/maps/?lvl=14&amp;sty=h&amp;cp=33.3819~44.4249&amp;sp=point.33.3819_44.4249_Sadir 2-511","Maplink3")</f>
        <v>Maplink3</v>
      </c>
    </row>
    <row r="1225" spans="1:49" ht="15" customHeight="1" x14ac:dyDescent="0.25">
      <c r="A1225" s="21">
        <v>22883</v>
      </c>
      <c r="B1225" s="22" t="s">
        <v>11</v>
      </c>
      <c r="C1225" s="22" t="s">
        <v>2309</v>
      </c>
      <c r="D1225" s="22" t="s">
        <v>8590</v>
      </c>
      <c r="E1225" s="22" t="s">
        <v>2312</v>
      </c>
      <c r="F1225" s="22">
        <v>33.372894094800003</v>
      </c>
      <c r="G1225" s="22">
        <v>44.423226527200001</v>
      </c>
      <c r="H1225" s="21" t="s">
        <v>1449</v>
      </c>
      <c r="I1225" s="21" t="s">
        <v>2310</v>
      </c>
      <c r="J1225" s="21" t="s">
        <v>2313</v>
      </c>
      <c r="K1225" s="24">
        <v>30</v>
      </c>
      <c r="L1225" s="24">
        <v>180</v>
      </c>
      <c r="M1225" s="23"/>
      <c r="N1225" s="23"/>
      <c r="O1225" s="23"/>
      <c r="P1225" s="23"/>
      <c r="Q1225" s="23"/>
      <c r="R1225" s="23"/>
      <c r="S1225" s="23"/>
      <c r="T1225" s="23"/>
      <c r="U1225" s="23">
        <v>10</v>
      </c>
      <c r="V1225" s="23"/>
      <c r="W1225" s="23"/>
      <c r="X1225" s="23"/>
      <c r="Y1225" s="23">
        <v>20</v>
      </c>
      <c r="Z1225" s="23"/>
      <c r="AA1225" s="23"/>
      <c r="AB1225" s="23"/>
      <c r="AC1225" s="23"/>
      <c r="AD1225" s="23"/>
      <c r="AE1225" s="23"/>
      <c r="AF1225" s="23">
        <v>4</v>
      </c>
      <c r="AG1225" s="23"/>
      <c r="AH1225" s="23"/>
      <c r="AI1225" s="23"/>
      <c r="AJ1225" s="23"/>
      <c r="AK1225" s="23">
        <v>26</v>
      </c>
      <c r="AL1225" s="23"/>
      <c r="AM1225" s="23"/>
      <c r="AN1225" s="23"/>
      <c r="AO1225" s="23"/>
      <c r="AP1225" s="23"/>
      <c r="AQ1225" s="23"/>
      <c r="AR1225" s="23">
        <v>30</v>
      </c>
      <c r="AS1225" s="23"/>
      <c r="AT1225" s="23"/>
      <c r="AU1225" s="14" t="str">
        <f>HYPERLINK("http://www.openstreetmap.org/?mlat=33.3786&amp;mlon=44.4255&amp;zoom=12#map=12/33.3786/44.4255","Maplink1")</f>
        <v>Maplink1</v>
      </c>
      <c r="AV1225" s="14" t="str">
        <f>HYPERLINK("https://www.google.iq/maps/search/+33.3786,44.4255/@33.3786,44.4255,14z?hl=en","Maplink2")</f>
        <v>Maplink2</v>
      </c>
      <c r="AW1225" s="14" t="str">
        <f>HYPERLINK("http://www.bing.com/maps/?lvl=14&amp;sty=h&amp;cp=33.3786~44.4255&amp;sp=point.33.3786_44.4255_Sadir 2-516","Maplink3")</f>
        <v>Maplink3</v>
      </c>
    </row>
    <row r="1226" spans="1:49" ht="15" customHeight="1" x14ac:dyDescent="0.25">
      <c r="A1226" s="21">
        <v>24659</v>
      </c>
      <c r="B1226" s="22" t="s">
        <v>11</v>
      </c>
      <c r="C1226" s="22" t="s">
        <v>2309</v>
      </c>
      <c r="D1226" s="22" t="s">
        <v>8591</v>
      </c>
      <c r="E1226" s="22" t="s">
        <v>7893</v>
      </c>
      <c r="F1226" s="22">
        <v>33.367664294100003</v>
      </c>
      <c r="G1226" s="22">
        <v>44.437470270299997</v>
      </c>
      <c r="H1226" s="21" t="s">
        <v>1449</v>
      </c>
      <c r="I1226" s="21" t="s">
        <v>2310</v>
      </c>
      <c r="J1226" s="21"/>
      <c r="K1226" s="24">
        <v>73</v>
      </c>
      <c r="L1226" s="24">
        <v>438</v>
      </c>
      <c r="M1226" s="23">
        <v>3</v>
      </c>
      <c r="N1226" s="23"/>
      <c r="O1226" s="23"/>
      <c r="P1226" s="23"/>
      <c r="Q1226" s="23"/>
      <c r="R1226" s="23"/>
      <c r="S1226" s="23"/>
      <c r="T1226" s="23"/>
      <c r="U1226" s="23">
        <v>16</v>
      </c>
      <c r="V1226" s="23"/>
      <c r="W1226" s="23"/>
      <c r="X1226" s="23"/>
      <c r="Y1226" s="23">
        <v>54</v>
      </c>
      <c r="Z1226" s="23"/>
      <c r="AA1226" s="23"/>
      <c r="AB1226" s="23"/>
      <c r="AC1226" s="23"/>
      <c r="AD1226" s="23"/>
      <c r="AE1226" s="23"/>
      <c r="AF1226" s="23">
        <v>7</v>
      </c>
      <c r="AG1226" s="23"/>
      <c r="AH1226" s="23"/>
      <c r="AI1226" s="23"/>
      <c r="AJ1226" s="23"/>
      <c r="AK1226" s="23">
        <v>47</v>
      </c>
      <c r="AL1226" s="23">
        <v>19</v>
      </c>
      <c r="AM1226" s="23"/>
      <c r="AN1226" s="23"/>
      <c r="AO1226" s="23"/>
      <c r="AP1226" s="23"/>
      <c r="AQ1226" s="23"/>
      <c r="AR1226" s="23">
        <v>70</v>
      </c>
      <c r="AS1226" s="23">
        <v>3</v>
      </c>
      <c r="AT1226" s="23"/>
      <c r="AU1226" s="14" t="str">
        <f>HYPERLINK("http://www.openstreetmap.org/?mlat=33.3842&amp;mlon=44.4305&amp;zoom=12#map=12/33.3842/44.4305","Maplink1")</f>
        <v>Maplink1</v>
      </c>
      <c r="AV1226" s="14" t="str">
        <f>HYPERLINK("https://www.google.iq/maps/search/+33.3842,44.4305/@33.3842,44.4305,14z?hl=en","Maplink2")</f>
        <v>Maplink2</v>
      </c>
      <c r="AW1226" s="14" t="str">
        <f>HYPERLINK("http://www.bing.com/maps/?lvl=14&amp;sty=h&amp;cp=33.3842~44.4305&amp;sp=point.33.3842_44.4305_Sadir 2-517","Maplink3")</f>
        <v>Maplink3</v>
      </c>
    </row>
    <row r="1227" spans="1:49" ht="15" customHeight="1" x14ac:dyDescent="0.25">
      <c r="A1227" s="21">
        <v>22884</v>
      </c>
      <c r="B1227" s="22" t="s">
        <v>11</v>
      </c>
      <c r="C1227" s="22" t="s">
        <v>2309</v>
      </c>
      <c r="D1227" s="22" t="s">
        <v>8592</v>
      </c>
      <c r="E1227" s="22" t="s">
        <v>7894</v>
      </c>
      <c r="F1227" s="22">
        <v>33.380834454599999</v>
      </c>
      <c r="G1227" s="22">
        <v>44.425036410099999</v>
      </c>
      <c r="H1227" s="21" t="s">
        <v>1449</v>
      </c>
      <c r="I1227" s="21" t="s">
        <v>2310</v>
      </c>
      <c r="J1227" s="21" t="s">
        <v>2314</v>
      </c>
      <c r="K1227" s="24">
        <v>181</v>
      </c>
      <c r="L1227" s="24">
        <v>1086</v>
      </c>
      <c r="M1227" s="23"/>
      <c r="N1227" s="23"/>
      <c r="O1227" s="23"/>
      <c r="P1227" s="23"/>
      <c r="Q1227" s="23"/>
      <c r="R1227" s="23">
        <v>50</v>
      </c>
      <c r="S1227" s="23"/>
      <c r="T1227" s="23"/>
      <c r="U1227" s="23"/>
      <c r="V1227" s="23"/>
      <c r="W1227" s="23"/>
      <c r="X1227" s="23"/>
      <c r="Y1227" s="23">
        <v>131</v>
      </c>
      <c r="Z1227" s="23"/>
      <c r="AA1227" s="23"/>
      <c r="AB1227" s="23"/>
      <c r="AC1227" s="23"/>
      <c r="AD1227" s="23"/>
      <c r="AE1227" s="23"/>
      <c r="AF1227" s="23">
        <v>34</v>
      </c>
      <c r="AG1227" s="23"/>
      <c r="AH1227" s="23"/>
      <c r="AI1227" s="23"/>
      <c r="AJ1227" s="23"/>
      <c r="AK1227" s="23">
        <v>117</v>
      </c>
      <c r="AL1227" s="23">
        <v>30</v>
      </c>
      <c r="AM1227" s="23"/>
      <c r="AN1227" s="23"/>
      <c r="AO1227" s="23"/>
      <c r="AP1227" s="23">
        <v>121</v>
      </c>
      <c r="AQ1227" s="23"/>
      <c r="AR1227" s="23">
        <v>60</v>
      </c>
      <c r="AS1227" s="23"/>
      <c r="AT1227" s="23"/>
      <c r="AU1227" s="14" t="str">
        <f>HYPERLINK("http://www.openstreetmap.org/?mlat=33.3811&amp;mlon=44.4186&amp;zoom=12#map=12/33.3811/44.4186","Maplink1")</f>
        <v>Maplink1</v>
      </c>
      <c r="AV1227" s="14" t="str">
        <f>HYPERLINK("https://www.google.iq/maps/search/+33.3811,44.4186/@33.3811,44.4186,14z?hl=en","Maplink2")</f>
        <v>Maplink2</v>
      </c>
      <c r="AW1227" s="14" t="str">
        <f>HYPERLINK("http://www.bing.com/maps/?lvl=14&amp;sty=h&amp;cp=33.3811~44.4186&amp;sp=point.33.3811_44.4186_Sadir 2-518","Maplink3")</f>
        <v>Maplink3</v>
      </c>
    </row>
    <row r="1228" spans="1:49" ht="15" customHeight="1" x14ac:dyDescent="0.25">
      <c r="A1228" s="21">
        <v>24658</v>
      </c>
      <c r="B1228" s="22" t="s">
        <v>11</v>
      </c>
      <c r="C1228" s="22" t="s">
        <v>2309</v>
      </c>
      <c r="D1228" s="22" t="s">
        <v>8593</v>
      </c>
      <c r="E1228" s="22" t="s">
        <v>2315</v>
      </c>
      <c r="F1228" s="22">
        <v>33.380219164499998</v>
      </c>
      <c r="G1228" s="22">
        <v>44.456161233899998</v>
      </c>
      <c r="H1228" s="21" t="s">
        <v>1449</v>
      </c>
      <c r="I1228" s="21" t="s">
        <v>2310</v>
      </c>
      <c r="J1228" s="21"/>
      <c r="K1228" s="24">
        <v>54</v>
      </c>
      <c r="L1228" s="24">
        <v>324</v>
      </c>
      <c r="M1228" s="23"/>
      <c r="N1228" s="23"/>
      <c r="O1228" s="23"/>
      <c r="P1228" s="23"/>
      <c r="Q1228" s="23"/>
      <c r="R1228" s="23">
        <v>2</v>
      </c>
      <c r="S1228" s="23"/>
      <c r="T1228" s="23"/>
      <c r="U1228" s="23">
        <v>24</v>
      </c>
      <c r="V1228" s="23"/>
      <c r="W1228" s="23"/>
      <c r="X1228" s="23"/>
      <c r="Y1228" s="23">
        <v>28</v>
      </c>
      <c r="Z1228" s="23"/>
      <c r="AA1228" s="23"/>
      <c r="AB1228" s="23"/>
      <c r="AC1228" s="23"/>
      <c r="AD1228" s="23"/>
      <c r="AE1228" s="23"/>
      <c r="AF1228" s="23">
        <v>12</v>
      </c>
      <c r="AG1228" s="23"/>
      <c r="AH1228" s="23"/>
      <c r="AI1228" s="23"/>
      <c r="AJ1228" s="23"/>
      <c r="AK1228" s="23">
        <v>42</v>
      </c>
      <c r="AL1228" s="23"/>
      <c r="AM1228" s="23"/>
      <c r="AN1228" s="23"/>
      <c r="AO1228" s="23"/>
      <c r="AP1228" s="23"/>
      <c r="AQ1228" s="23"/>
      <c r="AR1228" s="23">
        <v>54</v>
      </c>
      <c r="AS1228" s="23"/>
      <c r="AT1228" s="23"/>
      <c r="AU1228" s="14" t="str">
        <f>HYPERLINK("http://www.openstreetmap.org/?mlat=33.3843&amp;mlon=44.4305&amp;zoom=12#map=12/33.3843/44.4305","Maplink1")</f>
        <v>Maplink1</v>
      </c>
      <c r="AV1228" s="14" t="str">
        <f>HYPERLINK("https://www.google.iq/maps/search/+33.3843,44.4305/@33.3843,44.4305,14z?hl=en","Maplink2")</f>
        <v>Maplink2</v>
      </c>
      <c r="AW1228" s="14" t="str">
        <f>HYPERLINK("http://www.bing.com/maps/?lvl=14&amp;sty=h&amp;cp=33.3843~44.4305&amp;sp=point.33.3843_44.4305_Sadir 2-541","Maplink3")</f>
        <v>Maplink3</v>
      </c>
    </row>
    <row r="1229" spans="1:49" ht="15" customHeight="1" x14ac:dyDescent="0.25">
      <c r="A1229" s="21">
        <v>24657</v>
      </c>
      <c r="B1229" s="22" t="s">
        <v>11</v>
      </c>
      <c r="C1229" s="22" t="s">
        <v>2309</v>
      </c>
      <c r="D1229" s="22" t="s">
        <v>8594</v>
      </c>
      <c r="E1229" s="22" t="s">
        <v>7895</v>
      </c>
      <c r="F1229" s="22">
        <v>33.385092003099999</v>
      </c>
      <c r="G1229" s="22">
        <v>44.481923190499998</v>
      </c>
      <c r="H1229" s="21" t="s">
        <v>1449</v>
      </c>
      <c r="I1229" s="21" t="s">
        <v>2310</v>
      </c>
      <c r="J1229" s="21"/>
      <c r="K1229" s="24">
        <v>34</v>
      </c>
      <c r="L1229" s="24">
        <v>204</v>
      </c>
      <c r="M1229" s="23"/>
      <c r="N1229" s="23"/>
      <c r="O1229" s="23"/>
      <c r="P1229" s="23"/>
      <c r="Q1229" s="23"/>
      <c r="R1229" s="23"/>
      <c r="S1229" s="23"/>
      <c r="T1229" s="23"/>
      <c r="U1229" s="23">
        <v>7</v>
      </c>
      <c r="V1229" s="23"/>
      <c r="W1229" s="23"/>
      <c r="X1229" s="23"/>
      <c r="Y1229" s="23">
        <v>19</v>
      </c>
      <c r="Z1229" s="23"/>
      <c r="AA1229" s="23">
        <v>8</v>
      </c>
      <c r="AB1229" s="23"/>
      <c r="AC1229" s="23"/>
      <c r="AD1229" s="23"/>
      <c r="AE1229" s="23"/>
      <c r="AF1229" s="23">
        <v>5</v>
      </c>
      <c r="AG1229" s="23"/>
      <c r="AH1229" s="23"/>
      <c r="AI1229" s="23"/>
      <c r="AJ1229" s="23"/>
      <c r="AK1229" s="23">
        <v>29</v>
      </c>
      <c r="AL1229" s="23"/>
      <c r="AM1229" s="23"/>
      <c r="AN1229" s="23"/>
      <c r="AO1229" s="23"/>
      <c r="AP1229" s="23"/>
      <c r="AQ1229" s="23"/>
      <c r="AR1229" s="23">
        <v>34</v>
      </c>
      <c r="AS1229" s="23"/>
      <c r="AT1229" s="23"/>
      <c r="AU1229" s="14" t="str">
        <f>HYPERLINK("http://www.openstreetmap.org/?mlat=33.3843&amp;mlon=44.4305&amp;zoom=12#map=12/33.3843/44.4305","Maplink1")</f>
        <v>Maplink1</v>
      </c>
      <c r="AV1229" s="14" t="str">
        <f>HYPERLINK("https://www.google.iq/maps/search/+33.3843,44.4305/@33.3843,44.4305,14z?hl=en","Maplink2")</f>
        <v>Maplink2</v>
      </c>
      <c r="AW1229" s="14" t="str">
        <f>HYPERLINK("http://www.bing.com/maps/?lvl=14&amp;sty=h&amp;cp=33.3843~44.4305&amp;sp=point.33.3843_44.4305_Sadir 2-570","Maplink3")</f>
        <v>Maplink3</v>
      </c>
    </row>
    <row r="1230" spans="1:49" ht="15" customHeight="1" x14ac:dyDescent="0.25">
      <c r="A1230" s="21">
        <v>24504</v>
      </c>
      <c r="B1230" s="22" t="s">
        <v>11</v>
      </c>
      <c r="C1230" s="22" t="s">
        <v>2309</v>
      </c>
      <c r="D1230" s="22" t="s">
        <v>8595</v>
      </c>
      <c r="E1230" s="22" t="s">
        <v>2316</v>
      </c>
      <c r="F1230" s="22">
        <v>33.390542953599997</v>
      </c>
      <c r="G1230" s="22">
        <v>44.467793522199997</v>
      </c>
      <c r="H1230" s="21" t="s">
        <v>1449</v>
      </c>
      <c r="I1230" s="21" t="s">
        <v>2310</v>
      </c>
      <c r="J1230" s="21"/>
      <c r="K1230" s="24">
        <v>10</v>
      </c>
      <c r="L1230" s="24">
        <v>60</v>
      </c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>
        <v>10</v>
      </c>
      <c r="Z1230" s="23"/>
      <c r="AA1230" s="23"/>
      <c r="AB1230" s="23"/>
      <c r="AC1230" s="23"/>
      <c r="AD1230" s="23"/>
      <c r="AE1230" s="23"/>
      <c r="AF1230" s="23">
        <v>4</v>
      </c>
      <c r="AG1230" s="23"/>
      <c r="AH1230" s="23"/>
      <c r="AI1230" s="23"/>
      <c r="AJ1230" s="23"/>
      <c r="AK1230" s="23">
        <v>6</v>
      </c>
      <c r="AL1230" s="23"/>
      <c r="AM1230" s="23"/>
      <c r="AN1230" s="23"/>
      <c r="AO1230" s="23"/>
      <c r="AP1230" s="23"/>
      <c r="AQ1230" s="23">
        <v>10</v>
      </c>
      <c r="AR1230" s="23"/>
      <c r="AS1230" s="23"/>
      <c r="AT1230" s="23"/>
      <c r="AU1230" s="14" t="str">
        <f>HYPERLINK("http://www.openstreetmap.org/?mlat=33.3838&amp;mlon=44.4315&amp;zoom=12#map=12/33.3838/44.4315","Maplink1")</f>
        <v>Maplink1</v>
      </c>
      <c r="AV1230" s="14" t="str">
        <f>HYPERLINK("https://www.google.iq/maps/search/+33.3838,44.4315/@33.3838,44.4315,14z?hl=en","Maplink2")</f>
        <v>Maplink2</v>
      </c>
      <c r="AW1230" s="14" t="str">
        <f>HYPERLINK("http://www.bing.com/maps/?lvl=14&amp;sty=h&amp;cp=33.3838~44.4315&amp;sp=point.33.3838_44.4315_Sadir 3-555","Maplink3")</f>
        <v>Maplink3</v>
      </c>
    </row>
    <row r="1231" spans="1:49" ht="15" customHeight="1" x14ac:dyDescent="0.25">
      <c r="A1231" s="21">
        <v>22537</v>
      </c>
      <c r="B1231" s="22" t="s">
        <v>11</v>
      </c>
      <c r="C1231" s="22" t="s">
        <v>2309</v>
      </c>
      <c r="D1231" s="22" t="s">
        <v>8596</v>
      </c>
      <c r="E1231" s="22" t="s">
        <v>7896</v>
      </c>
      <c r="F1231" s="22">
        <v>33.3880247731</v>
      </c>
      <c r="G1231" s="22">
        <v>44.440283949499999</v>
      </c>
      <c r="H1231" s="21" t="s">
        <v>1449</v>
      </c>
      <c r="I1231" s="21" t="s">
        <v>2310</v>
      </c>
      <c r="J1231" s="21" t="s">
        <v>2317</v>
      </c>
      <c r="K1231" s="24">
        <v>27</v>
      </c>
      <c r="L1231" s="24">
        <v>162</v>
      </c>
      <c r="M1231" s="23">
        <v>7</v>
      </c>
      <c r="N1231" s="23"/>
      <c r="O1231" s="23"/>
      <c r="P1231" s="23"/>
      <c r="Q1231" s="23"/>
      <c r="R1231" s="23">
        <v>3</v>
      </c>
      <c r="S1231" s="23"/>
      <c r="T1231" s="23"/>
      <c r="U1231" s="23"/>
      <c r="V1231" s="23"/>
      <c r="W1231" s="23"/>
      <c r="X1231" s="23"/>
      <c r="Y1231" s="23">
        <v>15</v>
      </c>
      <c r="Z1231" s="23"/>
      <c r="AA1231" s="23">
        <v>2</v>
      </c>
      <c r="AB1231" s="23"/>
      <c r="AC1231" s="23"/>
      <c r="AD1231" s="23"/>
      <c r="AE1231" s="23"/>
      <c r="AF1231" s="23">
        <v>6</v>
      </c>
      <c r="AG1231" s="23"/>
      <c r="AH1231" s="23"/>
      <c r="AI1231" s="23"/>
      <c r="AJ1231" s="23"/>
      <c r="AK1231" s="23">
        <v>21</v>
      </c>
      <c r="AL1231" s="23"/>
      <c r="AM1231" s="23"/>
      <c r="AN1231" s="23"/>
      <c r="AO1231" s="23">
        <v>3</v>
      </c>
      <c r="AP1231" s="23">
        <v>12</v>
      </c>
      <c r="AQ1231" s="23"/>
      <c r="AR1231" s="23">
        <v>8</v>
      </c>
      <c r="AS1231" s="23">
        <v>4</v>
      </c>
      <c r="AT1231" s="23"/>
      <c r="AU1231" s="14" t="str">
        <f>HYPERLINK("http://www.openstreetmap.org/?mlat=33.3843&amp;mlon=44.4305&amp;zoom=12#map=12/33.3843/44.4305","Maplink1")</f>
        <v>Maplink1</v>
      </c>
      <c r="AV1231" s="14" t="str">
        <f>HYPERLINK("https://www.google.iq/maps/search/+33.3843,44.4305/@33.3843,44.4305,14z?hl=en","Maplink2")</f>
        <v>Maplink2</v>
      </c>
      <c r="AW1231" s="14" t="str">
        <f>HYPERLINK("http://www.bing.com/maps/?lvl=14&amp;sty=h&amp;cp=33.3843~44.4305&amp;sp=point.33.3843_44.4305_Sadir 5-Mahalla 528","Maplink3")</f>
        <v>Maplink3</v>
      </c>
    </row>
    <row r="1232" spans="1:49" ht="15" customHeight="1" x14ac:dyDescent="0.25">
      <c r="A1232" s="21">
        <v>24502</v>
      </c>
      <c r="B1232" s="22" t="s">
        <v>11</v>
      </c>
      <c r="C1232" s="22" t="s">
        <v>2309</v>
      </c>
      <c r="D1232" s="22" t="s">
        <v>8597</v>
      </c>
      <c r="E1232" s="22" t="s">
        <v>2318</v>
      </c>
      <c r="F1232" s="22">
        <v>33.401486855599998</v>
      </c>
      <c r="G1232" s="22">
        <v>44.455206076099998</v>
      </c>
      <c r="H1232" s="21" t="s">
        <v>1449</v>
      </c>
      <c r="I1232" s="21" t="s">
        <v>2310</v>
      </c>
      <c r="J1232" s="21"/>
      <c r="K1232" s="24">
        <v>81</v>
      </c>
      <c r="L1232" s="24">
        <v>486</v>
      </c>
      <c r="M1232" s="23">
        <v>5</v>
      </c>
      <c r="N1232" s="23"/>
      <c r="O1232" s="23"/>
      <c r="P1232" s="23"/>
      <c r="Q1232" s="23"/>
      <c r="R1232" s="23">
        <v>29</v>
      </c>
      <c r="S1232" s="23"/>
      <c r="T1232" s="23"/>
      <c r="U1232" s="23"/>
      <c r="V1232" s="23"/>
      <c r="W1232" s="23"/>
      <c r="X1232" s="23"/>
      <c r="Y1232" s="23">
        <v>44</v>
      </c>
      <c r="Z1232" s="23"/>
      <c r="AA1232" s="23">
        <v>3</v>
      </c>
      <c r="AB1232" s="23"/>
      <c r="AC1232" s="23"/>
      <c r="AD1232" s="23"/>
      <c r="AE1232" s="23"/>
      <c r="AF1232" s="23">
        <v>16</v>
      </c>
      <c r="AG1232" s="23"/>
      <c r="AH1232" s="23"/>
      <c r="AI1232" s="23"/>
      <c r="AJ1232" s="23"/>
      <c r="AK1232" s="23">
        <v>65</v>
      </c>
      <c r="AL1232" s="23"/>
      <c r="AM1232" s="23"/>
      <c r="AN1232" s="23"/>
      <c r="AO1232" s="23"/>
      <c r="AP1232" s="23">
        <v>46</v>
      </c>
      <c r="AQ1232" s="23">
        <v>6</v>
      </c>
      <c r="AR1232" s="23">
        <v>24</v>
      </c>
      <c r="AS1232" s="23">
        <v>5</v>
      </c>
      <c r="AT1232" s="23"/>
      <c r="AU1232" s="14" t="str">
        <f>HYPERLINK("http://www.openstreetmap.org/?mlat=33.3791&amp;mlon=44.429&amp;zoom=12#map=12/33.3791/44.429","Maplink1")</f>
        <v>Maplink1</v>
      </c>
      <c r="AV1232" s="14" t="str">
        <f>HYPERLINK("https://www.google.iq/maps/search/+33.3791,44.429/@33.3791,44.429,14z?hl=en","Maplink2")</f>
        <v>Maplink2</v>
      </c>
      <c r="AW1232" s="14" t="str">
        <f>HYPERLINK("http://www.bing.com/maps/?lvl=14&amp;sty=h&amp;cp=33.3791~44.429&amp;sp=point.33.3791_44.429_Sadir 8 -550","Maplink3")</f>
        <v>Maplink3</v>
      </c>
    </row>
    <row r="1233" spans="1:49" ht="15" customHeight="1" x14ac:dyDescent="0.25">
      <c r="A1233" s="21">
        <v>24932</v>
      </c>
      <c r="B1233" s="22" t="s">
        <v>11</v>
      </c>
      <c r="C1233" s="22" t="s">
        <v>2309</v>
      </c>
      <c r="D1233" s="22" t="s">
        <v>8598</v>
      </c>
      <c r="E1233" s="22" t="s">
        <v>7897</v>
      </c>
      <c r="F1233" s="22">
        <v>33.3649666803</v>
      </c>
      <c r="G1233" s="22">
        <v>44.461655394799998</v>
      </c>
      <c r="H1233" s="21" t="s">
        <v>1449</v>
      </c>
      <c r="I1233" s="21" t="s">
        <v>2310</v>
      </c>
      <c r="J1233" s="21"/>
      <c r="K1233" s="24">
        <v>18</v>
      </c>
      <c r="L1233" s="24">
        <v>108</v>
      </c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>
        <v>18</v>
      </c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>
        <v>18</v>
      </c>
      <c r="AL1233" s="23"/>
      <c r="AM1233" s="23"/>
      <c r="AN1233" s="23"/>
      <c r="AO1233" s="23"/>
      <c r="AP1233" s="23">
        <v>18</v>
      </c>
      <c r="AQ1233" s="23"/>
      <c r="AR1233" s="23"/>
      <c r="AS1233" s="23"/>
      <c r="AT1233" s="23"/>
      <c r="AU1233" s="14" t="str">
        <f t="shared" ref="AU1233:AU1239" si="6">HYPERLINK("http://www.openstreetmap.org/?mlat=33.3843&amp;mlon=44.4305&amp;zoom=12#map=12/33.3843/44.4305","Maplink1")</f>
        <v>Maplink1</v>
      </c>
      <c r="AV1233" s="14" t="str">
        <f t="shared" ref="AV1233:AV1239" si="7">HYPERLINK("https://www.google.iq/maps/search/+33.3843,44.4305/@33.3843,44.4305,14z?hl=en","Maplink2")</f>
        <v>Maplink2</v>
      </c>
      <c r="AW1233" s="14" t="str">
        <f>HYPERLINK("http://www.bing.com/maps/?lvl=14&amp;sty=h&amp;cp=33.3843~44.4305&amp;sp=point.33.3843_44.4305_Sadir3- Mahalla 535","Maplink3")</f>
        <v>Maplink3</v>
      </c>
    </row>
    <row r="1234" spans="1:49" ht="15" customHeight="1" x14ac:dyDescent="0.25">
      <c r="A1234" s="21">
        <v>24584</v>
      </c>
      <c r="B1234" s="22" t="s">
        <v>11</v>
      </c>
      <c r="C1234" s="22" t="s">
        <v>2309</v>
      </c>
      <c r="D1234" s="22" t="s">
        <v>8599</v>
      </c>
      <c r="E1234" s="22" t="s">
        <v>7898</v>
      </c>
      <c r="F1234" s="22">
        <v>33.365088970499997</v>
      </c>
      <c r="G1234" s="22">
        <v>44.461864055100001</v>
      </c>
      <c r="H1234" s="21" t="s">
        <v>1449</v>
      </c>
      <c r="I1234" s="21" t="s">
        <v>2310</v>
      </c>
      <c r="J1234" s="21"/>
      <c r="K1234" s="24">
        <v>39</v>
      </c>
      <c r="L1234" s="24">
        <v>234</v>
      </c>
      <c r="M1234" s="23"/>
      <c r="N1234" s="23"/>
      <c r="O1234" s="23"/>
      <c r="P1234" s="23"/>
      <c r="Q1234" s="23"/>
      <c r="R1234" s="23">
        <v>8</v>
      </c>
      <c r="S1234" s="23"/>
      <c r="T1234" s="23"/>
      <c r="U1234" s="23">
        <v>12</v>
      </c>
      <c r="V1234" s="23"/>
      <c r="W1234" s="23"/>
      <c r="X1234" s="23"/>
      <c r="Y1234" s="23">
        <v>19</v>
      </c>
      <c r="Z1234" s="23"/>
      <c r="AA1234" s="23"/>
      <c r="AB1234" s="23"/>
      <c r="AC1234" s="23"/>
      <c r="AD1234" s="23"/>
      <c r="AE1234" s="23"/>
      <c r="AF1234" s="23">
        <v>11</v>
      </c>
      <c r="AG1234" s="23"/>
      <c r="AH1234" s="23"/>
      <c r="AI1234" s="23"/>
      <c r="AJ1234" s="23"/>
      <c r="AK1234" s="23">
        <v>28</v>
      </c>
      <c r="AL1234" s="23"/>
      <c r="AM1234" s="23"/>
      <c r="AN1234" s="23"/>
      <c r="AO1234" s="23"/>
      <c r="AP1234" s="23"/>
      <c r="AQ1234" s="23">
        <v>5</v>
      </c>
      <c r="AR1234" s="23">
        <v>34</v>
      </c>
      <c r="AS1234" s="23"/>
      <c r="AT1234" s="23"/>
      <c r="AU1234" s="14" t="str">
        <f t="shared" si="6"/>
        <v>Maplink1</v>
      </c>
      <c r="AV1234" s="14" t="str">
        <f t="shared" si="7"/>
        <v>Maplink2</v>
      </c>
      <c r="AW1234" s="14" t="str">
        <f>HYPERLINK("http://www.bing.com/maps/?lvl=14&amp;sty=h&amp;cp=33.3843~44.4305&amp;sp=point.33.3843_44.4305_Sadir3- Mahalla 537","Maplink3")</f>
        <v>Maplink3</v>
      </c>
    </row>
    <row r="1235" spans="1:49" ht="15" customHeight="1" x14ac:dyDescent="0.25">
      <c r="A1235" s="21">
        <v>24933</v>
      </c>
      <c r="B1235" s="22" t="s">
        <v>11</v>
      </c>
      <c r="C1235" s="22" t="s">
        <v>2309</v>
      </c>
      <c r="D1235" s="22" t="s">
        <v>8600</v>
      </c>
      <c r="E1235" s="22" t="s">
        <v>7899</v>
      </c>
      <c r="F1235" s="22">
        <v>33.383544690900003</v>
      </c>
      <c r="G1235" s="22">
        <v>44.459876187600003</v>
      </c>
      <c r="H1235" s="21" t="s">
        <v>1449</v>
      </c>
      <c r="I1235" s="21" t="s">
        <v>2310</v>
      </c>
      <c r="J1235" s="21"/>
      <c r="K1235" s="24">
        <v>7</v>
      </c>
      <c r="L1235" s="24">
        <v>42</v>
      </c>
      <c r="M1235" s="23">
        <v>1</v>
      </c>
      <c r="N1235" s="23"/>
      <c r="O1235" s="23"/>
      <c r="P1235" s="23"/>
      <c r="Q1235" s="23"/>
      <c r="R1235" s="23">
        <v>6</v>
      </c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>
        <v>7</v>
      </c>
      <c r="AL1235" s="23"/>
      <c r="AM1235" s="23"/>
      <c r="AN1235" s="23"/>
      <c r="AO1235" s="23"/>
      <c r="AP1235" s="23">
        <v>6</v>
      </c>
      <c r="AQ1235" s="23"/>
      <c r="AR1235" s="23"/>
      <c r="AS1235" s="23"/>
      <c r="AT1235" s="23">
        <v>1</v>
      </c>
      <c r="AU1235" s="14" t="str">
        <f t="shared" si="6"/>
        <v>Maplink1</v>
      </c>
      <c r="AV1235" s="14" t="str">
        <f t="shared" si="7"/>
        <v>Maplink2</v>
      </c>
      <c r="AW1235" s="14" t="str">
        <f>HYPERLINK("http://www.bing.com/maps/?lvl=14&amp;sty=h&amp;cp=33.3843~44.4305&amp;sp=point.33.3843_44.4305_Sadir4- Mahalla 547","Maplink3")</f>
        <v>Maplink3</v>
      </c>
    </row>
    <row r="1236" spans="1:49" ht="15" customHeight="1" x14ac:dyDescent="0.25">
      <c r="A1236" s="21">
        <v>24585</v>
      </c>
      <c r="B1236" s="22" t="s">
        <v>11</v>
      </c>
      <c r="C1236" s="22" t="s">
        <v>2309</v>
      </c>
      <c r="D1236" s="22" t="s">
        <v>8601</v>
      </c>
      <c r="E1236" s="22" t="s">
        <v>7900</v>
      </c>
      <c r="F1236" s="22">
        <v>33.362739267400002</v>
      </c>
      <c r="G1236" s="22">
        <v>44.453274050700003</v>
      </c>
      <c r="H1236" s="21" t="s">
        <v>1449</v>
      </c>
      <c r="I1236" s="21" t="s">
        <v>2310</v>
      </c>
      <c r="J1236" s="21"/>
      <c r="K1236" s="24">
        <v>26</v>
      </c>
      <c r="L1236" s="24">
        <v>156</v>
      </c>
      <c r="M1236" s="23">
        <v>6</v>
      </c>
      <c r="N1236" s="23"/>
      <c r="O1236" s="23"/>
      <c r="P1236" s="23"/>
      <c r="Q1236" s="23"/>
      <c r="R1236" s="23">
        <v>20</v>
      </c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>
        <v>26</v>
      </c>
      <c r="AL1236" s="23"/>
      <c r="AM1236" s="23"/>
      <c r="AN1236" s="23"/>
      <c r="AO1236" s="23"/>
      <c r="AP1236" s="23"/>
      <c r="AQ1236" s="23"/>
      <c r="AR1236" s="23">
        <v>20</v>
      </c>
      <c r="AS1236" s="23">
        <v>6</v>
      </c>
      <c r="AT1236" s="23"/>
      <c r="AU1236" s="14" t="str">
        <f t="shared" si="6"/>
        <v>Maplink1</v>
      </c>
      <c r="AV1236" s="14" t="str">
        <f t="shared" si="7"/>
        <v>Maplink2</v>
      </c>
      <c r="AW1236" s="14" t="str">
        <f>HYPERLINK("http://www.bing.com/maps/?lvl=14&amp;sty=h&amp;cp=33.3843~44.4305&amp;sp=point.33.3843_44.4305_Sadir5- Mahalla 520","Maplink3")</f>
        <v>Maplink3</v>
      </c>
    </row>
    <row r="1237" spans="1:49" ht="15" customHeight="1" x14ac:dyDescent="0.25">
      <c r="A1237" s="21">
        <v>24586</v>
      </c>
      <c r="B1237" s="22" t="s">
        <v>11</v>
      </c>
      <c r="C1237" s="22" t="s">
        <v>2309</v>
      </c>
      <c r="D1237" s="22" t="s">
        <v>8602</v>
      </c>
      <c r="E1237" s="22" t="s">
        <v>7901</v>
      </c>
      <c r="F1237" s="22">
        <v>33.381979774199998</v>
      </c>
      <c r="G1237" s="22">
        <v>44.441792695499998</v>
      </c>
      <c r="H1237" s="21" t="s">
        <v>1449</v>
      </c>
      <c r="I1237" s="21" t="s">
        <v>2310</v>
      </c>
      <c r="J1237" s="21"/>
      <c r="K1237" s="24">
        <v>18</v>
      </c>
      <c r="L1237" s="24">
        <v>108</v>
      </c>
      <c r="M1237" s="23"/>
      <c r="N1237" s="23"/>
      <c r="O1237" s="23"/>
      <c r="P1237" s="23"/>
      <c r="Q1237" s="23"/>
      <c r="R1237" s="23">
        <v>3</v>
      </c>
      <c r="S1237" s="23"/>
      <c r="T1237" s="23"/>
      <c r="U1237" s="23"/>
      <c r="V1237" s="23"/>
      <c r="W1237" s="23"/>
      <c r="X1237" s="23"/>
      <c r="Y1237" s="23">
        <v>15</v>
      </c>
      <c r="Z1237" s="23"/>
      <c r="AA1237" s="23"/>
      <c r="AB1237" s="23"/>
      <c r="AC1237" s="23"/>
      <c r="AD1237" s="23"/>
      <c r="AE1237" s="23"/>
      <c r="AF1237" s="23">
        <v>18</v>
      </c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>
        <v>3</v>
      </c>
      <c r="AR1237" s="23">
        <v>15</v>
      </c>
      <c r="AS1237" s="23"/>
      <c r="AT1237" s="23"/>
      <c r="AU1237" s="14" t="str">
        <f t="shared" si="6"/>
        <v>Maplink1</v>
      </c>
      <c r="AV1237" s="14" t="str">
        <f t="shared" si="7"/>
        <v>Maplink2</v>
      </c>
      <c r="AW1237" s="14" t="str">
        <f>HYPERLINK("http://www.bing.com/maps/?lvl=14&amp;sty=h&amp;cp=33.3843~44.4305&amp;sp=point.33.3843_44.4305_Sadir5- Mahalla 522","Maplink3")</f>
        <v>Maplink3</v>
      </c>
    </row>
    <row r="1238" spans="1:49" ht="15" customHeight="1" x14ac:dyDescent="0.25">
      <c r="A1238" s="21">
        <v>24587</v>
      </c>
      <c r="B1238" s="22" t="s">
        <v>11</v>
      </c>
      <c r="C1238" s="22" t="s">
        <v>2309</v>
      </c>
      <c r="D1238" s="22" t="s">
        <v>8603</v>
      </c>
      <c r="E1238" s="22" t="s">
        <v>7902</v>
      </c>
      <c r="F1238" s="22">
        <v>33.372921926399997</v>
      </c>
      <c r="G1238" s="22">
        <v>44.456750466599999</v>
      </c>
      <c r="H1238" s="21" t="s">
        <v>1449</v>
      </c>
      <c r="I1238" s="21" t="s">
        <v>2310</v>
      </c>
      <c r="J1238" s="21"/>
      <c r="K1238" s="24">
        <v>9</v>
      </c>
      <c r="L1238" s="24">
        <v>54</v>
      </c>
      <c r="M1238" s="23">
        <v>6</v>
      </c>
      <c r="N1238" s="23"/>
      <c r="O1238" s="23"/>
      <c r="P1238" s="23"/>
      <c r="Q1238" s="23"/>
      <c r="R1238" s="23"/>
      <c r="S1238" s="23"/>
      <c r="T1238" s="23"/>
      <c r="U1238" s="23">
        <v>3</v>
      </c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>
        <v>9</v>
      </c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>
        <v>3</v>
      </c>
      <c r="AR1238" s="23">
        <v>6</v>
      </c>
      <c r="AS1238" s="23"/>
      <c r="AT1238" s="23"/>
      <c r="AU1238" s="14" t="str">
        <f t="shared" si="6"/>
        <v>Maplink1</v>
      </c>
      <c r="AV1238" s="14" t="str">
        <f t="shared" si="7"/>
        <v>Maplink2</v>
      </c>
      <c r="AW1238" s="14" t="str">
        <f>HYPERLINK("http://www.bing.com/maps/?lvl=14&amp;sty=h&amp;cp=33.3843~44.4305&amp;sp=point.33.3843_44.4305_Sadir5- Mahalla 530","Maplink3")</f>
        <v>Maplink3</v>
      </c>
    </row>
    <row r="1239" spans="1:49" ht="15" customHeight="1" x14ac:dyDescent="0.25">
      <c r="A1239" s="21">
        <v>24588</v>
      </c>
      <c r="B1239" s="22" t="s">
        <v>11</v>
      </c>
      <c r="C1239" s="22" t="s">
        <v>2309</v>
      </c>
      <c r="D1239" s="22" t="s">
        <v>8604</v>
      </c>
      <c r="E1239" s="22" t="s">
        <v>7903</v>
      </c>
      <c r="F1239" s="22">
        <v>33.368071896099998</v>
      </c>
      <c r="G1239" s="22">
        <v>44.456480747800001</v>
      </c>
      <c r="H1239" s="21" t="s">
        <v>1449</v>
      </c>
      <c r="I1239" s="21" t="s">
        <v>2310</v>
      </c>
      <c r="J1239" s="21"/>
      <c r="K1239" s="24">
        <v>18</v>
      </c>
      <c r="L1239" s="24">
        <v>108</v>
      </c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>
        <v>18</v>
      </c>
      <c r="Z1239" s="23"/>
      <c r="AA1239" s="23"/>
      <c r="AB1239" s="23"/>
      <c r="AC1239" s="23"/>
      <c r="AD1239" s="23"/>
      <c r="AE1239" s="23"/>
      <c r="AF1239" s="23">
        <v>16</v>
      </c>
      <c r="AG1239" s="23"/>
      <c r="AH1239" s="23"/>
      <c r="AI1239" s="23"/>
      <c r="AJ1239" s="23"/>
      <c r="AK1239" s="23">
        <v>2</v>
      </c>
      <c r="AL1239" s="23"/>
      <c r="AM1239" s="23"/>
      <c r="AN1239" s="23"/>
      <c r="AO1239" s="23"/>
      <c r="AP1239" s="23">
        <v>6</v>
      </c>
      <c r="AQ1239" s="23"/>
      <c r="AR1239" s="23">
        <v>12</v>
      </c>
      <c r="AS1239" s="23"/>
      <c r="AT1239" s="23"/>
      <c r="AU1239" s="14" t="str">
        <f t="shared" si="6"/>
        <v>Maplink1</v>
      </c>
      <c r="AV1239" s="14" t="str">
        <f t="shared" si="7"/>
        <v>Maplink2</v>
      </c>
      <c r="AW1239" s="14" t="str">
        <f>HYPERLINK("http://www.bing.com/maps/?lvl=14&amp;sty=h&amp;cp=33.3843~44.4305&amp;sp=point.33.3843_44.4305_Sadir5- Mahalla 532","Maplink3")</f>
        <v>Maplink3</v>
      </c>
    </row>
    <row r="1240" spans="1:49" ht="15" customHeight="1" x14ac:dyDescent="0.25">
      <c r="A1240" s="21">
        <v>25721</v>
      </c>
      <c r="B1240" s="22" t="s">
        <v>11</v>
      </c>
      <c r="C1240" s="22" t="s">
        <v>2309</v>
      </c>
      <c r="D1240" s="22" t="s">
        <v>8605</v>
      </c>
      <c r="E1240" s="22" t="s">
        <v>7904</v>
      </c>
      <c r="F1240" s="22">
        <v>33.395291134799997</v>
      </c>
      <c r="G1240" s="22">
        <v>44.493844301000003</v>
      </c>
      <c r="H1240" s="21" t="s">
        <v>1449</v>
      </c>
      <c r="I1240" s="21" t="s">
        <v>2310</v>
      </c>
      <c r="J1240" s="21"/>
      <c r="K1240" s="24">
        <v>7</v>
      </c>
      <c r="L1240" s="24">
        <v>42</v>
      </c>
      <c r="M1240" s="23">
        <v>7</v>
      </c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>
        <v>7</v>
      </c>
      <c r="AL1240" s="23"/>
      <c r="AM1240" s="23"/>
      <c r="AN1240" s="23"/>
      <c r="AO1240" s="23"/>
      <c r="AP1240" s="23"/>
      <c r="AQ1240" s="23"/>
      <c r="AR1240" s="23">
        <v>7</v>
      </c>
      <c r="AS1240" s="23"/>
      <c r="AT1240" s="23"/>
      <c r="AU1240" s="14" t="str">
        <f>HYPERLINK("http://www.openstreetmap.org/?mlat=33.3844&amp;mlon=44.4305&amp;zoom=12#map=12/33.3844/44.4305","Maplink1")</f>
        <v>Maplink1</v>
      </c>
      <c r="AV1240" s="14" t="str">
        <f>HYPERLINK("https://www.google.iq/maps/search/+33.3844,44.4305/@33.3844,44.4305,14z?hl=en","Maplink2")</f>
        <v>Maplink2</v>
      </c>
      <c r="AW1240" s="14" t="str">
        <f>HYPERLINK("http://www.bing.com/maps/?lvl=14&amp;sty=h&amp;cp=33.3844~44.4305&amp;sp=point.33.3844_44.4305_Sadir6- Mahalla 573","Maplink3")</f>
        <v>Maplink3</v>
      </c>
    </row>
    <row r="1241" spans="1:49" ht="15" customHeight="1" x14ac:dyDescent="0.25">
      <c r="A1241" s="21">
        <v>23039</v>
      </c>
      <c r="B1241" s="22" t="s">
        <v>11</v>
      </c>
      <c r="C1241" s="22" t="s">
        <v>2309</v>
      </c>
      <c r="D1241" s="22" t="s">
        <v>8606</v>
      </c>
      <c r="E1241" s="22" t="s">
        <v>7905</v>
      </c>
      <c r="F1241" s="22">
        <v>33.401022383799997</v>
      </c>
      <c r="G1241" s="22">
        <v>44.500682234300001</v>
      </c>
      <c r="H1241" s="21" t="s">
        <v>1449</v>
      </c>
      <c r="I1241" s="21" t="s">
        <v>2310</v>
      </c>
      <c r="J1241" s="21" t="s">
        <v>2319</v>
      </c>
      <c r="K1241" s="24">
        <v>12</v>
      </c>
      <c r="L1241" s="24">
        <v>72</v>
      </c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>
        <v>12</v>
      </c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>
        <v>12</v>
      </c>
      <c r="AL1241" s="23"/>
      <c r="AM1241" s="23"/>
      <c r="AN1241" s="23"/>
      <c r="AO1241" s="23"/>
      <c r="AP1241" s="23">
        <v>12</v>
      </c>
      <c r="AQ1241" s="23"/>
      <c r="AR1241" s="23"/>
      <c r="AS1241" s="23"/>
      <c r="AT1241" s="23"/>
      <c r="AU1241" s="14" t="str">
        <f>HYPERLINK("http://www.openstreetmap.org/?mlat=33.3843&amp;mlon=44.4305&amp;zoom=12#map=12/33.3843/44.4305","Maplink1")</f>
        <v>Maplink1</v>
      </c>
      <c r="AV1241" s="14" t="str">
        <f>HYPERLINK("https://www.google.iq/maps/search/+33.3843,44.4305/@33.3843,44.4305,14z?hl=en","Maplink2")</f>
        <v>Maplink2</v>
      </c>
      <c r="AW1241" s="14" t="str">
        <f>HYPERLINK("http://www.bing.com/maps/?lvl=14&amp;sty=h&amp;cp=33.3843~44.4305&amp;sp=point.33.3843_44.4305_Sadir6- Mahalla 575","Maplink3")</f>
        <v>Maplink3</v>
      </c>
    </row>
    <row r="1242" spans="1:49" ht="15" customHeight="1" x14ac:dyDescent="0.25">
      <c r="A1242" s="21">
        <v>24591</v>
      </c>
      <c r="B1242" s="22" t="s">
        <v>11</v>
      </c>
      <c r="C1242" s="22" t="s">
        <v>2309</v>
      </c>
      <c r="D1242" s="22" t="s">
        <v>8607</v>
      </c>
      <c r="E1242" s="22" t="s">
        <v>7906</v>
      </c>
      <c r="F1242" s="22">
        <v>33.378215467399997</v>
      </c>
      <c r="G1242" s="22">
        <v>44.453956368699998</v>
      </c>
      <c r="H1242" s="21" t="s">
        <v>1449</v>
      </c>
      <c r="I1242" s="21" t="s">
        <v>2310</v>
      </c>
      <c r="J1242" s="21"/>
      <c r="K1242" s="24">
        <v>29</v>
      </c>
      <c r="L1242" s="24">
        <v>174</v>
      </c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>
        <v>29</v>
      </c>
      <c r="Z1242" s="23"/>
      <c r="AA1242" s="23"/>
      <c r="AB1242" s="23"/>
      <c r="AC1242" s="23"/>
      <c r="AD1242" s="23"/>
      <c r="AE1242" s="23"/>
      <c r="AF1242" s="23">
        <v>29</v>
      </c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23">
        <v>29</v>
      </c>
      <c r="AS1242" s="23"/>
      <c r="AT1242" s="23"/>
      <c r="AU1242" s="14" t="str">
        <f>HYPERLINK("http://www.openstreetmap.org/?mlat=33.3843&amp;mlon=44.4305&amp;zoom=12#map=12/33.3843/44.4305","Maplink1")</f>
        <v>Maplink1</v>
      </c>
      <c r="AV1242" s="14" t="str">
        <f>HYPERLINK("https://www.google.iq/maps/search/+33.3843,44.4305/@33.3843,44.4305,14z?hl=en","Maplink2")</f>
        <v>Maplink2</v>
      </c>
      <c r="AW1242" s="14" t="str">
        <f>HYPERLINK("http://www.bing.com/maps/?lvl=14&amp;sty=h&amp;cp=33.3843~44.4305&amp;sp=point.33.3843_44.4305_Sadir7- Mahalla 538","Maplink3")</f>
        <v>Maplink3</v>
      </c>
    </row>
    <row r="1243" spans="1:49" ht="15" customHeight="1" x14ac:dyDescent="0.25">
      <c r="A1243" s="21">
        <v>24590</v>
      </c>
      <c r="B1243" s="22" t="s">
        <v>11</v>
      </c>
      <c r="C1243" s="22" t="s">
        <v>2309</v>
      </c>
      <c r="D1243" s="22" t="s">
        <v>8608</v>
      </c>
      <c r="E1243" s="22" t="s">
        <v>7907</v>
      </c>
      <c r="F1243" s="22">
        <v>33.396368775500001</v>
      </c>
      <c r="G1243" s="22">
        <v>44.4496569493</v>
      </c>
      <c r="H1243" s="21" t="s">
        <v>1449</v>
      </c>
      <c r="I1243" s="21" t="s">
        <v>2310</v>
      </c>
      <c r="J1243" s="21"/>
      <c r="K1243" s="24">
        <v>12</v>
      </c>
      <c r="L1243" s="24">
        <v>72</v>
      </c>
      <c r="M1243" s="23"/>
      <c r="N1243" s="23"/>
      <c r="O1243" s="23"/>
      <c r="P1243" s="23"/>
      <c r="Q1243" s="23"/>
      <c r="R1243" s="23">
        <v>12</v>
      </c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>
        <v>12</v>
      </c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23">
        <v>12</v>
      </c>
      <c r="AS1243" s="23"/>
      <c r="AT1243" s="23"/>
      <c r="AU1243" s="14" t="str">
        <f>HYPERLINK("http://www.openstreetmap.org/?mlat=33.3843&amp;mlon=44.4305&amp;zoom=12#map=12/33.3843/44.4305","Maplink1")</f>
        <v>Maplink1</v>
      </c>
      <c r="AV1243" s="14" t="str">
        <f>HYPERLINK("https://www.google.iq/maps/search/+33.3843,44.4305/@33.3843,44.4305,14z?hl=en","Maplink2")</f>
        <v>Maplink2</v>
      </c>
      <c r="AW1243" s="14" t="str">
        <f>HYPERLINK("http://www.bing.com/maps/?lvl=14&amp;sty=h&amp;cp=33.3843~44.4305&amp;sp=point.33.3843_44.4305_Sadir7- Mahalla 542","Maplink3")</f>
        <v>Maplink3</v>
      </c>
    </row>
    <row r="1244" spans="1:49" ht="15" customHeight="1" x14ac:dyDescent="0.25">
      <c r="A1244" s="21">
        <v>24589</v>
      </c>
      <c r="B1244" s="22" t="s">
        <v>11</v>
      </c>
      <c r="C1244" s="22" t="s">
        <v>2309</v>
      </c>
      <c r="D1244" s="22" t="s">
        <v>8609</v>
      </c>
      <c r="E1244" s="22" t="s">
        <v>7908</v>
      </c>
      <c r="F1244" s="22">
        <v>33.3965036488</v>
      </c>
      <c r="G1244" s="22">
        <v>44.449871895599998</v>
      </c>
      <c r="H1244" s="21" t="s">
        <v>1449</v>
      </c>
      <c r="I1244" s="21" t="s">
        <v>2310</v>
      </c>
      <c r="J1244" s="21"/>
      <c r="K1244" s="24">
        <v>10</v>
      </c>
      <c r="L1244" s="24">
        <v>60</v>
      </c>
      <c r="M1244" s="23">
        <v>4</v>
      </c>
      <c r="N1244" s="23"/>
      <c r="O1244" s="23"/>
      <c r="P1244" s="23"/>
      <c r="Q1244" s="23"/>
      <c r="R1244" s="23">
        <v>4</v>
      </c>
      <c r="S1244" s="23"/>
      <c r="T1244" s="23"/>
      <c r="U1244" s="23">
        <v>2</v>
      </c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>
        <v>10</v>
      </c>
      <c r="AL1244" s="23"/>
      <c r="AM1244" s="23"/>
      <c r="AN1244" s="23"/>
      <c r="AO1244" s="23"/>
      <c r="AP1244" s="23"/>
      <c r="AQ1244" s="23"/>
      <c r="AR1244" s="23">
        <v>6</v>
      </c>
      <c r="AS1244" s="23">
        <v>4</v>
      </c>
      <c r="AT1244" s="23"/>
      <c r="AU1244" s="14" t="str">
        <f>HYPERLINK("http://www.openstreetmap.org/?mlat=33.3843&amp;mlon=44.4305&amp;zoom=12#map=12/33.3843/44.4305","Maplink1")</f>
        <v>Maplink1</v>
      </c>
      <c r="AV1244" s="14" t="str">
        <f>HYPERLINK("https://www.google.iq/maps/search/+33.3843,44.4305/@33.3843,44.4305,14z?hl=en","Maplink2")</f>
        <v>Maplink2</v>
      </c>
      <c r="AW1244" s="14" t="str">
        <f>HYPERLINK("http://www.bing.com/maps/?lvl=14&amp;sty=h&amp;cp=33.3843~44.4305&amp;sp=point.33.3843_44.4305_Sadir7- Mahalla 544","Maplink3")</f>
        <v>Maplink3</v>
      </c>
    </row>
    <row r="1245" spans="1:49" ht="15" customHeight="1" x14ac:dyDescent="0.25">
      <c r="A1245" s="21">
        <v>24228</v>
      </c>
      <c r="B1245" s="22" t="s">
        <v>12</v>
      </c>
      <c r="C1245" s="22" t="s">
        <v>2320</v>
      </c>
      <c r="D1245" s="22" t="s">
        <v>2321</v>
      </c>
      <c r="E1245" s="22" t="s">
        <v>7909</v>
      </c>
      <c r="F1245" s="22">
        <v>30.462900000000001</v>
      </c>
      <c r="G1245" s="22">
        <v>47.907800000000002</v>
      </c>
      <c r="H1245" s="21" t="s">
        <v>2322</v>
      </c>
      <c r="I1245" s="21" t="s">
        <v>2323</v>
      </c>
      <c r="J1245" s="21" t="s">
        <v>2324</v>
      </c>
      <c r="K1245" s="24">
        <v>1</v>
      </c>
      <c r="L1245" s="24">
        <v>6</v>
      </c>
      <c r="M1245" s="23">
        <v>1</v>
      </c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>
        <v>1</v>
      </c>
      <c r="AL1245" s="23"/>
      <c r="AM1245" s="23"/>
      <c r="AN1245" s="23"/>
      <c r="AO1245" s="23"/>
      <c r="AP1245" s="23"/>
      <c r="AQ1245" s="23">
        <v>1</v>
      </c>
      <c r="AR1245" s="23"/>
      <c r="AS1245" s="23"/>
      <c r="AT1245" s="23"/>
      <c r="AU1245" s="14" t="str">
        <f>HYPERLINK("http://www.openstreetmap.org/?mlat=30.4629&amp;mlon=47.9078&amp;zoom=12#map=12/30.4629/47.9078","Maplink1")</f>
        <v>Maplink1</v>
      </c>
      <c r="AV1245" s="14" t="str">
        <f>HYPERLINK("https://www.google.iq/maps/search/+30.4629,47.9078/@30.4629,47.9078,14z?hl=en","Maplink2")</f>
        <v>Maplink2</v>
      </c>
      <c r="AW1245" s="14" t="str">
        <f>HYPERLINK("http://www.bing.com/maps/?lvl=14&amp;sty=h&amp;cp=30.4629~47.9078&amp;sp=point.30.4629_47.9078_Abo Jawzy","Maplink3")</f>
        <v>Maplink3</v>
      </c>
    </row>
    <row r="1246" spans="1:49" ht="15" customHeight="1" x14ac:dyDescent="0.25">
      <c r="A1246" s="21">
        <v>792</v>
      </c>
      <c r="B1246" s="22" t="s">
        <v>12</v>
      </c>
      <c r="C1246" s="22" t="s">
        <v>2320</v>
      </c>
      <c r="D1246" s="22" t="s">
        <v>2325</v>
      </c>
      <c r="E1246" s="22" t="s">
        <v>2326</v>
      </c>
      <c r="F1246" s="22">
        <v>30.441110999999999</v>
      </c>
      <c r="G1246" s="22">
        <v>48.011667000000003</v>
      </c>
      <c r="H1246" s="21" t="s">
        <v>2322</v>
      </c>
      <c r="I1246" s="21" t="s">
        <v>2323</v>
      </c>
      <c r="J1246" s="21" t="s">
        <v>2327</v>
      </c>
      <c r="K1246" s="24">
        <v>2</v>
      </c>
      <c r="L1246" s="24">
        <v>12</v>
      </c>
      <c r="M1246" s="23">
        <v>2</v>
      </c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>
        <v>1</v>
      </c>
      <c r="AG1246" s="23"/>
      <c r="AH1246" s="23"/>
      <c r="AI1246" s="23"/>
      <c r="AJ1246" s="23"/>
      <c r="AK1246" s="23">
        <v>1</v>
      </c>
      <c r="AL1246" s="23"/>
      <c r="AM1246" s="23"/>
      <c r="AN1246" s="23"/>
      <c r="AO1246" s="23">
        <v>2</v>
      </c>
      <c r="AP1246" s="23"/>
      <c r="AQ1246" s="23"/>
      <c r="AR1246" s="23"/>
      <c r="AS1246" s="23"/>
      <c r="AT1246" s="23"/>
      <c r="AU1246" s="14" t="str">
        <f>HYPERLINK("http://www.openstreetmap.org/?mlat=30.4411&amp;mlon=48.0117&amp;zoom=12#map=12/30.4411/48.0117","Maplink1")</f>
        <v>Maplink1</v>
      </c>
      <c r="AV1246" s="14" t="str">
        <f>HYPERLINK("https://www.google.iq/maps/search/+30.4411,48.0117/@30.4411,48.0117,14z?hl=en","Maplink2")</f>
        <v>Maplink2</v>
      </c>
      <c r="AW1246" s="14" t="str">
        <f>HYPERLINK("http://www.bing.com/maps/?lvl=14&amp;sty=h&amp;cp=30.4411~48.0117&amp;sp=point.30.4411_48.0117_Abu flos","Maplink3")</f>
        <v>Maplink3</v>
      </c>
    </row>
    <row r="1247" spans="1:49" ht="15" customHeight="1" x14ac:dyDescent="0.25">
      <c r="A1247" s="21">
        <v>25540</v>
      </c>
      <c r="B1247" s="22" t="s">
        <v>12</v>
      </c>
      <c r="C1247" s="22" t="s">
        <v>2320</v>
      </c>
      <c r="D1247" s="22" t="s">
        <v>2328</v>
      </c>
      <c r="E1247" s="22" t="s">
        <v>2329</v>
      </c>
      <c r="F1247" s="22">
        <v>30.455100000000002</v>
      </c>
      <c r="G1247" s="22">
        <v>47.964399999999998</v>
      </c>
      <c r="H1247" s="21" t="s">
        <v>2322</v>
      </c>
      <c r="I1247" s="21" t="s">
        <v>2323</v>
      </c>
      <c r="J1247" s="21"/>
      <c r="K1247" s="24">
        <v>4</v>
      </c>
      <c r="L1247" s="24">
        <v>24</v>
      </c>
      <c r="M1247" s="23">
        <v>2</v>
      </c>
      <c r="N1247" s="23"/>
      <c r="O1247" s="23">
        <v>1</v>
      </c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>
        <v>1</v>
      </c>
      <c r="AB1247" s="23"/>
      <c r="AC1247" s="23"/>
      <c r="AD1247" s="23"/>
      <c r="AE1247" s="23"/>
      <c r="AF1247" s="23">
        <v>2</v>
      </c>
      <c r="AG1247" s="23"/>
      <c r="AH1247" s="23"/>
      <c r="AI1247" s="23"/>
      <c r="AJ1247" s="23"/>
      <c r="AK1247" s="23">
        <v>2</v>
      </c>
      <c r="AL1247" s="23"/>
      <c r="AM1247" s="23"/>
      <c r="AN1247" s="23"/>
      <c r="AO1247" s="23"/>
      <c r="AP1247" s="23">
        <v>1</v>
      </c>
      <c r="AQ1247" s="23"/>
      <c r="AR1247" s="23">
        <v>3</v>
      </c>
      <c r="AS1247" s="23"/>
      <c r="AT1247" s="23"/>
      <c r="AU1247" s="14" t="str">
        <f>HYPERLINK("http://www.openstreetmap.org/?mlat=30.4551&amp;mlon=47.9644&amp;zoom=12#map=12/30.4551/47.9644","Maplink1")</f>
        <v>Maplink1</v>
      </c>
      <c r="AV1247" s="14" t="str">
        <f>HYPERLINK("https://www.google.iq/maps/search/+30.4551,47.9644/@30.4551,47.9644,14z?hl=en","Maplink2")</f>
        <v>Maplink2</v>
      </c>
      <c r="AW1247" s="14" t="str">
        <f>HYPERLINK("http://www.bing.com/maps/?lvl=14&amp;sty=h&amp;cp=30.4551~47.9644&amp;sp=point.30.4551_47.9644_Abu Kusra","Maplink3")</f>
        <v>Maplink3</v>
      </c>
    </row>
    <row r="1248" spans="1:49" ht="15" customHeight="1" x14ac:dyDescent="0.25">
      <c r="A1248" s="21">
        <v>601</v>
      </c>
      <c r="B1248" s="22" t="s">
        <v>12</v>
      </c>
      <c r="C1248" s="22" t="s">
        <v>2320</v>
      </c>
      <c r="D1248" s="22" t="s">
        <v>2330</v>
      </c>
      <c r="E1248" s="22" t="s">
        <v>2331</v>
      </c>
      <c r="F1248" s="22">
        <v>30.462778</v>
      </c>
      <c r="G1248" s="22">
        <v>47.960833000000001</v>
      </c>
      <c r="H1248" s="21" t="s">
        <v>2322</v>
      </c>
      <c r="I1248" s="21" t="s">
        <v>2323</v>
      </c>
      <c r="J1248" s="21" t="s">
        <v>2332</v>
      </c>
      <c r="K1248" s="24">
        <v>5</v>
      </c>
      <c r="L1248" s="24">
        <v>30</v>
      </c>
      <c r="M1248" s="23">
        <v>1</v>
      </c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>
        <v>4</v>
      </c>
      <c r="AB1248" s="23"/>
      <c r="AC1248" s="23"/>
      <c r="AD1248" s="23"/>
      <c r="AE1248" s="23"/>
      <c r="AF1248" s="23">
        <v>4</v>
      </c>
      <c r="AG1248" s="23"/>
      <c r="AH1248" s="23"/>
      <c r="AI1248" s="23"/>
      <c r="AJ1248" s="23"/>
      <c r="AK1248" s="23">
        <v>1</v>
      </c>
      <c r="AL1248" s="23"/>
      <c r="AM1248" s="23"/>
      <c r="AN1248" s="23"/>
      <c r="AO1248" s="23"/>
      <c r="AP1248" s="23">
        <v>4</v>
      </c>
      <c r="AQ1248" s="23"/>
      <c r="AR1248" s="23">
        <v>1</v>
      </c>
      <c r="AS1248" s="23"/>
      <c r="AT1248" s="23"/>
      <c r="AU1248" s="14" t="str">
        <f>HYPERLINK("http://www.openstreetmap.org/?mlat=30.4628&amp;mlon=47.9608&amp;zoom=12#map=12/30.4628/47.9608","Maplink1")</f>
        <v>Maplink1</v>
      </c>
      <c r="AV1248" s="14" t="str">
        <f>HYPERLINK("https://www.google.iq/maps/search/+30.4628,47.9608/@30.4628,47.9608,14z?hl=en","Maplink2")</f>
        <v>Maplink2</v>
      </c>
      <c r="AW1248" s="14" t="str">
        <f>HYPERLINK("http://www.bing.com/maps/?lvl=14&amp;sty=h&amp;cp=30.4628~47.9608&amp;sp=point.30.4628_47.9608_Abu magheera","Maplink3")</f>
        <v>Maplink3</v>
      </c>
    </row>
    <row r="1249" spans="1:49" ht="15" customHeight="1" x14ac:dyDescent="0.25">
      <c r="A1249" s="21">
        <v>25970</v>
      </c>
      <c r="B1249" s="22" t="s">
        <v>12</v>
      </c>
      <c r="C1249" s="22" t="s">
        <v>2320</v>
      </c>
      <c r="D1249" s="22" t="s">
        <v>2333</v>
      </c>
      <c r="E1249" s="22" t="s">
        <v>2334</v>
      </c>
      <c r="F1249" s="22">
        <v>30.4527</v>
      </c>
      <c r="G1249" s="22">
        <v>47.982700000000001</v>
      </c>
      <c r="H1249" s="21" t="s">
        <v>2322</v>
      </c>
      <c r="I1249" s="21" t="s">
        <v>2323</v>
      </c>
      <c r="J1249" s="21"/>
      <c r="K1249" s="24">
        <v>8</v>
      </c>
      <c r="L1249" s="24">
        <v>48</v>
      </c>
      <c r="M1249" s="23">
        <v>2</v>
      </c>
      <c r="N1249" s="23"/>
      <c r="O1249" s="23"/>
      <c r="P1249" s="23"/>
      <c r="Q1249" s="23"/>
      <c r="R1249" s="23"/>
      <c r="S1249" s="23"/>
      <c r="T1249" s="23"/>
      <c r="U1249" s="23">
        <v>1</v>
      </c>
      <c r="V1249" s="23"/>
      <c r="W1249" s="23"/>
      <c r="X1249" s="23"/>
      <c r="Y1249" s="23">
        <v>3</v>
      </c>
      <c r="Z1249" s="23"/>
      <c r="AA1249" s="23">
        <v>2</v>
      </c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>
        <v>8</v>
      </c>
      <c r="AL1249" s="23"/>
      <c r="AM1249" s="23"/>
      <c r="AN1249" s="23"/>
      <c r="AO1249" s="23"/>
      <c r="AP1249" s="23">
        <v>5</v>
      </c>
      <c r="AQ1249" s="23"/>
      <c r="AR1249" s="23">
        <v>2</v>
      </c>
      <c r="AS1249" s="23">
        <v>1</v>
      </c>
      <c r="AT1249" s="23"/>
      <c r="AU1249" s="14" t="str">
        <f>HYPERLINK("http://www.openstreetmap.org/?mlat=30.4527&amp;mlon=47.9827&amp;zoom=12#map=12/30.4527/47.9827","Maplink1")</f>
        <v>Maplink1</v>
      </c>
      <c r="AV1249" s="14" t="str">
        <f>HYPERLINK("https://www.google.iq/maps/search/+30.4527,47.9827/@30.4527,47.9827,14z?hl=en","Maplink2")</f>
        <v>Maplink2</v>
      </c>
      <c r="AW1249" s="14" t="str">
        <f>HYPERLINK("http://www.bing.com/maps/?lvl=14&amp;sty=h&amp;cp=30.4527~47.9827&amp;sp=point.30.4527_47.9827_Al Ibraheem","Maplink3")</f>
        <v>Maplink3</v>
      </c>
    </row>
    <row r="1250" spans="1:49" ht="15" customHeight="1" x14ac:dyDescent="0.25">
      <c r="A1250" s="21">
        <v>23896</v>
      </c>
      <c r="B1250" s="22" t="s">
        <v>12</v>
      </c>
      <c r="C1250" s="22" t="s">
        <v>2320</v>
      </c>
      <c r="D1250" s="22" t="s">
        <v>2335</v>
      </c>
      <c r="E1250" s="22" t="s">
        <v>2336</v>
      </c>
      <c r="F1250" s="22">
        <v>30.477699999999999</v>
      </c>
      <c r="G1250" s="22">
        <v>47.866599999999998</v>
      </c>
      <c r="H1250" s="21" t="s">
        <v>2322</v>
      </c>
      <c r="I1250" s="21" t="s">
        <v>2323</v>
      </c>
      <c r="J1250" s="21" t="s">
        <v>2337</v>
      </c>
      <c r="K1250" s="24">
        <v>2</v>
      </c>
      <c r="L1250" s="24">
        <v>12</v>
      </c>
      <c r="M1250" s="23">
        <v>2</v>
      </c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>
        <v>2</v>
      </c>
      <c r="AG1250" s="23"/>
      <c r="AH1250" s="23"/>
      <c r="AI1250" s="23"/>
      <c r="AJ1250" s="23"/>
      <c r="AK1250" s="23"/>
      <c r="AL1250" s="23"/>
      <c r="AM1250" s="23"/>
      <c r="AN1250" s="23"/>
      <c r="AO1250" s="23">
        <v>2</v>
      </c>
      <c r="AP1250" s="23"/>
      <c r="AQ1250" s="23"/>
      <c r="AR1250" s="23"/>
      <c r="AS1250" s="23"/>
      <c r="AT1250" s="23"/>
      <c r="AU1250" s="14" t="str">
        <f>HYPERLINK("http://www.openstreetmap.org/?mlat=30.4777&amp;mlon=47.8666&amp;zoom=12#map=12/30.4777/47.8666","Maplink1")</f>
        <v>Maplink1</v>
      </c>
      <c r="AV1250" s="14" t="str">
        <f>HYPERLINK("https://www.google.iq/maps/search/+30.4777,47.8666/@30.4777,47.8666,14z?hl=en","Maplink2")</f>
        <v>Maplink2</v>
      </c>
      <c r="AW1250" s="14" t="str">
        <f>HYPERLINK("http://www.bing.com/maps/?lvl=14&amp;sty=h&amp;cp=30.4777~47.8666&amp;sp=point.30.4777_47.8666_Al-Abdaliyan","Maplink3")</f>
        <v>Maplink3</v>
      </c>
    </row>
    <row r="1251" spans="1:49" ht="15" customHeight="1" x14ac:dyDescent="0.25">
      <c r="A1251" s="21">
        <v>23895</v>
      </c>
      <c r="B1251" s="22" t="s">
        <v>12</v>
      </c>
      <c r="C1251" s="22" t="s">
        <v>2320</v>
      </c>
      <c r="D1251" s="22" t="s">
        <v>2338</v>
      </c>
      <c r="E1251" s="22" t="s">
        <v>2339</v>
      </c>
      <c r="F1251" s="22">
        <v>30.433516000000001</v>
      </c>
      <c r="G1251" s="22">
        <v>47.964851000000003</v>
      </c>
      <c r="H1251" s="21" t="s">
        <v>2322</v>
      </c>
      <c r="I1251" s="21" t="s">
        <v>2323</v>
      </c>
      <c r="J1251" s="21" t="s">
        <v>2340</v>
      </c>
      <c r="K1251" s="24">
        <v>10</v>
      </c>
      <c r="L1251" s="24">
        <v>60</v>
      </c>
      <c r="M1251" s="23">
        <v>3</v>
      </c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>
        <v>3</v>
      </c>
      <c r="Z1251" s="23"/>
      <c r="AA1251" s="23">
        <v>4</v>
      </c>
      <c r="AB1251" s="23"/>
      <c r="AC1251" s="23"/>
      <c r="AD1251" s="23"/>
      <c r="AE1251" s="23"/>
      <c r="AF1251" s="23">
        <v>2</v>
      </c>
      <c r="AG1251" s="23"/>
      <c r="AH1251" s="23"/>
      <c r="AI1251" s="23"/>
      <c r="AJ1251" s="23"/>
      <c r="AK1251" s="23">
        <v>8</v>
      </c>
      <c r="AL1251" s="23"/>
      <c r="AM1251" s="23"/>
      <c r="AN1251" s="23"/>
      <c r="AO1251" s="23"/>
      <c r="AP1251" s="23">
        <v>4</v>
      </c>
      <c r="AQ1251" s="23">
        <v>4</v>
      </c>
      <c r="AR1251" s="23">
        <v>2</v>
      </c>
      <c r="AS1251" s="23"/>
      <c r="AT1251" s="23"/>
      <c r="AU1251" s="14" t="str">
        <f>HYPERLINK("http://www.openstreetmap.org/?mlat=30.4335&amp;mlon=47.9649&amp;zoom=12#map=12/30.4335/47.9649","Maplink1")</f>
        <v>Maplink1</v>
      </c>
      <c r="AV1251" s="14" t="str">
        <f>HYPERLINK("https://www.google.iq/maps/search/+30.4335,47.9649/@30.4335,47.9649,14z?hl=en","Maplink2")</f>
        <v>Maplink2</v>
      </c>
      <c r="AW1251" s="14" t="str">
        <f>HYPERLINK("http://www.bing.com/maps/?lvl=14&amp;sty=h&amp;cp=30.4335~47.9649&amp;sp=point.30.4335_47.9649_Al-Awjah","Maplink3")</f>
        <v>Maplink3</v>
      </c>
    </row>
    <row r="1252" spans="1:49" ht="15" customHeight="1" x14ac:dyDescent="0.25">
      <c r="A1252" s="21">
        <v>587</v>
      </c>
      <c r="B1252" s="22" t="s">
        <v>12</v>
      </c>
      <c r="C1252" s="22" t="s">
        <v>2320</v>
      </c>
      <c r="D1252" s="22" t="s">
        <v>2341</v>
      </c>
      <c r="E1252" s="22" t="s">
        <v>2342</v>
      </c>
      <c r="F1252" s="22">
        <v>30.458333</v>
      </c>
      <c r="G1252" s="22">
        <v>47.908332999999999</v>
      </c>
      <c r="H1252" s="21" t="s">
        <v>2322</v>
      </c>
      <c r="I1252" s="21" t="s">
        <v>2323</v>
      </c>
      <c r="J1252" s="21" t="s">
        <v>2343</v>
      </c>
      <c r="K1252" s="24">
        <v>4</v>
      </c>
      <c r="L1252" s="24">
        <v>24</v>
      </c>
      <c r="M1252" s="23"/>
      <c r="N1252" s="23"/>
      <c r="O1252" s="23"/>
      <c r="P1252" s="23"/>
      <c r="Q1252" s="23"/>
      <c r="R1252" s="23">
        <v>1</v>
      </c>
      <c r="S1252" s="23"/>
      <c r="T1252" s="23"/>
      <c r="U1252" s="23">
        <v>1</v>
      </c>
      <c r="V1252" s="23"/>
      <c r="W1252" s="23"/>
      <c r="X1252" s="23"/>
      <c r="Y1252" s="23">
        <v>1</v>
      </c>
      <c r="Z1252" s="23"/>
      <c r="AA1252" s="23">
        <v>1</v>
      </c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>
        <v>4</v>
      </c>
      <c r="AL1252" s="23"/>
      <c r="AM1252" s="23"/>
      <c r="AN1252" s="23"/>
      <c r="AO1252" s="23"/>
      <c r="AP1252" s="23">
        <v>2</v>
      </c>
      <c r="AQ1252" s="23">
        <v>1</v>
      </c>
      <c r="AR1252" s="23">
        <v>1</v>
      </c>
      <c r="AS1252" s="23"/>
      <c r="AT1252" s="23"/>
      <c r="AU1252" s="14" t="str">
        <f>HYPERLINK("http://www.openstreetmap.org/?mlat=30.4583&amp;mlon=47.9083&amp;zoom=12#map=12/30.4583/47.9083","Maplink1")</f>
        <v>Maplink1</v>
      </c>
      <c r="AV1252" s="14" t="str">
        <f>HYPERLINK("https://www.google.iq/maps/search/+30.4583,47.9083/@30.4583,47.9083,14z?hl=en","Maplink2")</f>
        <v>Maplink2</v>
      </c>
      <c r="AW1252" s="14" t="str">
        <f>HYPERLINK("http://www.bing.com/maps/?lvl=14&amp;sty=h&amp;cp=30.4583~47.9083&amp;sp=point.30.4583_47.9083_Al-bahadria","Maplink3")</f>
        <v>Maplink3</v>
      </c>
    </row>
    <row r="1253" spans="1:49" ht="15" customHeight="1" x14ac:dyDescent="0.25">
      <c r="A1253" s="21">
        <v>780</v>
      </c>
      <c r="B1253" s="22" t="s">
        <v>12</v>
      </c>
      <c r="C1253" s="22" t="s">
        <v>2320</v>
      </c>
      <c r="D1253" s="22" t="s">
        <v>2344</v>
      </c>
      <c r="E1253" s="22" t="s">
        <v>2345</v>
      </c>
      <c r="F1253" s="22">
        <v>30.4419</v>
      </c>
      <c r="G1253" s="22">
        <v>47.970799999999997</v>
      </c>
      <c r="H1253" s="21" t="s">
        <v>2322</v>
      </c>
      <c r="I1253" s="21" t="s">
        <v>2323</v>
      </c>
      <c r="J1253" s="21" t="s">
        <v>2346</v>
      </c>
      <c r="K1253" s="24">
        <v>5</v>
      </c>
      <c r="L1253" s="24">
        <v>30</v>
      </c>
      <c r="M1253" s="23">
        <v>5</v>
      </c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>
        <v>1</v>
      </c>
      <c r="AG1253" s="23"/>
      <c r="AH1253" s="23"/>
      <c r="AI1253" s="23"/>
      <c r="AJ1253" s="23"/>
      <c r="AK1253" s="23">
        <v>4</v>
      </c>
      <c r="AL1253" s="23"/>
      <c r="AM1253" s="23"/>
      <c r="AN1253" s="23"/>
      <c r="AO1253" s="23"/>
      <c r="AP1253" s="23">
        <v>4</v>
      </c>
      <c r="AQ1253" s="23"/>
      <c r="AR1253" s="23">
        <v>1</v>
      </c>
      <c r="AS1253" s="23"/>
      <c r="AT1253" s="23"/>
      <c r="AU1253" s="14" t="str">
        <f>HYPERLINK("http://www.openstreetmap.org/?mlat=30.4419&amp;mlon=47.9708&amp;zoom=12#map=12/30.4419/47.9708","Maplink1")</f>
        <v>Maplink1</v>
      </c>
      <c r="AV1253" s="14" t="str">
        <f>HYPERLINK("https://www.google.iq/maps/search/+30.4419,47.9708/@30.4419,47.9708,14z?hl=en","Maplink2")</f>
        <v>Maplink2</v>
      </c>
      <c r="AW1253" s="14" t="str">
        <f>HYPERLINK("http://www.bing.com/maps/?lvl=14&amp;sty=h&amp;cp=30.4419~47.9708&amp;sp=point.30.4419_47.9708_Al-Dhaheeria","Maplink3")</f>
        <v>Maplink3</v>
      </c>
    </row>
    <row r="1254" spans="1:49" ht="15" customHeight="1" x14ac:dyDescent="0.25">
      <c r="A1254" s="21">
        <v>820</v>
      </c>
      <c r="B1254" s="22" t="s">
        <v>12</v>
      </c>
      <c r="C1254" s="22" t="s">
        <v>2320</v>
      </c>
      <c r="D1254" s="22" t="s">
        <v>2347</v>
      </c>
      <c r="E1254" s="22" t="s">
        <v>7910</v>
      </c>
      <c r="F1254" s="22">
        <v>30.452777999999999</v>
      </c>
      <c r="G1254" s="22">
        <v>47.906666999999999</v>
      </c>
      <c r="H1254" s="21" t="s">
        <v>2322</v>
      </c>
      <c r="I1254" s="21" t="s">
        <v>2323</v>
      </c>
      <c r="J1254" s="21" t="s">
        <v>2348</v>
      </c>
      <c r="K1254" s="24">
        <v>4</v>
      </c>
      <c r="L1254" s="24">
        <v>24</v>
      </c>
      <c r="M1254" s="23">
        <v>2</v>
      </c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>
        <v>2</v>
      </c>
      <c r="Z1254" s="23"/>
      <c r="AA1254" s="23"/>
      <c r="AB1254" s="23"/>
      <c r="AC1254" s="23"/>
      <c r="AD1254" s="23"/>
      <c r="AE1254" s="23"/>
      <c r="AF1254" s="23">
        <v>1</v>
      </c>
      <c r="AG1254" s="23"/>
      <c r="AH1254" s="23"/>
      <c r="AI1254" s="23"/>
      <c r="AJ1254" s="23"/>
      <c r="AK1254" s="23">
        <v>3</v>
      </c>
      <c r="AL1254" s="23"/>
      <c r="AM1254" s="23"/>
      <c r="AN1254" s="23"/>
      <c r="AO1254" s="23"/>
      <c r="AP1254" s="23"/>
      <c r="AQ1254" s="23"/>
      <c r="AR1254" s="23">
        <v>4</v>
      </c>
      <c r="AS1254" s="23"/>
      <c r="AT1254" s="23"/>
      <c r="AU1254" s="14" t="str">
        <f>HYPERLINK("http://www.openstreetmap.org/?mlat=30.4528&amp;mlon=47.9067&amp;zoom=12#map=12/30.4528/47.9067","Maplink1")</f>
        <v>Maplink1</v>
      </c>
      <c r="AV1254" s="14" t="str">
        <f>HYPERLINK("https://www.google.iq/maps/search/+30.4528,47.9067/@30.4528,47.9067,14z?hl=en","Maplink2")</f>
        <v>Maplink2</v>
      </c>
      <c r="AW1254" s="14" t="str">
        <f>HYPERLINK("http://www.bing.com/maps/?lvl=14&amp;sty=h&amp;cp=30.4528~47.9067&amp;sp=point.30.4528_47.9067_Al-jadida","Maplink3")</f>
        <v>Maplink3</v>
      </c>
    </row>
    <row r="1255" spans="1:49" ht="15" customHeight="1" x14ac:dyDescent="0.25">
      <c r="A1255" s="21">
        <v>793</v>
      </c>
      <c r="B1255" s="22" t="s">
        <v>12</v>
      </c>
      <c r="C1255" s="22" t="s">
        <v>2320</v>
      </c>
      <c r="D1255" s="22" t="s">
        <v>2349</v>
      </c>
      <c r="E1255" s="22" t="s">
        <v>2350</v>
      </c>
      <c r="F1255" s="22">
        <v>30.442425</v>
      </c>
      <c r="G1255" s="22">
        <v>47.977074999999999</v>
      </c>
      <c r="H1255" s="21" t="s">
        <v>2322</v>
      </c>
      <c r="I1255" s="21" t="s">
        <v>2323</v>
      </c>
      <c r="J1255" s="21" t="s">
        <v>2351</v>
      </c>
      <c r="K1255" s="24">
        <v>3</v>
      </c>
      <c r="L1255" s="24">
        <v>18</v>
      </c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>
        <v>2</v>
      </c>
      <c r="Z1255" s="23"/>
      <c r="AA1255" s="23">
        <v>1</v>
      </c>
      <c r="AB1255" s="23"/>
      <c r="AC1255" s="23"/>
      <c r="AD1255" s="23"/>
      <c r="AE1255" s="23"/>
      <c r="AF1255" s="23">
        <v>1</v>
      </c>
      <c r="AG1255" s="23"/>
      <c r="AH1255" s="23"/>
      <c r="AI1255" s="23"/>
      <c r="AJ1255" s="23"/>
      <c r="AK1255" s="23">
        <v>2</v>
      </c>
      <c r="AL1255" s="23"/>
      <c r="AM1255" s="23"/>
      <c r="AN1255" s="23"/>
      <c r="AO1255" s="23"/>
      <c r="AP1255" s="23"/>
      <c r="AQ1255" s="23"/>
      <c r="AR1255" s="23"/>
      <c r="AS1255" s="23">
        <v>3</v>
      </c>
      <c r="AT1255" s="23"/>
      <c r="AU1255" s="14" t="str">
        <f>HYPERLINK("http://www.openstreetmap.org/?mlat=30.4424&amp;mlon=47.9771&amp;zoom=12#map=12/30.4424/47.9771","Maplink1")</f>
        <v>Maplink1</v>
      </c>
      <c r="AV1255" s="14" t="str">
        <f>HYPERLINK("https://www.google.iq/maps/search/+30.4424,47.9771/@30.4424,47.9771,14z?hl=en","Maplink2")</f>
        <v>Maplink2</v>
      </c>
      <c r="AW1255" s="14" t="str">
        <f>HYPERLINK("http://www.bing.com/maps/?lvl=14&amp;sty=h&amp;cp=30.4424~47.9771&amp;sp=point.30.4424_47.9771_Al-Nizelah","Maplink3")</f>
        <v>Maplink3</v>
      </c>
    </row>
    <row r="1256" spans="1:49" ht="15" customHeight="1" x14ac:dyDescent="0.25">
      <c r="A1256" s="21">
        <v>834</v>
      </c>
      <c r="B1256" s="22" t="s">
        <v>12</v>
      </c>
      <c r="C1256" s="22" t="s">
        <v>2320</v>
      </c>
      <c r="D1256" s="22" t="s">
        <v>2352</v>
      </c>
      <c r="E1256" s="22" t="s">
        <v>2353</v>
      </c>
      <c r="F1256" s="22">
        <v>30.4575</v>
      </c>
      <c r="G1256" s="22">
        <v>47.9129</v>
      </c>
      <c r="H1256" s="21" t="s">
        <v>2322</v>
      </c>
      <c r="I1256" s="21" t="s">
        <v>2323</v>
      </c>
      <c r="J1256" s="21" t="s">
        <v>2354</v>
      </c>
      <c r="K1256" s="24">
        <v>7</v>
      </c>
      <c r="L1256" s="24">
        <v>42</v>
      </c>
      <c r="M1256" s="23">
        <v>3</v>
      </c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>
        <v>1</v>
      </c>
      <c r="Z1256" s="23"/>
      <c r="AA1256" s="23">
        <v>3</v>
      </c>
      <c r="AB1256" s="23"/>
      <c r="AC1256" s="23"/>
      <c r="AD1256" s="23"/>
      <c r="AE1256" s="23"/>
      <c r="AF1256" s="23">
        <v>1</v>
      </c>
      <c r="AG1256" s="23"/>
      <c r="AH1256" s="23"/>
      <c r="AI1256" s="23"/>
      <c r="AJ1256" s="23"/>
      <c r="AK1256" s="23">
        <v>6</v>
      </c>
      <c r="AL1256" s="23"/>
      <c r="AM1256" s="23"/>
      <c r="AN1256" s="23"/>
      <c r="AO1256" s="23"/>
      <c r="AP1256" s="23">
        <v>1</v>
      </c>
      <c r="AQ1256" s="23"/>
      <c r="AR1256" s="23">
        <v>6</v>
      </c>
      <c r="AS1256" s="23"/>
      <c r="AT1256" s="23"/>
      <c r="AU1256" s="14" t="str">
        <f>HYPERLINK("http://www.openstreetmap.org/?mlat=30.4575&amp;mlon=47.9129&amp;zoom=12#map=12/30.4575/47.9129","Maplink1")</f>
        <v>Maplink1</v>
      </c>
      <c r="AV1256" s="14" t="str">
        <f>HYPERLINK("https://www.google.iq/maps/search/+30.4575,47.9129/@30.4575,47.9129,14z?hl=en","Maplink2")</f>
        <v>Maplink2</v>
      </c>
      <c r="AW1256" s="14" t="str">
        <f>HYPERLINK("http://www.bing.com/maps/?lvl=14&amp;sty=h&amp;cp=30.4575~47.9129&amp;sp=point.30.4575_47.9129_Al-romia","Maplink3")</f>
        <v>Maplink3</v>
      </c>
    </row>
    <row r="1257" spans="1:49" ht="15" customHeight="1" x14ac:dyDescent="0.25">
      <c r="A1257" s="21">
        <v>607</v>
      </c>
      <c r="B1257" s="22" t="s">
        <v>12</v>
      </c>
      <c r="C1257" s="22" t="s">
        <v>2320</v>
      </c>
      <c r="D1257" s="22" t="s">
        <v>2355</v>
      </c>
      <c r="E1257" s="22" t="s">
        <v>2356</v>
      </c>
      <c r="F1257" s="22">
        <v>30.459700000000002</v>
      </c>
      <c r="G1257" s="22">
        <v>47.913200000000003</v>
      </c>
      <c r="H1257" s="21" t="s">
        <v>2322</v>
      </c>
      <c r="I1257" s="21" t="s">
        <v>2323</v>
      </c>
      <c r="J1257" s="21" t="s">
        <v>2357</v>
      </c>
      <c r="K1257" s="24">
        <v>4</v>
      </c>
      <c r="L1257" s="24">
        <v>24</v>
      </c>
      <c r="M1257" s="23">
        <v>1</v>
      </c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>
        <v>1</v>
      </c>
      <c r="Z1257" s="23"/>
      <c r="AA1257" s="23">
        <v>2</v>
      </c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>
        <v>4</v>
      </c>
      <c r="AL1257" s="23"/>
      <c r="AM1257" s="23"/>
      <c r="AN1257" s="23"/>
      <c r="AO1257" s="23"/>
      <c r="AP1257" s="23"/>
      <c r="AQ1257" s="23">
        <v>1</v>
      </c>
      <c r="AR1257" s="23">
        <v>3</v>
      </c>
      <c r="AS1257" s="23"/>
      <c r="AT1257" s="23"/>
      <c r="AU1257" s="14" t="str">
        <f>HYPERLINK("http://www.openstreetmap.org/?mlat=30.4597&amp;mlon=47.9132&amp;zoom=12#map=12/30.4597/47.9132","Maplink1")</f>
        <v>Maplink1</v>
      </c>
      <c r="AV1257" s="14" t="str">
        <f>HYPERLINK("https://www.google.iq/maps/search/+30.4597,47.9132/@30.4597,47.9132,14z?hl=en","Maplink2")</f>
        <v>Maplink2</v>
      </c>
      <c r="AW1257" s="14" t="str">
        <f>HYPERLINK("http://www.bing.com/maps/?lvl=14&amp;sty=h&amp;cp=30.4597~47.9132&amp;sp=point.30.4597_47.9132_Al-Sankar","Maplink3")</f>
        <v>Maplink3</v>
      </c>
    </row>
    <row r="1258" spans="1:49" ht="15" customHeight="1" x14ac:dyDescent="0.25">
      <c r="A1258" s="21">
        <v>1307</v>
      </c>
      <c r="B1258" s="22" t="s">
        <v>12</v>
      </c>
      <c r="C1258" s="22" t="s">
        <v>2320</v>
      </c>
      <c r="D1258" s="22" t="s">
        <v>2358</v>
      </c>
      <c r="E1258" s="22" t="s">
        <v>2359</v>
      </c>
      <c r="F1258" s="22">
        <v>30.463200000000001</v>
      </c>
      <c r="G1258" s="22">
        <v>47.941400000000002</v>
      </c>
      <c r="H1258" s="21" t="s">
        <v>2322</v>
      </c>
      <c r="I1258" s="21" t="s">
        <v>2323</v>
      </c>
      <c r="J1258" s="21" t="s">
        <v>2360</v>
      </c>
      <c r="K1258" s="24">
        <v>7</v>
      </c>
      <c r="L1258" s="24">
        <v>42</v>
      </c>
      <c r="M1258" s="23">
        <v>6</v>
      </c>
      <c r="N1258" s="23"/>
      <c r="O1258" s="23"/>
      <c r="P1258" s="23"/>
      <c r="Q1258" s="23"/>
      <c r="R1258" s="23">
        <v>1</v>
      </c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>
        <v>4</v>
      </c>
      <c r="AG1258" s="23"/>
      <c r="AH1258" s="23"/>
      <c r="AI1258" s="23"/>
      <c r="AJ1258" s="23"/>
      <c r="AK1258" s="23">
        <v>3</v>
      </c>
      <c r="AL1258" s="23"/>
      <c r="AM1258" s="23"/>
      <c r="AN1258" s="23"/>
      <c r="AO1258" s="23"/>
      <c r="AP1258" s="23">
        <v>1</v>
      </c>
      <c r="AQ1258" s="23"/>
      <c r="AR1258" s="23">
        <v>6</v>
      </c>
      <c r="AS1258" s="23"/>
      <c r="AT1258" s="23"/>
      <c r="AU1258" s="14" t="str">
        <f>HYPERLINK("http://www.openstreetmap.org/?mlat=30.4632&amp;mlon=47.9414&amp;zoom=12#map=12/30.4632/47.9414","Maplink1")</f>
        <v>Maplink1</v>
      </c>
      <c r="AV1258" s="14" t="str">
        <f>HYPERLINK("https://www.google.iq/maps/search/+30.4632,47.9414/@30.4632,47.9414,14z?hl=en","Maplink2")</f>
        <v>Maplink2</v>
      </c>
      <c r="AW1258" s="14" t="str">
        <f>HYPERLINK("http://www.bing.com/maps/?lvl=14&amp;sty=h&amp;cp=30.4632~47.9414&amp;sp=point.30.4632_47.9414_Al-Sibiliat","Maplink3")</f>
        <v>Maplink3</v>
      </c>
    </row>
    <row r="1259" spans="1:49" ht="15" customHeight="1" x14ac:dyDescent="0.25">
      <c r="A1259" s="21">
        <v>841</v>
      </c>
      <c r="B1259" s="22" t="s">
        <v>12</v>
      </c>
      <c r="C1259" s="22" t="s">
        <v>2320</v>
      </c>
      <c r="D1259" s="22" t="s">
        <v>2361</v>
      </c>
      <c r="E1259" s="22" t="s">
        <v>2362</v>
      </c>
      <c r="F1259" s="22">
        <v>30.487221999999999</v>
      </c>
      <c r="G1259" s="22">
        <v>47.857500000000002</v>
      </c>
      <c r="H1259" s="21" t="s">
        <v>2322</v>
      </c>
      <c r="I1259" s="21" t="s">
        <v>2323</v>
      </c>
      <c r="J1259" s="21" t="s">
        <v>2363</v>
      </c>
      <c r="K1259" s="24">
        <v>10</v>
      </c>
      <c r="L1259" s="24">
        <v>60</v>
      </c>
      <c r="M1259" s="23">
        <v>5</v>
      </c>
      <c r="N1259" s="23"/>
      <c r="O1259" s="23"/>
      <c r="P1259" s="23"/>
      <c r="Q1259" s="23"/>
      <c r="R1259" s="23">
        <v>2</v>
      </c>
      <c r="S1259" s="23"/>
      <c r="T1259" s="23"/>
      <c r="U1259" s="23">
        <v>3</v>
      </c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>
        <v>8</v>
      </c>
      <c r="AG1259" s="23"/>
      <c r="AH1259" s="23"/>
      <c r="AI1259" s="23"/>
      <c r="AJ1259" s="23"/>
      <c r="AK1259" s="23">
        <v>2</v>
      </c>
      <c r="AL1259" s="23"/>
      <c r="AM1259" s="23"/>
      <c r="AN1259" s="23"/>
      <c r="AO1259" s="23">
        <v>1</v>
      </c>
      <c r="AP1259" s="23">
        <v>4</v>
      </c>
      <c r="AQ1259" s="23">
        <v>2</v>
      </c>
      <c r="AR1259" s="23">
        <v>1</v>
      </c>
      <c r="AS1259" s="23">
        <v>2</v>
      </c>
      <c r="AT1259" s="23"/>
      <c r="AU1259" s="14" t="str">
        <f>HYPERLINK("http://www.openstreetmap.org/?mlat=30.4872&amp;mlon=47.8575&amp;zoom=12#map=12/30.4872/47.8575","Maplink1")</f>
        <v>Maplink1</v>
      </c>
      <c r="AV1259" s="14" t="str">
        <f>HYPERLINK("https://www.google.iq/maps/search/+30.4872,47.8575/@30.4872,47.8575,14z?hl=en","Maplink2")</f>
        <v>Maplink2</v>
      </c>
      <c r="AW1259" s="14" t="str">
        <f>HYPERLINK("http://www.bing.com/maps/?lvl=14&amp;sty=h&amp;cp=30.4872~47.8575&amp;sp=point.30.4872_47.8575_Awaisian","Maplink3")</f>
        <v>Maplink3</v>
      </c>
    </row>
    <row r="1260" spans="1:49" ht="15" customHeight="1" x14ac:dyDescent="0.25">
      <c r="A1260" s="21">
        <v>809</v>
      </c>
      <c r="B1260" s="22" t="s">
        <v>12</v>
      </c>
      <c r="C1260" s="22" t="s">
        <v>2320</v>
      </c>
      <c r="D1260" s="22" t="s">
        <v>2364</v>
      </c>
      <c r="E1260" s="22" t="s">
        <v>2365</v>
      </c>
      <c r="F1260" s="22">
        <v>30.449166999999999</v>
      </c>
      <c r="G1260" s="22">
        <v>47.994166999999997</v>
      </c>
      <c r="H1260" s="21" t="s">
        <v>2322</v>
      </c>
      <c r="I1260" s="21" t="s">
        <v>2323</v>
      </c>
      <c r="J1260" s="21" t="s">
        <v>2366</v>
      </c>
      <c r="K1260" s="24">
        <v>6</v>
      </c>
      <c r="L1260" s="24">
        <v>36</v>
      </c>
      <c r="M1260" s="23">
        <v>2</v>
      </c>
      <c r="N1260" s="23"/>
      <c r="O1260" s="23"/>
      <c r="P1260" s="23"/>
      <c r="Q1260" s="23"/>
      <c r="R1260" s="23"/>
      <c r="S1260" s="23"/>
      <c r="T1260" s="23"/>
      <c r="U1260" s="23">
        <v>2</v>
      </c>
      <c r="V1260" s="23"/>
      <c r="W1260" s="23"/>
      <c r="X1260" s="23"/>
      <c r="Y1260" s="23">
        <v>1</v>
      </c>
      <c r="Z1260" s="23"/>
      <c r="AA1260" s="23">
        <v>1</v>
      </c>
      <c r="AB1260" s="23"/>
      <c r="AC1260" s="23"/>
      <c r="AD1260" s="23"/>
      <c r="AE1260" s="23"/>
      <c r="AF1260" s="23">
        <v>5</v>
      </c>
      <c r="AG1260" s="23"/>
      <c r="AH1260" s="23"/>
      <c r="AI1260" s="23"/>
      <c r="AJ1260" s="23"/>
      <c r="AK1260" s="23">
        <v>1</v>
      </c>
      <c r="AL1260" s="23"/>
      <c r="AM1260" s="23"/>
      <c r="AN1260" s="23"/>
      <c r="AO1260" s="23"/>
      <c r="AP1260" s="23">
        <v>4</v>
      </c>
      <c r="AQ1260" s="23"/>
      <c r="AR1260" s="23">
        <v>1</v>
      </c>
      <c r="AS1260" s="23">
        <v>1</v>
      </c>
      <c r="AT1260" s="23"/>
      <c r="AU1260" s="14" t="str">
        <f>HYPERLINK("http://www.openstreetmap.org/?mlat=30.4492&amp;mlon=47.9942&amp;zoom=12#map=12/30.4492/47.9942","Maplink1")</f>
        <v>Maplink1</v>
      </c>
      <c r="AV1260" s="14" t="str">
        <f>HYPERLINK("https://www.google.iq/maps/search/+30.4492,47.9942/@30.4492,47.9942,14z?hl=en","Maplink2")</f>
        <v>Maplink2</v>
      </c>
      <c r="AW1260" s="14" t="str">
        <f>HYPERLINK("http://www.bing.com/maps/?lvl=14&amp;sty=h&amp;cp=30.4492~47.9942&amp;sp=point.30.4492_47.9942_Bab al-dabagh","Maplink3")</f>
        <v>Maplink3</v>
      </c>
    </row>
    <row r="1261" spans="1:49" ht="15" customHeight="1" x14ac:dyDescent="0.25">
      <c r="A1261" s="21">
        <v>512</v>
      </c>
      <c r="B1261" s="22" t="s">
        <v>12</v>
      </c>
      <c r="C1261" s="22" t="s">
        <v>2320</v>
      </c>
      <c r="D1261" s="22" t="s">
        <v>2367</v>
      </c>
      <c r="E1261" s="22" t="s">
        <v>2368</v>
      </c>
      <c r="F1261" s="22">
        <v>30.46</v>
      </c>
      <c r="G1261" s="22">
        <v>47.99</v>
      </c>
      <c r="H1261" s="21" t="s">
        <v>2322</v>
      </c>
      <c r="I1261" s="21" t="s">
        <v>2323</v>
      </c>
      <c r="J1261" s="21" t="s">
        <v>2369</v>
      </c>
      <c r="K1261" s="24">
        <v>8</v>
      </c>
      <c r="L1261" s="24">
        <v>48</v>
      </c>
      <c r="M1261" s="23">
        <v>1</v>
      </c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>
        <v>1</v>
      </c>
      <c r="Z1261" s="23"/>
      <c r="AA1261" s="23">
        <v>6</v>
      </c>
      <c r="AB1261" s="23"/>
      <c r="AC1261" s="23"/>
      <c r="AD1261" s="23"/>
      <c r="AE1261" s="23"/>
      <c r="AF1261" s="23">
        <v>1</v>
      </c>
      <c r="AG1261" s="23"/>
      <c r="AH1261" s="23"/>
      <c r="AI1261" s="23"/>
      <c r="AJ1261" s="23"/>
      <c r="AK1261" s="23">
        <v>7</v>
      </c>
      <c r="AL1261" s="23"/>
      <c r="AM1261" s="23"/>
      <c r="AN1261" s="23"/>
      <c r="AO1261" s="23"/>
      <c r="AP1261" s="23">
        <v>3</v>
      </c>
      <c r="AQ1261" s="23"/>
      <c r="AR1261" s="23">
        <v>5</v>
      </c>
      <c r="AS1261" s="23"/>
      <c r="AT1261" s="23"/>
      <c r="AU1261" s="14" t="str">
        <f>HYPERLINK("http://www.openstreetmap.org/?mlat=30.46&amp;mlon=47.99&amp;zoom=12#map=12/30.46/47.99","Maplink1")</f>
        <v>Maplink1</v>
      </c>
      <c r="AV1261" s="14" t="str">
        <f>HYPERLINK("https://www.google.iq/maps/search/+30.46,47.99/@30.46,47.99,14z?hl=en","Maplink2")</f>
        <v>Maplink2</v>
      </c>
      <c r="AW1261" s="14" t="str">
        <f>HYPERLINK("http://www.bing.com/maps/?lvl=14&amp;sty=h&amp;cp=30.46~47.99&amp;sp=point.30.46_47.99_Bab midan","Maplink3")</f>
        <v>Maplink3</v>
      </c>
    </row>
    <row r="1262" spans="1:49" ht="15" customHeight="1" x14ac:dyDescent="0.25">
      <c r="A1262" s="21">
        <v>811</v>
      </c>
      <c r="B1262" s="22" t="s">
        <v>12</v>
      </c>
      <c r="C1262" s="22" t="s">
        <v>2320</v>
      </c>
      <c r="D1262" s="22" t="s">
        <v>2370</v>
      </c>
      <c r="E1262" s="22" t="s">
        <v>2371</v>
      </c>
      <c r="F1262" s="22">
        <v>30.451388999999999</v>
      </c>
      <c r="G1262" s="22">
        <v>47.996667000000002</v>
      </c>
      <c r="H1262" s="21" t="s">
        <v>2322</v>
      </c>
      <c r="I1262" s="21" t="s">
        <v>2323</v>
      </c>
      <c r="J1262" s="21" t="s">
        <v>2372</v>
      </c>
      <c r="K1262" s="24">
        <v>16</v>
      </c>
      <c r="L1262" s="24">
        <v>96</v>
      </c>
      <c r="M1262" s="23">
        <v>4</v>
      </c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>
        <v>1</v>
      </c>
      <c r="Z1262" s="23"/>
      <c r="AA1262" s="23">
        <v>11</v>
      </c>
      <c r="AB1262" s="23"/>
      <c r="AC1262" s="23"/>
      <c r="AD1262" s="23"/>
      <c r="AE1262" s="23"/>
      <c r="AF1262" s="23">
        <v>9</v>
      </c>
      <c r="AG1262" s="23"/>
      <c r="AH1262" s="23"/>
      <c r="AI1262" s="23"/>
      <c r="AJ1262" s="23"/>
      <c r="AK1262" s="23">
        <v>7</v>
      </c>
      <c r="AL1262" s="23"/>
      <c r="AM1262" s="23"/>
      <c r="AN1262" s="23"/>
      <c r="AO1262" s="23">
        <v>1</v>
      </c>
      <c r="AP1262" s="23">
        <v>5</v>
      </c>
      <c r="AQ1262" s="23">
        <v>3</v>
      </c>
      <c r="AR1262" s="23">
        <v>6</v>
      </c>
      <c r="AS1262" s="23">
        <v>1</v>
      </c>
      <c r="AT1262" s="23"/>
      <c r="AU1262" s="14" t="str">
        <f>HYPERLINK("http://www.openstreetmap.org/?mlat=30.4514&amp;mlon=47.9967&amp;zoom=12#map=12/30.4514/47.9967","Maplink1")</f>
        <v>Maplink1</v>
      </c>
      <c r="AV1262" s="14" t="str">
        <f>HYPERLINK("https://www.google.iq/maps/search/+30.4514,47.9967/@30.4514,47.9967,14z?hl=en","Maplink2")</f>
        <v>Maplink2</v>
      </c>
      <c r="AW1262" s="14" t="str">
        <f>HYPERLINK("http://www.bing.com/maps/?lvl=14&amp;sty=h&amp;cp=30.4514~47.9967&amp;sp=point.30.4514_47.9967_Bab sulaiman","Maplink3")</f>
        <v>Maplink3</v>
      </c>
    </row>
    <row r="1263" spans="1:49" ht="15" customHeight="1" x14ac:dyDescent="0.25">
      <c r="A1263" s="21">
        <v>797</v>
      </c>
      <c r="B1263" s="22" t="s">
        <v>12</v>
      </c>
      <c r="C1263" s="22" t="s">
        <v>2320</v>
      </c>
      <c r="D1263" s="22" t="s">
        <v>2373</v>
      </c>
      <c r="E1263" s="22" t="s">
        <v>2374</v>
      </c>
      <c r="F1263" s="22">
        <v>30.443611000000001</v>
      </c>
      <c r="G1263" s="22">
        <v>47.99</v>
      </c>
      <c r="H1263" s="21" t="s">
        <v>2322</v>
      </c>
      <c r="I1263" s="21" t="s">
        <v>2323</v>
      </c>
      <c r="J1263" s="21" t="s">
        <v>2375</v>
      </c>
      <c r="K1263" s="24">
        <v>4</v>
      </c>
      <c r="L1263" s="24">
        <v>24</v>
      </c>
      <c r="M1263" s="23"/>
      <c r="N1263" s="23"/>
      <c r="O1263" s="23"/>
      <c r="P1263" s="23"/>
      <c r="Q1263" s="23"/>
      <c r="R1263" s="23"/>
      <c r="S1263" s="23"/>
      <c r="T1263" s="23"/>
      <c r="U1263" s="23">
        <v>1</v>
      </c>
      <c r="V1263" s="23"/>
      <c r="W1263" s="23"/>
      <c r="X1263" s="23"/>
      <c r="Y1263" s="23"/>
      <c r="Z1263" s="23"/>
      <c r="AA1263" s="23">
        <v>3</v>
      </c>
      <c r="AB1263" s="23"/>
      <c r="AC1263" s="23"/>
      <c r="AD1263" s="23"/>
      <c r="AE1263" s="23"/>
      <c r="AF1263" s="23">
        <v>3</v>
      </c>
      <c r="AG1263" s="23"/>
      <c r="AH1263" s="23"/>
      <c r="AI1263" s="23"/>
      <c r="AJ1263" s="23"/>
      <c r="AK1263" s="23">
        <v>1</v>
      </c>
      <c r="AL1263" s="23"/>
      <c r="AM1263" s="23"/>
      <c r="AN1263" s="23"/>
      <c r="AO1263" s="23"/>
      <c r="AP1263" s="23"/>
      <c r="AQ1263" s="23"/>
      <c r="AR1263" s="23">
        <v>4</v>
      </c>
      <c r="AS1263" s="23"/>
      <c r="AT1263" s="23"/>
      <c r="AU1263" s="14" t="str">
        <f>HYPERLINK("http://www.openstreetmap.org/?mlat=30.4436&amp;mlon=47.99&amp;zoom=12#map=12/30.4436/47.99","Maplink1")</f>
        <v>Maplink1</v>
      </c>
      <c r="AV1263" s="14" t="str">
        <f>HYPERLINK("https://www.google.iq/maps/search/+30.4436,47.99/@30.4436,47.99,14z?hl=en","Maplink2")</f>
        <v>Maplink2</v>
      </c>
      <c r="AW1263" s="14" t="str">
        <f>HYPERLINK("http://www.bing.com/maps/?lvl=14&amp;sty=h&amp;cp=30.4436~47.99&amp;sp=point.30.4436_47.99_Bab taweel","Maplink3")</f>
        <v>Maplink3</v>
      </c>
    </row>
    <row r="1264" spans="1:49" ht="15" customHeight="1" x14ac:dyDescent="0.25">
      <c r="A1264" s="21">
        <v>20783</v>
      </c>
      <c r="B1264" s="22" t="s">
        <v>12</v>
      </c>
      <c r="C1264" s="22" t="s">
        <v>2320</v>
      </c>
      <c r="D1264" s="22" t="s">
        <v>2376</v>
      </c>
      <c r="E1264" s="22" t="s">
        <v>7911</v>
      </c>
      <c r="F1264" s="22">
        <v>30.453499999999998</v>
      </c>
      <c r="G1264" s="22">
        <v>47.989899999999999</v>
      </c>
      <c r="H1264" s="21" t="s">
        <v>2322</v>
      </c>
      <c r="I1264" s="21" t="s">
        <v>2323</v>
      </c>
      <c r="J1264" s="21"/>
      <c r="K1264" s="24">
        <v>6</v>
      </c>
      <c r="L1264" s="24">
        <v>36</v>
      </c>
      <c r="M1264" s="23">
        <v>3</v>
      </c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>
        <v>3</v>
      </c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>
        <v>6</v>
      </c>
      <c r="AL1264" s="23"/>
      <c r="AM1264" s="23"/>
      <c r="AN1264" s="23"/>
      <c r="AO1264" s="23">
        <v>6</v>
      </c>
      <c r="AP1264" s="23"/>
      <c r="AQ1264" s="23"/>
      <c r="AR1264" s="23"/>
      <c r="AS1264" s="23"/>
      <c r="AT1264" s="23"/>
      <c r="AU1264" s="14" t="str">
        <f>HYPERLINK("http://www.openstreetmap.org/?mlat=30.4535&amp;mlon=47.9899&amp;zoom=12#map=12/30.4535/47.9899","Maplink1")</f>
        <v>Maplink1</v>
      </c>
      <c r="AV1264" s="14" t="str">
        <f>HYPERLINK("https://www.google.iq/maps/search/+30.4535,47.9899/@30.4535,47.9899,14z?hl=en","Maplink2")</f>
        <v>Maplink2</v>
      </c>
      <c r="AW1264" s="14" t="str">
        <f>HYPERLINK("http://www.bing.com/maps/?lvl=14&amp;sty=h&amp;cp=30.4535~47.9899&amp;sp=point.30.4535_47.9899_Balad Sultan","Maplink3")</f>
        <v>Maplink3</v>
      </c>
    </row>
    <row r="1265" spans="1:49" ht="15" customHeight="1" x14ac:dyDescent="0.25">
      <c r="A1265" s="21">
        <v>24480</v>
      </c>
      <c r="B1265" s="22" t="s">
        <v>12</v>
      </c>
      <c r="C1265" s="22" t="s">
        <v>2320</v>
      </c>
      <c r="D1265" s="22" t="s">
        <v>2377</v>
      </c>
      <c r="E1265" s="22" t="s">
        <v>7912</v>
      </c>
      <c r="F1265" s="22">
        <v>30.4483</v>
      </c>
      <c r="G1265" s="22">
        <v>48.025399999999998</v>
      </c>
      <c r="H1265" s="21" t="s">
        <v>2322</v>
      </c>
      <c r="I1265" s="21" t="s">
        <v>2323</v>
      </c>
      <c r="J1265" s="21"/>
      <c r="K1265" s="24">
        <v>6</v>
      </c>
      <c r="L1265" s="24">
        <v>36</v>
      </c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>
        <v>5</v>
      </c>
      <c r="Z1265" s="23"/>
      <c r="AA1265" s="23">
        <v>1</v>
      </c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>
        <v>6</v>
      </c>
      <c r="AL1265" s="23"/>
      <c r="AM1265" s="23"/>
      <c r="AN1265" s="23"/>
      <c r="AO1265" s="23"/>
      <c r="AP1265" s="23">
        <v>1</v>
      </c>
      <c r="AQ1265" s="23">
        <v>5</v>
      </c>
      <c r="AR1265" s="23"/>
      <c r="AS1265" s="23"/>
      <c r="AT1265" s="23"/>
      <c r="AU1265" s="14" t="str">
        <f>HYPERLINK("http://www.openstreetmap.org/?mlat=30.4483&amp;mlon=48.0254&amp;zoom=12#map=12/30.4483/48.0254","Maplink1")</f>
        <v>Maplink1</v>
      </c>
      <c r="AV1265" s="14" t="str">
        <f>HYPERLINK("https://www.google.iq/maps/search/+30.4483,48.0254/@30.4483,48.0254,14z?hl=en","Maplink2")</f>
        <v>Maplink2</v>
      </c>
      <c r="AW1265" s="14" t="str">
        <f>HYPERLINK("http://www.bing.com/maps/?lvl=14&amp;sty=h&amp;cp=30.4483~48.0254&amp;sp=point.30.4483_48.0254_Door Alasmeadh","Maplink3")</f>
        <v>Maplink3</v>
      </c>
    </row>
    <row r="1266" spans="1:49" ht="15" customHeight="1" x14ac:dyDescent="0.25">
      <c r="A1266" s="21">
        <v>381</v>
      </c>
      <c r="B1266" s="22" t="s">
        <v>12</v>
      </c>
      <c r="C1266" s="22" t="s">
        <v>2320</v>
      </c>
      <c r="D1266" s="22" t="s">
        <v>2378</v>
      </c>
      <c r="E1266" s="22" t="s">
        <v>8610</v>
      </c>
      <c r="F1266" s="22">
        <v>30.456588</v>
      </c>
      <c r="G1266" s="22">
        <v>47.891674999999999</v>
      </c>
      <c r="H1266" s="21" t="s">
        <v>2322</v>
      </c>
      <c r="I1266" s="21" t="s">
        <v>2323</v>
      </c>
      <c r="J1266" s="21" t="s">
        <v>2379</v>
      </c>
      <c r="K1266" s="24">
        <v>47</v>
      </c>
      <c r="L1266" s="24">
        <v>282</v>
      </c>
      <c r="M1266" s="23">
        <v>17</v>
      </c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>
        <v>17</v>
      </c>
      <c r="Z1266" s="23"/>
      <c r="AA1266" s="23">
        <v>13</v>
      </c>
      <c r="AB1266" s="23"/>
      <c r="AC1266" s="23"/>
      <c r="AD1266" s="23"/>
      <c r="AE1266" s="23"/>
      <c r="AF1266" s="23">
        <v>12</v>
      </c>
      <c r="AG1266" s="23"/>
      <c r="AH1266" s="23"/>
      <c r="AI1266" s="23"/>
      <c r="AJ1266" s="23"/>
      <c r="AK1266" s="23">
        <v>35</v>
      </c>
      <c r="AL1266" s="23"/>
      <c r="AM1266" s="23"/>
      <c r="AN1266" s="23"/>
      <c r="AO1266" s="23"/>
      <c r="AP1266" s="23">
        <v>27</v>
      </c>
      <c r="AQ1266" s="23">
        <v>7</v>
      </c>
      <c r="AR1266" s="23">
        <v>12</v>
      </c>
      <c r="AS1266" s="23">
        <v>1</v>
      </c>
      <c r="AT1266" s="23"/>
      <c r="AU1266" s="14" t="str">
        <f>HYPERLINK("http://www.openstreetmap.org/?mlat=30.44&amp;mlon=47.9&amp;zoom=12#map=12/30.44/47.9","Maplink1")</f>
        <v>Maplink1</v>
      </c>
      <c r="AV1266" s="14" t="str">
        <f>HYPERLINK("https://www.google.iq/maps/search/+30.44,47.9/@30.44,47.9,14z?hl=en","Maplink2")</f>
        <v>Maplink2</v>
      </c>
      <c r="AW1266" s="14" t="str">
        <f>HYPERLINK("http://www.bing.com/maps/?lvl=14&amp;sty=h&amp;cp=30.44~47.9&amp;sp=point.30.44_47.9_Hamdan","Maplink3")</f>
        <v>Maplink3</v>
      </c>
    </row>
    <row r="1267" spans="1:49" ht="15" customHeight="1" x14ac:dyDescent="0.25">
      <c r="A1267" s="21">
        <v>505</v>
      </c>
      <c r="B1267" s="22" t="s">
        <v>12</v>
      </c>
      <c r="C1267" s="22" t="s">
        <v>2320</v>
      </c>
      <c r="D1267" s="22" t="s">
        <v>2380</v>
      </c>
      <c r="E1267" s="22" t="s">
        <v>2381</v>
      </c>
      <c r="F1267" s="22">
        <v>30.438055559999999</v>
      </c>
      <c r="G1267" s="22">
        <v>47.941111110000001</v>
      </c>
      <c r="H1267" s="21" t="s">
        <v>2322</v>
      </c>
      <c r="I1267" s="21" t="s">
        <v>2323</v>
      </c>
      <c r="J1267" s="21" t="s">
        <v>2382</v>
      </c>
      <c r="K1267" s="24">
        <v>16</v>
      </c>
      <c r="L1267" s="24">
        <v>96</v>
      </c>
      <c r="M1267" s="23">
        <v>6</v>
      </c>
      <c r="N1267" s="23"/>
      <c r="O1267" s="23"/>
      <c r="P1267" s="23"/>
      <c r="Q1267" s="23"/>
      <c r="R1267" s="23"/>
      <c r="S1267" s="23"/>
      <c r="T1267" s="23"/>
      <c r="U1267" s="23">
        <v>2</v>
      </c>
      <c r="V1267" s="23"/>
      <c r="W1267" s="23"/>
      <c r="X1267" s="23"/>
      <c r="Y1267" s="23">
        <v>5</v>
      </c>
      <c r="Z1267" s="23"/>
      <c r="AA1267" s="23">
        <v>3</v>
      </c>
      <c r="AB1267" s="23"/>
      <c r="AC1267" s="23"/>
      <c r="AD1267" s="23"/>
      <c r="AE1267" s="23"/>
      <c r="AF1267" s="23">
        <v>6</v>
      </c>
      <c r="AG1267" s="23"/>
      <c r="AH1267" s="23"/>
      <c r="AI1267" s="23"/>
      <c r="AJ1267" s="23"/>
      <c r="AK1267" s="23">
        <v>10</v>
      </c>
      <c r="AL1267" s="23"/>
      <c r="AM1267" s="23"/>
      <c r="AN1267" s="23"/>
      <c r="AO1267" s="23">
        <v>1</v>
      </c>
      <c r="AP1267" s="23">
        <v>10</v>
      </c>
      <c r="AQ1267" s="23">
        <v>2</v>
      </c>
      <c r="AR1267" s="23">
        <v>3</v>
      </c>
      <c r="AS1267" s="23"/>
      <c r="AT1267" s="23"/>
      <c r="AU1267" s="14" t="str">
        <f>HYPERLINK("http://www.openstreetmap.org/?mlat=30.4381&amp;mlon=47.9411&amp;zoom=12#map=12/30.4381/47.9411","Maplink1")</f>
        <v>Maplink1</v>
      </c>
      <c r="AV1267" s="14" t="str">
        <f>HYPERLINK("https://www.google.iq/maps/search/+30.4381,47.9411/@30.4381,47.9411,14z?hl=en","Maplink2")</f>
        <v>Maplink2</v>
      </c>
      <c r="AW1267" s="14" t="str">
        <f>HYPERLINK("http://www.bing.com/maps/?lvl=14&amp;sty=h&amp;cp=30.4381~47.9411&amp;sp=point.30.4381_47.9411_Hay Al Askarye","Maplink3")</f>
        <v>Maplink3</v>
      </c>
    </row>
    <row r="1268" spans="1:49" ht="15" customHeight="1" x14ac:dyDescent="0.25">
      <c r="A1268" s="21">
        <v>24158</v>
      </c>
      <c r="B1268" s="22" t="s">
        <v>12</v>
      </c>
      <c r="C1268" s="22" t="s">
        <v>2320</v>
      </c>
      <c r="D1268" s="22" t="s">
        <v>2383</v>
      </c>
      <c r="E1268" s="22" t="s">
        <v>7913</v>
      </c>
      <c r="F1268" s="22">
        <v>30.450199999999999</v>
      </c>
      <c r="G1268" s="22">
        <v>47.903799999999997</v>
      </c>
      <c r="H1268" s="21" t="s">
        <v>2322</v>
      </c>
      <c r="I1268" s="21" t="s">
        <v>2323</v>
      </c>
      <c r="J1268" s="21" t="s">
        <v>2384</v>
      </c>
      <c r="K1268" s="24">
        <v>12</v>
      </c>
      <c r="L1268" s="24">
        <v>72</v>
      </c>
      <c r="M1268" s="23">
        <v>3</v>
      </c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>
        <v>7</v>
      </c>
      <c r="Z1268" s="23"/>
      <c r="AA1268" s="23">
        <v>2</v>
      </c>
      <c r="AB1268" s="23"/>
      <c r="AC1268" s="23"/>
      <c r="AD1268" s="23"/>
      <c r="AE1268" s="23"/>
      <c r="AF1268" s="23">
        <v>4</v>
      </c>
      <c r="AG1268" s="23"/>
      <c r="AH1268" s="23"/>
      <c r="AI1268" s="23"/>
      <c r="AJ1268" s="23"/>
      <c r="AK1268" s="23">
        <v>8</v>
      </c>
      <c r="AL1268" s="23"/>
      <c r="AM1268" s="23"/>
      <c r="AN1268" s="23"/>
      <c r="AO1268" s="23">
        <v>2</v>
      </c>
      <c r="AP1268" s="23">
        <v>5</v>
      </c>
      <c r="AQ1268" s="23">
        <v>3</v>
      </c>
      <c r="AR1268" s="23">
        <v>2</v>
      </c>
      <c r="AS1268" s="23"/>
      <c r="AT1268" s="23"/>
      <c r="AU1268" s="14" t="str">
        <f>HYPERLINK("http://www.openstreetmap.org/?mlat=30.4502&amp;mlon=47.9038&amp;zoom=12#map=12/30.4502/47.9038","Maplink1")</f>
        <v>Maplink1</v>
      </c>
      <c r="AV1268" s="14" t="str">
        <f>HYPERLINK("https://www.google.iq/maps/search/+30.4502,47.9038/@30.4502,47.9038,14z?hl=en","Maplink2")</f>
        <v>Maplink2</v>
      </c>
      <c r="AW1268" s="14" t="str">
        <f>HYPERLINK("http://www.bing.com/maps/?lvl=14&amp;sty=h&amp;cp=30.4502~47.9038&amp;sp=point.30.4502_47.9038_Kut Al Solhy","Maplink3")</f>
        <v>Maplink3</v>
      </c>
    </row>
    <row r="1269" spans="1:49" ht="15" customHeight="1" x14ac:dyDescent="0.25">
      <c r="A1269" s="21">
        <v>813</v>
      </c>
      <c r="B1269" s="22" t="s">
        <v>12</v>
      </c>
      <c r="C1269" s="22" t="s">
        <v>2320</v>
      </c>
      <c r="D1269" s="22" t="s">
        <v>2385</v>
      </c>
      <c r="E1269" s="22" t="s">
        <v>2386</v>
      </c>
      <c r="F1269" s="22">
        <v>30.451944000000001</v>
      </c>
      <c r="G1269" s="22">
        <v>47.883611000000002</v>
      </c>
      <c r="H1269" s="21" t="s">
        <v>2322</v>
      </c>
      <c r="I1269" s="21" t="s">
        <v>2323</v>
      </c>
      <c r="J1269" s="21" t="s">
        <v>2387</v>
      </c>
      <c r="K1269" s="24">
        <v>5</v>
      </c>
      <c r="L1269" s="24">
        <v>30</v>
      </c>
      <c r="M1269" s="23">
        <v>1</v>
      </c>
      <c r="N1269" s="23"/>
      <c r="O1269" s="23"/>
      <c r="P1269" s="23"/>
      <c r="Q1269" s="23"/>
      <c r="R1269" s="23"/>
      <c r="S1269" s="23"/>
      <c r="T1269" s="23"/>
      <c r="U1269" s="23">
        <v>1</v>
      </c>
      <c r="V1269" s="23"/>
      <c r="W1269" s="23"/>
      <c r="X1269" s="23"/>
      <c r="Y1269" s="23">
        <v>1</v>
      </c>
      <c r="Z1269" s="23"/>
      <c r="AA1269" s="23">
        <v>2</v>
      </c>
      <c r="AB1269" s="23"/>
      <c r="AC1269" s="23"/>
      <c r="AD1269" s="23"/>
      <c r="AE1269" s="23"/>
      <c r="AF1269" s="23">
        <v>3</v>
      </c>
      <c r="AG1269" s="23"/>
      <c r="AH1269" s="23"/>
      <c r="AI1269" s="23"/>
      <c r="AJ1269" s="23"/>
      <c r="AK1269" s="23">
        <v>2</v>
      </c>
      <c r="AL1269" s="23"/>
      <c r="AM1269" s="23"/>
      <c r="AN1269" s="23"/>
      <c r="AO1269" s="23"/>
      <c r="AP1269" s="23">
        <v>2</v>
      </c>
      <c r="AQ1269" s="23">
        <v>1</v>
      </c>
      <c r="AR1269" s="23">
        <v>2</v>
      </c>
      <c r="AS1269" s="23"/>
      <c r="AT1269" s="23"/>
      <c r="AU1269" s="14" t="str">
        <f>HYPERLINK("http://www.openstreetmap.org/?mlat=30.4519&amp;mlon=47.8836&amp;zoom=12#map=12/30.4519/47.8836","Maplink1")</f>
        <v>Maplink1</v>
      </c>
      <c r="AV1269" s="14" t="str">
        <f>HYPERLINK("https://www.google.iq/maps/search/+30.4519,47.8836/@30.4519,47.8836,14z?hl=en","Maplink2")</f>
        <v>Maplink2</v>
      </c>
      <c r="AW1269" s="14" t="str">
        <f>HYPERLINK("http://www.bing.com/maps/?lvl=14&amp;sty=h&amp;cp=30.4519~47.8836&amp;sp=point.30.4519_47.8836_Kut thewainy","Maplink3")</f>
        <v>Maplink3</v>
      </c>
    </row>
    <row r="1270" spans="1:49" ht="15" customHeight="1" x14ac:dyDescent="0.25">
      <c r="A1270" s="21">
        <v>22266</v>
      </c>
      <c r="B1270" s="22" t="s">
        <v>12</v>
      </c>
      <c r="C1270" s="22" t="s">
        <v>2320</v>
      </c>
      <c r="D1270" s="22" t="s">
        <v>2388</v>
      </c>
      <c r="E1270" s="22" t="s">
        <v>2389</v>
      </c>
      <c r="F1270" s="22">
        <v>30.322900000000001</v>
      </c>
      <c r="G1270" s="22">
        <v>48.2485</v>
      </c>
      <c r="H1270" s="21" t="s">
        <v>2322</v>
      </c>
      <c r="I1270" s="21" t="s">
        <v>2323</v>
      </c>
      <c r="J1270" s="21" t="s">
        <v>2390</v>
      </c>
      <c r="K1270" s="24">
        <v>2</v>
      </c>
      <c r="L1270" s="24">
        <v>12</v>
      </c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>
        <v>2</v>
      </c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>
        <v>2</v>
      </c>
      <c r="AL1270" s="23"/>
      <c r="AM1270" s="23"/>
      <c r="AN1270" s="23"/>
      <c r="AO1270" s="23"/>
      <c r="AP1270" s="23"/>
      <c r="AQ1270" s="23"/>
      <c r="AR1270" s="23">
        <v>2</v>
      </c>
      <c r="AS1270" s="23"/>
      <c r="AT1270" s="23"/>
      <c r="AU1270" s="14" t="str">
        <f>HYPERLINK("http://www.openstreetmap.org/?mlat=30.3229&amp;mlon=48.2485&amp;zoom=12#map=12/30.3229/48.2485","Maplink1")</f>
        <v>Maplink1</v>
      </c>
      <c r="AV1270" s="14" t="str">
        <f>HYPERLINK("https://www.google.iq/maps/search/+30.3229,48.2485/@30.3229,48.2485,14z?hl=en","Maplink2")</f>
        <v>Maplink2</v>
      </c>
      <c r="AW1270" s="14" t="str">
        <f>HYPERLINK("http://www.bing.com/maps/?lvl=14&amp;sty=h&amp;cp=30.3229~48.2485&amp;sp=point.30.3229_48.2485","Maplink3")</f>
        <v>Maplink3</v>
      </c>
    </row>
    <row r="1271" spans="1:49" ht="15" customHeight="1" x14ac:dyDescent="0.25">
      <c r="A1271" s="21">
        <v>583</v>
      </c>
      <c r="B1271" s="22" t="s">
        <v>12</v>
      </c>
      <c r="C1271" s="22" t="s">
        <v>2320</v>
      </c>
      <c r="D1271" s="22" t="s">
        <v>2391</v>
      </c>
      <c r="E1271" s="22" t="s">
        <v>2392</v>
      </c>
      <c r="F1271" s="22">
        <v>30.460799999999999</v>
      </c>
      <c r="G1271" s="22">
        <v>47.926299999999998</v>
      </c>
      <c r="H1271" s="21" t="s">
        <v>2322</v>
      </c>
      <c r="I1271" s="21" t="s">
        <v>2323</v>
      </c>
      <c r="J1271" s="21" t="s">
        <v>2393</v>
      </c>
      <c r="K1271" s="24">
        <v>8</v>
      </c>
      <c r="L1271" s="24">
        <v>48</v>
      </c>
      <c r="M1271" s="23">
        <v>5</v>
      </c>
      <c r="N1271" s="23"/>
      <c r="O1271" s="23"/>
      <c r="P1271" s="23"/>
      <c r="Q1271" s="23"/>
      <c r="R1271" s="23"/>
      <c r="S1271" s="23"/>
      <c r="T1271" s="23"/>
      <c r="U1271" s="23">
        <v>3</v>
      </c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>
        <v>5</v>
      </c>
      <c r="AG1271" s="23"/>
      <c r="AH1271" s="23"/>
      <c r="AI1271" s="23"/>
      <c r="AJ1271" s="23"/>
      <c r="AK1271" s="23">
        <v>3</v>
      </c>
      <c r="AL1271" s="23"/>
      <c r="AM1271" s="23"/>
      <c r="AN1271" s="23"/>
      <c r="AO1271" s="23"/>
      <c r="AP1271" s="23">
        <v>2</v>
      </c>
      <c r="AQ1271" s="23">
        <v>3</v>
      </c>
      <c r="AR1271" s="23">
        <v>2</v>
      </c>
      <c r="AS1271" s="23">
        <v>1</v>
      </c>
      <c r="AT1271" s="23"/>
      <c r="AU1271" s="14" t="str">
        <f>HYPERLINK("http://www.openstreetmap.org/?mlat=30.4608&amp;mlon=47.9263&amp;zoom=12#map=12/30.4608/47.9263","Maplink1")</f>
        <v>Maplink1</v>
      </c>
      <c r="AV1271" s="14" t="str">
        <f>HYPERLINK("https://www.google.iq/maps/search/+30.4608,47.9263/@30.4608,47.9263,14z?hl=en","Maplink2")</f>
        <v>Maplink2</v>
      </c>
      <c r="AW1271" s="14" t="str">
        <f>HYPERLINK("http://www.bing.com/maps/?lvl=14&amp;sty=h&amp;cp=30.4608~47.9263&amp;sp=point.30.4608_47.9263_Mehila","Maplink3")</f>
        <v>Maplink3</v>
      </c>
    </row>
    <row r="1272" spans="1:49" ht="15" customHeight="1" x14ac:dyDescent="0.25">
      <c r="A1272" s="21">
        <v>24526</v>
      </c>
      <c r="B1272" s="22" t="s">
        <v>12</v>
      </c>
      <c r="C1272" s="22" t="s">
        <v>2320</v>
      </c>
      <c r="D1272" s="22" t="s">
        <v>2394</v>
      </c>
      <c r="E1272" s="22" t="s">
        <v>8611</v>
      </c>
      <c r="F1272" s="22">
        <v>30.4618</v>
      </c>
      <c r="G1272" s="22">
        <v>47.933599999999998</v>
      </c>
      <c r="H1272" s="21" t="s">
        <v>2322</v>
      </c>
      <c r="I1272" s="21" t="s">
        <v>2323</v>
      </c>
      <c r="J1272" s="21"/>
      <c r="K1272" s="24">
        <v>12</v>
      </c>
      <c r="L1272" s="24">
        <v>72</v>
      </c>
      <c r="M1272" s="23">
        <v>6</v>
      </c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>
        <v>3</v>
      </c>
      <c r="Z1272" s="23"/>
      <c r="AA1272" s="23">
        <v>3</v>
      </c>
      <c r="AB1272" s="23"/>
      <c r="AC1272" s="23"/>
      <c r="AD1272" s="23"/>
      <c r="AE1272" s="23"/>
      <c r="AF1272" s="23">
        <v>3</v>
      </c>
      <c r="AG1272" s="23"/>
      <c r="AH1272" s="23"/>
      <c r="AI1272" s="23"/>
      <c r="AJ1272" s="23"/>
      <c r="AK1272" s="23">
        <v>9</v>
      </c>
      <c r="AL1272" s="23"/>
      <c r="AM1272" s="23"/>
      <c r="AN1272" s="23"/>
      <c r="AO1272" s="23"/>
      <c r="AP1272" s="23">
        <v>4</v>
      </c>
      <c r="AQ1272" s="23">
        <v>2</v>
      </c>
      <c r="AR1272" s="23">
        <v>5</v>
      </c>
      <c r="AS1272" s="23">
        <v>1</v>
      </c>
      <c r="AT1272" s="23"/>
      <c r="AU1272" s="14" t="str">
        <f>HYPERLINK("http://www.openstreetmap.org/?mlat=30.4618&amp;mlon=47.9336&amp;zoom=12#map=12/30.4618/47.9336","Maplink1")</f>
        <v>Maplink1</v>
      </c>
      <c r="AV1272" s="14" t="str">
        <f>HYPERLINK("https://www.google.iq/maps/search/+30.4618,47.9336/@30.4618,47.9336,14z?hl=en","Maplink2")</f>
        <v>Maplink2</v>
      </c>
      <c r="AW1272" s="14" t="str">
        <f>HYPERLINK("http://www.bing.com/maps/?lvl=14&amp;sty=h&amp;cp=30.4618~47.9336&amp;sp=point.30.4618_47.9336_Mhjeran","Maplink3")</f>
        <v>Maplink3</v>
      </c>
    </row>
    <row r="1273" spans="1:49" ht="15" customHeight="1" x14ac:dyDescent="0.25">
      <c r="A1273" s="21">
        <v>27197</v>
      </c>
      <c r="B1273" s="22" t="s">
        <v>12</v>
      </c>
      <c r="C1273" s="22" t="s">
        <v>2320</v>
      </c>
      <c r="D1273" s="22" t="s">
        <v>2395</v>
      </c>
      <c r="E1273" s="22" t="s">
        <v>2396</v>
      </c>
      <c r="F1273" s="22">
        <v>30.470300000000002</v>
      </c>
      <c r="G1273" s="22">
        <v>47.868600000000001</v>
      </c>
      <c r="H1273" s="21"/>
      <c r="I1273" s="21"/>
      <c r="J1273" s="21"/>
      <c r="K1273" s="24">
        <v>6</v>
      </c>
      <c r="L1273" s="24">
        <v>36</v>
      </c>
      <c r="M1273" s="23">
        <v>5</v>
      </c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>
        <v>1</v>
      </c>
      <c r="AB1273" s="23"/>
      <c r="AC1273" s="23"/>
      <c r="AD1273" s="23"/>
      <c r="AE1273" s="23"/>
      <c r="AF1273" s="23">
        <v>5</v>
      </c>
      <c r="AG1273" s="23"/>
      <c r="AH1273" s="23"/>
      <c r="AI1273" s="23"/>
      <c r="AJ1273" s="23"/>
      <c r="AK1273" s="23">
        <v>1</v>
      </c>
      <c r="AL1273" s="23"/>
      <c r="AM1273" s="23"/>
      <c r="AN1273" s="23"/>
      <c r="AO1273" s="23"/>
      <c r="AP1273" s="23">
        <v>1</v>
      </c>
      <c r="AQ1273" s="23"/>
      <c r="AR1273" s="23">
        <v>1</v>
      </c>
      <c r="AS1273" s="23">
        <v>4</v>
      </c>
      <c r="AT1273" s="23"/>
      <c r="AU1273" s="14" t="str">
        <f>HYPERLINK("http://www.openstreetmap.org/?mlat=30.4703&amp;mlon=47.8686&amp;zoom=12#map=12/30.4703/47.8686","Maplink1")</f>
        <v>Maplink1</v>
      </c>
      <c r="AV1273" s="14" t="str">
        <f>HYPERLINK("https://www.google.iq/maps/search/+30.4703,47.8686/@30.4703,47.8686,14z?hl=en","Maplink2")</f>
        <v>Maplink2</v>
      </c>
      <c r="AW1273" s="14" t="str">
        <f>HYPERLINK("http://www.bing.com/maps/?lvl=14&amp;sty=h&amp;cp=30.4703~47.8686&amp;sp=point.30.4703_47.8686_Muhoelat al zuhair","Maplink3")</f>
        <v>Maplink3</v>
      </c>
    </row>
    <row r="1274" spans="1:49" ht="15" customHeight="1" x14ac:dyDescent="0.25">
      <c r="A1274" s="21">
        <v>599</v>
      </c>
      <c r="B1274" s="22" t="s">
        <v>12</v>
      </c>
      <c r="C1274" s="22" t="s">
        <v>2320</v>
      </c>
      <c r="D1274" s="22" t="s">
        <v>2397</v>
      </c>
      <c r="E1274" s="22" t="s">
        <v>2398</v>
      </c>
      <c r="F1274" s="22">
        <v>30.461943999999999</v>
      </c>
      <c r="G1274" s="22">
        <v>47.969166999999999</v>
      </c>
      <c r="H1274" s="21" t="s">
        <v>2322</v>
      </c>
      <c r="I1274" s="21" t="s">
        <v>2323</v>
      </c>
      <c r="J1274" s="21" t="s">
        <v>2399</v>
      </c>
      <c r="K1274" s="24">
        <v>1</v>
      </c>
      <c r="L1274" s="24">
        <v>6</v>
      </c>
      <c r="M1274" s="23">
        <v>1</v>
      </c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>
        <v>1</v>
      </c>
      <c r="AG1274" s="23"/>
      <c r="AH1274" s="23"/>
      <c r="AI1274" s="23"/>
      <c r="AJ1274" s="23"/>
      <c r="AK1274" s="23"/>
      <c r="AL1274" s="23"/>
      <c r="AM1274" s="23"/>
      <c r="AN1274" s="23"/>
      <c r="AO1274" s="23">
        <v>1</v>
      </c>
      <c r="AP1274" s="23"/>
      <c r="AQ1274" s="23"/>
      <c r="AR1274" s="23"/>
      <c r="AS1274" s="23"/>
      <c r="AT1274" s="23"/>
      <c r="AU1274" s="14" t="str">
        <f>HYPERLINK("http://www.openstreetmap.org/?mlat=30.4619&amp;mlon=47.9692&amp;zoom=12#map=12/30.4619/47.9692","Maplink1")</f>
        <v>Maplink1</v>
      </c>
      <c r="AV1274" s="14" t="str">
        <f>HYPERLINK("https://www.google.iq/maps/search/+30.4619,47.9692/@30.4619,47.9692,14z?hl=en","Maplink2")</f>
        <v>Maplink2</v>
      </c>
      <c r="AW1274" s="14" t="str">
        <f>HYPERLINK("http://www.bing.com/maps/?lvl=14&amp;sty=h&amp;cp=30.4619~47.9692&amp;sp=point.30.4619_47.9692_Nahir khuz","Maplink3")</f>
        <v>Maplink3</v>
      </c>
    </row>
    <row r="1275" spans="1:49" ht="15" customHeight="1" x14ac:dyDescent="0.25">
      <c r="A1275" s="21">
        <v>20943</v>
      </c>
      <c r="B1275" s="22" t="s">
        <v>12</v>
      </c>
      <c r="C1275" s="22" t="s">
        <v>2320</v>
      </c>
      <c r="D1275" s="22" t="s">
        <v>2400</v>
      </c>
      <c r="E1275" s="22" t="s">
        <v>2401</v>
      </c>
      <c r="F1275" s="22">
        <v>30.44805556</v>
      </c>
      <c r="G1275" s="22">
        <v>47.974444439999999</v>
      </c>
      <c r="H1275" s="21" t="s">
        <v>2322</v>
      </c>
      <c r="I1275" s="21" t="s">
        <v>2323</v>
      </c>
      <c r="J1275" s="21" t="s">
        <v>2402</v>
      </c>
      <c r="K1275" s="24">
        <v>8</v>
      </c>
      <c r="L1275" s="24">
        <v>48</v>
      </c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>
        <v>7</v>
      </c>
      <c r="Z1275" s="23"/>
      <c r="AA1275" s="23">
        <v>1</v>
      </c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>
        <v>8</v>
      </c>
      <c r="AL1275" s="23"/>
      <c r="AM1275" s="23"/>
      <c r="AN1275" s="23"/>
      <c r="AO1275" s="23"/>
      <c r="AP1275" s="23">
        <v>6</v>
      </c>
      <c r="AQ1275" s="23"/>
      <c r="AR1275" s="23">
        <v>2</v>
      </c>
      <c r="AS1275" s="23"/>
      <c r="AT1275" s="23"/>
      <c r="AU1275" s="14" t="str">
        <f>HYPERLINK("http://www.openstreetmap.org/?mlat=30.4481&amp;mlon=47.9744&amp;zoom=12#map=12/30.4481/47.9744","Maplink1")</f>
        <v>Maplink1</v>
      </c>
      <c r="AV1275" s="14" t="str">
        <f>HYPERLINK("https://www.google.iq/maps/search/+30.4481,47.9744/@30.4481,47.9744,14z?hl=en","Maplink2")</f>
        <v>Maplink2</v>
      </c>
      <c r="AW1275" s="14" t="str">
        <f>HYPERLINK("http://www.bing.com/maps/?lvl=14&amp;sty=h&amp;cp=30.4481~47.9744&amp;sp=point.30.4481_47.9744_Shaikh Ibraheem","Maplink3")</f>
        <v>Maplink3</v>
      </c>
    </row>
    <row r="1276" spans="1:49" ht="15" customHeight="1" x14ac:dyDescent="0.25">
      <c r="A1276" s="21">
        <v>622</v>
      </c>
      <c r="B1276" s="22" t="s">
        <v>12</v>
      </c>
      <c r="C1276" s="22" t="s">
        <v>2320</v>
      </c>
      <c r="D1276" s="22" t="s">
        <v>2403</v>
      </c>
      <c r="E1276" s="22" t="s">
        <v>7914</v>
      </c>
      <c r="F1276" s="22">
        <v>30.473610999999998</v>
      </c>
      <c r="G1276" s="22">
        <v>47.899721999999997</v>
      </c>
      <c r="H1276" s="21" t="s">
        <v>2322</v>
      </c>
      <c r="I1276" s="21" t="s">
        <v>2323</v>
      </c>
      <c r="J1276" s="21" t="s">
        <v>2404</v>
      </c>
      <c r="K1276" s="24">
        <v>3</v>
      </c>
      <c r="L1276" s="24">
        <v>18</v>
      </c>
      <c r="M1276" s="23">
        <v>3</v>
      </c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>
        <v>3</v>
      </c>
      <c r="AL1276" s="23"/>
      <c r="AM1276" s="23"/>
      <c r="AN1276" s="23"/>
      <c r="AO1276" s="23">
        <v>2</v>
      </c>
      <c r="AP1276" s="23"/>
      <c r="AQ1276" s="23"/>
      <c r="AR1276" s="23">
        <v>1</v>
      </c>
      <c r="AS1276" s="23"/>
      <c r="AT1276" s="23"/>
      <c r="AU1276" s="14" t="str">
        <f>HYPERLINK("http://www.openstreetmap.org/?mlat=30.4736&amp;mlon=47.8997&amp;zoom=12#map=12/30.4736/47.8997","Maplink1")</f>
        <v>Maplink1</v>
      </c>
      <c r="AV1276" s="14" t="str">
        <f>HYPERLINK("https://www.google.iq/maps/search/+30.4736,47.8997/@30.4736,47.8997,14z?hl=en","Maplink2")</f>
        <v>Maplink2</v>
      </c>
      <c r="AW1276" s="14" t="str">
        <f>HYPERLINK("http://www.bing.com/maps/?lvl=14&amp;sty=h&amp;cp=30.4736~47.8997&amp;sp=point.30.4736_47.8997_Yousifan","Maplink3")</f>
        <v>Maplink3</v>
      </c>
    </row>
    <row r="1277" spans="1:49" ht="15" customHeight="1" x14ac:dyDescent="0.25">
      <c r="A1277" s="21">
        <v>1168</v>
      </c>
      <c r="B1277" s="22" t="s">
        <v>12</v>
      </c>
      <c r="C1277" s="22" t="s">
        <v>2405</v>
      </c>
      <c r="D1277" s="22" t="s">
        <v>2406</v>
      </c>
      <c r="E1277" s="22" t="s">
        <v>2407</v>
      </c>
      <c r="F1277" s="22">
        <v>30.948899999999998</v>
      </c>
      <c r="G1277" s="22">
        <v>47.259900000000002</v>
      </c>
      <c r="H1277" s="21" t="s">
        <v>2322</v>
      </c>
      <c r="I1277" s="21" t="s">
        <v>2408</v>
      </c>
      <c r="J1277" s="21" t="s">
        <v>2409</v>
      </c>
      <c r="K1277" s="24">
        <v>34</v>
      </c>
      <c r="L1277" s="24">
        <v>204</v>
      </c>
      <c r="M1277" s="23"/>
      <c r="N1277" s="23"/>
      <c r="O1277" s="23"/>
      <c r="P1277" s="23"/>
      <c r="Q1277" s="23"/>
      <c r="R1277" s="23">
        <v>1</v>
      </c>
      <c r="S1277" s="23"/>
      <c r="T1277" s="23"/>
      <c r="U1277" s="23"/>
      <c r="V1277" s="23"/>
      <c r="W1277" s="23"/>
      <c r="X1277" s="23"/>
      <c r="Y1277" s="23">
        <v>27</v>
      </c>
      <c r="Z1277" s="23"/>
      <c r="AA1277" s="23">
        <v>6</v>
      </c>
      <c r="AB1277" s="23"/>
      <c r="AC1277" s="23"/>
      <c r="AD1277" s="23"/>
      <c r="AE1277" s="23"/>
      <c r="AF1277" s="23">
        <v>4</v>
      </c>
      <c r="AG1277" s="23"/>
      <c r="AH1277" s="23"/>
      <c r="AI1277" s="23"/>
      <c r="AJ1277" s="23">
        <v>2</v>
      </c>
      <c r="AK1277" s="23">
        <v>28</v>
      </c>
      <c r="AL1277" s="23"/>
      <c r="AM1277" s="23"/>
      <c r="AN1277" s="23"/>
      <c r="AO1277" s="23">
        <v>6</v>
      </c>
      <c r="AP1277" s="23">
        <v>1</v>
      </c>
      <c r="AQ1277" s="23">
        <v>22</v>
      </c>
      <c r="AR1277" s="23">
        <v>5</v>
      </c>
      <c r="AS1277" s="23"/>
      <c r="AT1277" s="23"/>
      <c r="AU1277" s="14" t="str">
        <f>HYPERLINK("http://www.openstreetmap.org/?mlat=30.9489&amp;mlon=47.2599&amp;zoom=12#map=12/30.9489/47.2599","Maplink1")</f>
        <v>Maplink1</v>
      </c>
      <c r="AV1277" s="14" t="str">
        <f>HYPERLINK("https://www.google.iq/maps/search/+30.9489,47.2599/@30.9489,47.2599,14z?hl=en","Maplink2")</f>
        <v>Maplink2</v>
      </c>
      <c r="AW1277" s="14" t="str">
        <f>HYPERLINK("http://www.bing.com/maps/?lvl=14&amp;sty=h&amp;cp=30.9489~47.2599&amp;sp=point.30.9489_47.2599_Abo Shaoui","Maplink3")</f>
        <v>Maplink3</v>
      </c>
    </row>
    <row r="1278" spans="1:49" ht="15" customHeight="1" x14ac:dyDescent="0.25">
      <c r="A1278" s="21">
        <v>24921</v>
      </c>
      <c r="B1278" s="22" t="s">
        <v>12</v>
      </c>
      <c r="C1278" s="22" t="s">
        <v>2405</v>
      </c>
      <c r="D1278" s="22" t="s">
        <v>2410</v>
      </c>
      <c r="E1278" s="22" t="s">
        <v>2411</v>
      </c>
      <c r="F1278" s="22">
        <v>30.9739</v>
      </c>
      <c r="G1278" s="22">
        <v>47.325299999999999</v>
      </c>
      <c r="H1278" s="21" t="s">
        <v>2322</v>
      </c>
      <c r="I1278" s="21" t="s">
        <v>2408</v>
      </c>
      <c r="J1278" s="21"/>
      <c r="K1278" s="24">
        <v>6</v>
      </c>
      <c r="L1278" s="24">
        <v>36</v>
      </c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>
        <v>6</v>
      </c>
      <c r="AB1278" s="23"/>
      <c r="AC1278" s="23"/>
      <c r="AD1278" s="23"/>
      <c r="AE1278" s="23"/>
      <c r="AF1278" s="23">
        <v>1</v>
      </c>
      <c r="AG1278" s="23"/>
      <c r="AH1278" s="23"/>
      <c r="AI1278" s="23"/>
      <c r="AJ1278" s="23"/>
      <c r="AK1278" s="23">
        <v>5</v>
      </c>
      <c r="AL1278" s="23"/>
      <c r="AM1278" s="23"/>
      <c r="AN1278" s="23"/>
      <c r="AO1278" s="23">
        <v>4</v>
      </c>
      <c r="AP1278" s="23">
        <v>2</v>
      </c>
      <c r="AQ1278" s="23"/>
      <c r="AR1278" s="23"/>
      <c r="AS1278" s="23"/>
      <c r="AT1278" s="23"/>
      <c r="AU1278" s="14" t="str">
        <f>HYPERLINK("http://www.openstreetmap.org/?mlat=30.9739&amp;mlon=47.3253&amp;zoom=12#map=12/30.9739/47.3253","Maplink1")</f>
        <v>Maplink1</v>
      </c>
      <c r="AV1278" s="14" t="str">
        <f>HYPERLINK("https://www.google.iq/maps/search/+30.9739,47.3253/@30.9739,47.3253,14z?hl=en","Maplink2")</f>
        <v>Maplink2</v>
      </c>
      <c r="AW1278" s="14" t="str">
        <f>HYPERLINK("http://www.bing.com/maps/?lvl=14&amp;sty=h&amp;cp=30.9739~47.3253&amp;sp=point.30.9739_47.3253_Al Khas","Maplink3")</f>
        <v>Maplink3</v>
      </c>
    </row>
    <row r="1279" spans="1:49" ht="15" customHeight="1" x14ac:dyDescent="0.25">
      <c r="A1279" s="21">
        <v>1202</v>
      </c>
      <c r="B1279" s="22" t="s">
        <v>12</v>
      </c>
      <c r="C1279" s="22" t="s">
        <v>2405</v>
      </c>
      <c r="D1279" s="22" t="s">
        <v>2412</v>
      </c>
      <c r="E1279" s="22" t="s">
        <v>2413</v>
      </c>
      <c r="F1279" s="22">
        <v>30.987500000000001</v>
      </c>
      <c r="G1279" s="22">
        <v>47.342799999999997</v>
      </c>
      <c r="H1279" s="21" t="s">
        <v>2322</v>
      </c>
      <c r="I1279" s="21" t="s">
        <v>2408</v>
      </c>
      <c r="J1279" s="21" t="s">
        <v>2414</v>
      </c>
      <c r="K1279" s="24">
        <v>6</v>
      </c>
      <c r="L1279" s="24">
        <v>36</v>
      </c>
      <c r="M1279" s="23">
        <v>1</v>
      </c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>
        <v>5</v>
      </c>
      <c r="Z1279" s="23"/>
      <c r="AA1279" s="23"/>
      <c r="AB1279" s="23"/>
      <c r="AC1279" s="23"/>
      <c r="AD1279" s="23"/>
      <c r="AE1279" s="23"/>
      <c r="AF1279" s="23">
        <v>2</v>
      </c>
      <c r="AG1279" s="23"/>
      <c r="AH1279" s="23"/>
      <c r="AI1279" s="23"/>
      <c r="AJ1279" s="23"/>
      <c r="AK1279" s="23">
        <v>4</v>
      </c>
      <c r="AL1279" s="23"/>
      <c r="AM1279" s="23"/>
      <c r="AN1279" s="23"/>
      <c r="AO1279" s="23">
        <v>2</v>
      </c>
      <c r="AP1279" s="23">
        <v>1</v>
      </c>
      <c r="AQ1279" s="23">
        <v>2</v>
      </c>
      <c r="AR1279" s="23"/>
      <c r="AS1279" s="23">
        <v>1</v>
      </c>
      <c r="AT1279" s="23"/>
      <c r="AU1279" s="14" t="str">
        <f>HYPERLINK("http://www.openstreetmap.org/?mlat=30.9875&amp;mlon=47.3428&amp;zoom=12#map=12/30.9875/47.3428","Maplink1")</f>
        <v>Maplink1</v>
      </c>
      <c r="AV1279" s="14" t="str">
        <f>HYPERLINK("https://www.google.iq/maps/search/+30.9875,47.3428/@30.9875,47.3428,14z?hl=en","Maplink2")</f>
        <v>Maplink2</v>
      </c>
      <c r="AW1279" s="14" t="str">
        <f>HYPERLINK("http://www.bing.com/maps/?lvl=14&amp;sty=h&amp;cp=30.9875~47.3428&amp;sp=point.30.9875_47.3428_Al-a_wijah","Maplink3")</f>
        <v>Maplink3</v>
      </c>
    </row>
    <row r="1280" spans="1:49" ht="15" customHeight="1" x14ac:dyDescent="0.25">
      <c r="A1280" s="21">
        <v>1120</v>
      </c>
      <c r="B1280" s="22" t="s">
        <v>12</v>
      </c>
      <c r="C1280" s="22" t="s">
        <v>2405</v>
      </c>
      <c r="D1280" s="22" t="s">
        <v>2415</v>
      </c>
      <c r="E1280" s="22" t="s">
        <v>2416</v>
      </c>
      <c r="F1280" s="22">
        <v>30.924721999999999</v>
      </c>
      <c r="G1280" s="22">
        <v>47.296944000000003</v>
      </c>
      <c r="H1280" s="21" t="s">
        <v>2322</v>
      </c>
      <c r="I1280" s="21" t="s">
        <v>2408</v>
      </c>
      <c r="J1280" s="21" t="s">
        <v>2417</v>
      </c>
      <c r="K1280" s="24">
        <v>2</v>
      </c>
      <c r="L1280" s="24">
        <v>12</v>
      </c>
      <c r="M1280" s="23">
        <v>1</v>
      </c>
      <c r="N1280" s="23"/>
      <c r="O1280" s="23">
        <v>1</v>
      </c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>
        <v>1</v>
      </c>
      <c r="AG1280" s="23"/>
      <c r="AH1280" s="23"/>
      <c r="AI1280" s="23"/>
      <c r="AJ1280" s="23"/>
      <c r="AK1280" s="23">
        <v>1</v>
      </c>
      <c r="AL1280" s="23"/>
      <c r="AM1280" s="23"/>
      <c r="AN1280" s="23"/>
      <c r="AO1280" s="23">
        <v>1</v>
      </c>
      <c r="AP1280" s="23"/>
      <c r="AQ1280" s="23"/>
      <c r="AR1280" s="23"/>
      <c r="AS1280" s="23">
        <v>1</v>
      </c>
      <c r="AT1280" s="23"/>
      <c r="AU1280" s="14" t="str">
        <f>HYPERLINK("http://www.openstreetmap.org/?mlat=30.9247&amp;mlon=47.2969&amp;zoom=12#map=12/30.9247/47.2969","Maplink1")</f>
        <v>Maplink1</v>
      </c>
      <c r="AV1280" s="14" t="str">
        <f>HYPERLINK("https://www.google.iq/maps/search/+30.9247,47.2969/@30.9247,47.2969,14z?hl=en","Maplink2")</f>
        <v>Maplink2</v>
      </c>
      <c r="AW1280" s="14" t="str">
        <f>HYPERLINK("http://www.bing.com/maps/?lvl=14&amp;sty=h&amp;cp=30.9247~47.2969&amp;sp=point.30.9247_47.2969_Al-rahmaniyah","Maplink3")</f>
        <v>Maplink3</v>
      </c>
    </row>
    <row r="1281" spans="1:49" ht="15" customHeight="1" x14ac:dyDescent="0.25">
      <c r="A1281" s="21">
        <v>1166</v>
      </c>
      <c r="B1281" s="22" t="s">
        <v>12</v>
      </c>
      <c r="C1281" s="22" t="s">
        <v>2405</v>
      </c>
      <c r="D1281" s="22" t="s">
        <v>2418</v>
      </c>
      <c r="E1281" s="22" t="s">
        <v>2419</v>
      </c>
      <c r="F1281" s="22">
        <v>30.954000000000001</v>
      </c>
      <c r="G1281" s="22">
        <v>47.267899999999997</v>
      </c>
      <c r="H1281" s="21" t="s">
        <v>2322</v>
      </c>
      <c r="I1281" s="21" t="s">
        <v>2408</v>
      </c>
      <c r="J1281" s="21" t="s">
        <v>2420</v>
      </c>
      <c r="K1281" s="24">
        <v>7</v>
      </c>
      <c r="L1281" s="24">
        <v>42</v>
      </c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>
        <v>1</v>
      </c>
      <c r="Z1281" s="23"/>
      <c r="AA1281" s="23">
        <v>6</v>
      </c>
      <c r="AB1281" s="23"/>
      <c r="AC1281" s="23"/>
      <c r="AD1281" s="23"/>
      <c r="AE1281" s="23"/>
      <c r="AF1281" s="23">
        <v>1</v>
      </c>
      <c r="AG1281" s="23"/>
      <c r="AH1281" s="23"/>
      <c r="AI1281" s="23"/>
      <c r="AJ1281" s="23"/>
      <c r="AK1281" s="23">
        <v>6</v>
      </c>
      <c r="AL1281" s="23"/>
      <c r="AM1281" s="23"/>
      <c r="AN1281" s="23"/>
      <c r="AO1281" s="23"/>
      <c r="AP1281" s="23"/>
      <c r="AQ1281" s="23">
        <v>1</v>
      </c>
      <c r="AR1281" s="23">
        <v>6</v>
      </c>
      <c r="AS1281" s="23"/>
      <c r="AT1281" s="23"/>
      <c r="AU1281" s="14" t="str">
        <f>HYPERLINK("http://www.openstreetmap.org/?mlat=30.954&amp;mlon=47.2679&amp;zoom=12#map=12/30.954/47.2679","Maplink1")</f>
        <v>Maplink1</v>
      </c>
      <c r="AV1281" s="14" t="str">
        <f>HYPERLINK("https://www.google.iq/maps/search/+30.954,47.2679/@30.954,47.2679,14z?hl=en","Maplink2")</f>
        <v>Maplink2</v>
      </c>
      <c r="AW1281" s="14" t="str">
        <f>HYPERLINK("http://www.bing.com/maps/?lvl=14&amp;sty=h&amp;cp=30.954~47.2679&amp;sp=point.30.954_47.2679_Al Angaa","Maplink3")</f>
        <v>Maplink3</v>
      </c>
    </row>
    <row r="1282" spans="1:49" ht="15" customHeight="1" x14ac:dyDescent="0.25">
      <c r="A1282" s="21">
        <v>1129</v>
      </c>
      <c r="B1282" s="22" t="s">
        <v>12</v>
      </c>
      <c r="C1282" s="22" t="s">
        <v>2405</v>
      </c>
      <c r="D1282" s="22" t="s">
        <v>2421</v>
      </c>
      <c r="E1282" s="22" t="s">
        <v>7915</v>
      </c>
      <c r="F1282" s="22">
        <v>30.933492000000001</v>
      </c>
      <c r="G1282" s="22">
        <v>47.280833000000001</v>
      </c>
      <c r="H1282" s="21"/>
      <c r="I1282" s="21"/>
      <c r="J1282" s="21" t="s">
        <v>2422</v>
      </c>
      <c r="K1282" s="24">
        <v>3</v>
      </c>
      <c r="L1282" s="24">
        <v>18</v>
      </c>
      <c r="M1282" s="23">
        <v>1</v>
      </c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>
        <v>2</v>
      </c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>
        <v>3</v>
      </c>
      <c r="AL1282" s="23"/>
      <c r="AM1282" s="23"/>
      <c r="AN1282" s="23"/>
      <c r="AO1282" s="23"/>
      <c r="AP1282" s="23"/>
      <c r="AQ1282" s="23"/>
      <c r="AR1282" s="23"/>
      <c r="AS1282" s="23">
        <v>2</v>
      </c>
      <c r="AT1282" s="23">
        <v>1</v>
      </c>
      <c r="AU1282" s="14" t="str">
        <f>HYPERLINK("http://www.openstreetmap.org/?mlat=30.9335&amp;mlon=47.2808&amp;zoom=12#map=12/30.9335/47.2808","Maplink1")</f>
        <v>Maplink1</v>
      </c>
      <c r="AV1282" s="14" t="str">
        <f>HYPERLINK("https://www.google.iq/maps/search/+30.9335,47.2808/@30.9335,47.2808,14z?hl=en","Maplink2")</f>
        <v>Maplink2</v>
      </c>
      <c r="AW1282" s="14" t="str">
        <f>HYPERLINK("http://www.bing.com/maps/?lvl=14&amp;sty=h&amp;cp=30.9335~47.2808&amp;sp=point.30.9335_47.2808_Alwan","Maplink3")</f>
        <v>Maplink3</v>
      </c>
    </row>
    <row r="1283" spans="1:49" ht="15" customHeight="1" x14ac:dyDescent="0.25">
      <c r="A1283" s="21">
        <v>354</v>
      </c>
      <c r="B1283" s="22" t="s">
        <v>12</v>
      </c>
      <c r="C1283" s="22" t="s">
        <v>2405</v>
      </c>
      <c r="D1283" s="22" t="s">
        <v>2423</v>
      </c>
      <c r="E1283" s="22" t="s">
        <v>2424</v>
      </c>
      <c r="F1283" s="22">
        <v>30.934699999999999</v>
      </c>
      <c r="G1283" s="22">
        <v>47.259099999999997</v>
      </c>
      <c r="H1283" s="21" t="s">
        <v>2322</v>
      </c>
      <c r="I1283" s="21" t="s">
        <v>2408</v>
      </c>
      <c r="J1283" s="21" t="s">
        <v>2425</v>
      </c>
      <c r="K1283" s="24">
        <v>1</v>
      </c>
      <c r="L1283" s="24">
        <v>6</v>
      </c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>
        <v>1</v>
      </c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>
        <v>1</v>
      </c>
      <c r="AL1283" s="23"/>
      <c r="AM1283" s="23"/>
      <c r="AN1283" s="23"/>
      <c r="AO1283" s="23"/>
      <c r="AP1283" s="23">
        <v>1</v>
      </c>
      <c r="AQ1283" s="23"/>
      <c r="AR1283" s="23"/>
      <c r="AS1283" s="23"/>
      <c r="AT1283" s="23"/>
      <c r="AU1283" s="14" t="str">
        <f>HYPERLINK("http://www.openstreetmap.org/?mlat=30.9347&amp;mlon=47.2591&amp;zoom=12#map=12/30.9347/47.2591","Maplink1")</f>
        <v>Maplink1</v>
      </c>
      <c r="AV1283" s="14" t="str">
        <f>HYPERLINK("https://www.google.iq/maps/search/+30.9347,47.2591/@30.9347,47.2591,14z?hl=en","Maplink2")</f>
        <v>Maplink2</v>
      </c>
      <c r="AW1283" s="14" t="str">
        <f>HYPERLINK("http://www.bing.com/maps/?lvl=14&amp;sty=h&amp;cp=30.9347~47.2591&amp;sp=point.30.9347_47.2591_Badran","Maplink3")</f>
        <v>Maplink3</v>
      </c>
    </row>
    <row r="1284" spans="1:49" ht="15" customHeight="1" x14ac:dyDescent="0.25">
      <c r="A1284" s="21">
        <v>1210</v>
      </c>
      <c r="B1284" s="22" t="s">
        <v>12</v>
      </c>
      <c r="C1284" s="22" t="s">
        <v>2405</v>
      </c>
      <c r="D1284" s="22" t="s">
        <v>2426</v>
      </c>
      <c r="E1284" s="22" t="s">
        <v>2427</v>
      </c>
      <c r="F1284" s="22">
        <v>30.985833</v>
      </c>
      <c r="G1284" s="22">
        <v>47.347222000000002</v>
      </c>
      <c r="H1284" s="21" t="s">
        <v>2322</v>
      </c>
      <c r="I1284" s="21" t="s">
        <v>2408</v>
      </c>
      <c r="J1284" s="21" t="s">
        <v>2428</v>
      </c>
      <c r="K1284" s="24">
        <v>2</v>
      </c>
      <c r="L1284" s="24">
        <v>12</v>
      </c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>
        <v>2</v>
      </c>
      <c r="Z1284" s="23"/>
      <c r="AA1284" s="23"/>
      <c r="AB1284" s="23"/>
      <c r="AC1284" s="23"/>
      <c r="AD1284" s="23"/>
      <c r="AE1284" s="23"/>
      <c r="AF1284" s="23">
        <v>2</v>
      </c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>
        <v>2</v>
      </c>
      <c r="AQ1284" s="23"/>
      <c r="AR1284" s="23"/>
      <c r="AS1284" s="23"/>
      <c r="AT1284" s="23"/>
      <c r="AU1284" s="14" t="str">
        <f>HYPERLINK("http://www.openstreetmap.org/?mlat=30.9858&amp;mlon=47.3472&amp;zoom=12#map=12/30.9858/47.3472","Maplink1")</f>
        <v>Maplink1</v>
      </c>
      <c r="AV1284" s="14" t="str">
        <f>HYPERLINK("https://www.google.iq/maps/search/+30.9858,47.3472/@30.9858,47.3472,14z?hl=en","Maplink2")</f>
        <v>Maplink2</v>
      </c>
      <c r="AW1284" s="14" t="str">
        <f>HYPERLINK("http://www.bing.com/maps/?lvl=14&amp;sty=h&amp;cp=30.9858~47.3472&amp;sp=point.30.9858_47.3472_Shalhat al-hajaj","Maplink3")</f>
        <v>Maplink3</v>
      </c>
    </row>
    <row r="1285" spans="1:49" ht="15" customHeight="1" x14ac:dyDescent="0.25">
      <c r="A1285" s="21">
        <v>491</v>
      </c>
      <c r="B1285" s="22" t="s">
        <v>12</v>
      </c>
      <c r="C1285" s="22" t="s">
        <v>2405</v>
      </c>
      <c r="D1285" s="22" t="s">
        <v>2429</v>
      </c>
      <c r="E1285" s="22" t="s">
        <v>2430</v>
      </c>
      <c r="F1285" s="22">
        <v>31.004318999999999</v>
      </c>
      <c r="G1285" s="22">
        <v>47.260032000000002</v>
      </c>
      <c r="H1285" s="21" t="s">
        <v>2322</v>
      </c>
      <c r="I1285" s="21" t="s">
        <v>2408</v>
      </c>
      <c r="J1285" s="21" t="s">
        <v>2431</v>
      </c>
      <c r="K1285" s="24">
        <v>5</v>
      </c>
      <c r="L1285" s="24">
        <v>30</v>
      </c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>
        <v>5</v>
      </c>
      <c r="AB1285" s="23"/>
      <c r="AC1285" s="23"/>
      <c r="AD1285" s="23"/>
      <c r="AE1285" s="23"/>
      <c r="AF1285" s="23">
        <v>1</v>
      </c>
      <c r="AG1285" s="23"/>
      <c r="AH1285" s="23"/>
      <c r="AI1285" s="23"/>
      <c r="AJ1285" s="23"/>
      <c r="AK1285" s="23">
        <v>4</v>
      </c>
      <c r="AL1285" s="23"/>
      <c r="AM1285" s="23"/>
      <c r="AN1285" s="23"/>
      <c r="AO1285" s="23">
        <v>3</v>
      </c>
      <c r="AP1285" s="23">
        <v>2</v>
      </c>
      <c r="AQ1285" s="23"/>
      <c r="AR1285" s="23"/>
      <c r="AS1285" s="23"/>
      <c r="AT1285" s="23"/>
      <c r="AU1285" s="14" t="str">
        <f>HYPERLINK("http://www.openstreetmap.org/?mlat=31.0043&amp;mlon=47.26&amp;zoom=12#map=12/31.0043/47.26","Maplink1")</f>
        <v>Maplink1</v>
      </c>
      <c r="AV1285" s="14" t="str">
        <f>HYPERLINK("https://www.google.iq/maps/search/+31.0043,47.26/@31.0043,47.26,14z?hl=en","Maplink2")</f>
        <v>Maplink2</v>
      </c>
      <c r="AW1285" s="14" t="str">
        <f>HYPERLINK("http://www.bing.com/maps/?lvl=14&amp;sty=h&amp;cp=31.0043~47.26&amp;sp=point.31.0043_47.26_Shuwayj","Maplink3")</f>
        <v>Maplink3</v>
      </c>
    </row>
    <row r="1286" spans="1:49" ht="15" customHeight="1" x14ac:dyDescent="0.25">
      <c r="A1286" s="21">
        <v>29577</v>
      </c>
      <c r="B1286" s="22" t="s">
        <v>12</v>
      </c>
      <c r="C1286" s="22" t="s">
        <v>2432</v>
      </c>
      <c r="D1286" s="22" t="s">
        <v>7508</v>
      </c>
      <c r="E1286" s="22" t="s">
        <v>7916</v>
      </c>
      <c r="F1286" s="22">
        <v>30.828610999999999</v>
      </c>
      <c r="G1286" s="22">
        <v>47.552222</v>
      </c>
      <c r="H1286" s="21" t="s">
        <v>2322</v>
      </c>
      <c r="I1286" s="21" t="s">
        <v>2433</v>
      </c>
      <c r="J1286" s="21"/>
      <c r="K1286" s="24">
        <v>2</v>
      </c>
      <c r="L1286" s="24">
        <v>12</v>
      </c>
      <c r="M1286" s="23"/>
      <c r="N1286" s="23"/>
      <c r="O1286" s="23"/>
      <c r="P1286" s="23"/>
      <c r="Q1286" s="23"/>
      <c r="R1286" s="23">
        <v>2</v>
      </c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>
        <v>2</v>
      </c>
      <c r="AL1286" s="23"/>
      <c r="AM1286" s="23"/>
      <c r="AN1286" s="23"/>
      <c r="AO1286" s="23"/>
      <c r="AP1286" s="23">
        <v>2</v>
      </c>
      <c r="AQ1286" s="23"/>
      <c r="AR1286" s="23"/>
      <c r="AS1286" s="23"/>
      <c r="AT1286" s="23"/>
      <c r="AU1286" s="14" t="str">
        <f>HYPERLINK("http://www.openstreetmap.org/?mlat=30.8286&amp;mlon=47.5522&amp;zoom=12#map=12/30.8286/47.5522","Maplink1")</f>
        <v>Maplink1</v>
      </c>
      <c r="AV1286" s="14" t="str">
        <f>HYPERLINK("https://www.google.iq/maps/search/+30.8286,47.5522/@30.8286,47.5522,14z?hl=en","Maplink2")</f>
        <v>Maplink2</v>
      </c>
      <c r="AW1286" s="14" t="str">
        <f>HYPERLINK("http://www.bing.com/maps/?lvl=14&amp;sty=h&amp;cp=30.8286~47.5522&amp;sp=point.30.8286_47.5522","Maplink3")</f>
        <v>Maplink3</v>
      </c>
    </row>
    <row r="1287" spans="1:49" ht="15" customHeight="1" x14ac:dyDescent="0.25">
      <c r="A1287" s="21">
        <v>25014</v>
      </c>
      <c r="B1287" s="22" t="s">
        <v>12</v>
      </c>
      <c r="C1287" s="22" t="s">
        <v>2432</v>
      </c>
      <c r="D1287" s="22" t="s">
        <v>2434</v>
      </c>
      <c r="E1287" s="22" t="s">
        <v>2435</v>
      </c>
      <c r="F1287" s="22">
        <v>30.7987</v>
      </c>
      <c r="G1287" s="22">
        <v>47.577500000000001</v>
      </c>
      <c r="H1287" s="21" t="s">
        <v>2322</v>
      </c>
      <c r="I1287" s="21" t="s">
        <v>2433</v>
      </c>
      <c r="J1287" s="21"/>
      <c r="K1287" s="24">
        <v>3</v>
      </c>
      <c r="L1287" s="24">
        <v>18</v>
      </c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>
        <v>3</v>
      </c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>
        <v>3</v>
      </c>
      <c r="AL1287" s="23"/>
      <c r="AM1287" s="23"/>
      <c r="AN1287" s="23"/>
      <c r="AO1287" s="23">
        <v>3</v>
      </c>
      <c r="AP1287" s="23"/>
      <c r="AQ1287" s="23"/>
      <c r="AR1287" s="23"/>
      <c r="AS1287" s="23"/>
      <c r="AT1287" s="23"/>
      <c r="AU1287" s="14" t="str">
        <f>HYPERLINK("http://www.openstreetmap.org/?mlat=30.7987&amp;mlon=47.5775&amp;zoom=12#map=12/30.7987/47.5775","Maplink1")</f>
        <v>Maplink1</v>
      </c>
      <c r="AV1287" s="14" t="str">
        <f>HYPERLINK("https://www.google.iq/maps/search/+30.7987,47.5775/@30.7987,47.5775,14z?hl=en","Maplink2")</f>
        <v>Maplink2</v>
      </c>
      <c r="AW1287" s="14" t="str">
        <f>HYPERLINK("http://www.bing.com/maps/?lvl=14&amp;sty=h&amp;cp=30.7987~47.5775&amp;sp=point.30.7987_47.5775_Al Dair-Al Zahra","Maplink3")</f>
        <v>Maplink3</v>
      </c>
    </row>
    <row r="1288" spans="1:49" ht="15" customHeight="1" x14ac:dyDescent="0.25">
      <c r="A1288" s="21">
        <v>28406</v>
      </c>
      <c r="B1288" s="22" t="s">
        <v>12</v>
      </c>
      <c r="C1288" s="22" t="s">
        <v>2432</v>
      </c>
      <c r="D1288" s="22" t="s">
        <v>7442</v>
      </c>
      <c r="E1288" s="22" t="s">
        <v>7917</v>
      </c>
      <c r="F1288" s="22">
        <v>30.720800000000001</v>
      </c>
      <c r="G1288" s="22">
        <v>47.7179</v>
      </c>
      <c r="H1288" s="21"/>
      <c r="I1288" s="21"/>
      <c r="J1288" s="21"/>
      <c r="K1288" s="24">
        <v>5</v>
      </c>
      <c r="L1288" s="24">
        <v>30</v>
      </c>
      <c r="M1288" s="23">
        <v>2</v>
      </c>
      <c r="N1288" s="23"/>
      <c r="O1288" s="23"/>
      <c r="P1288" s="23"/>
      <c r="Q1288" s="23"/>
      <c r="R1288" s="23"/>
      <c r="S1288" s="23"/>
      <c r="T1288" s="23"/>
      <c r="U1288" s="23">
        <v>2</v>
      </c>
      <c r="V1288" s="23"/>
      <c r="W1288" s="23"/>
      <c r="X1288" s="23"/>
      <c r="Y1288" s="23">
        <v>1</v>
      </c>
      <c r="Z1288" s="23"/>
      <c r="AA1288" s="23"/>
      <c r="AB1288" s="23"/>
      <c r="AC1288" s="23"/>
      <c r="AD1288" s="23"/>
      <c r="AE1288" s="23"/>
      <c r="AF1288" s="23">
        <v>2</v>
      </c>
      <c r="AG1288" s="23"/>
      <c r="AH1288" s="23"/>
      <c r="AI1288" s="23"/>
      <c r="AJ1288" s="23"/>
      <c r="AK1288" s="23">
        <v>3</v>
      </c>
      <c r="AL1288" s="23"/>
      <c r="AM1288" s="23"/>
      <c r="AN1288" s="23"/>
      <c r="AO1288" s="23">
        <v>4</v>
      </c>
      <c r="AP1288" s="23"/>
      <c r="AQ1288" s="23"/>
      <c r="AR1288" s="23"/>
      <c r="AS1288" s="23">
        <v>1</v>
      </c>
      <c r="AT1288" s="23"/>
      <c r="AU1288" s="14" t="str">
        <f>HYPERLINK("http://www.openstreetmap.org/?mlat=30.7208&amp;mlon=47.7179&amp;zoom=12#map=12/30.7208/47.7179","Maplink1")</f>
        <v>Maplink1</v>
      </c>
      <c r="AV1288" s="14" t="str">
        <f>HYPERLINK("https://www.google.iq/maps/search/+30.7208,47.7179/@30.7208,47.7179,14z?hl=en","Maplink2")</f>
        <v>Maplink2</v>
      </c>
      <c r="AW1288" s="14" t="str">
        <f>HYPERLINK("http://www.bing.com/maps/?lvl=14&amp;sty=h&amp;cp=30.7208~47.7179&amp;sp=point.30.7208_47.7179_Al Angaa","Maplink3")</f>
        <v>Maplink3</v>
      </c>
    </row>
    <row r="1289" spans="1:49" ht="15" customHeight="1" x14ac:dyDescent="0.25">
      <c r="A1289" s="21">
        <v>25012</v>
      </c>
      <c r="B1289" s="22" t="s">
        <v>12</v>
      </c>
      <c r="C1289" s="22" t="s">
        <v>2432</v>
      </c>
      <c r="D1289" s="22" t="s">
        <v>2436</v>
      </c>
      <c r="E1289" s="22" t="s">
        <v>2437</v>
      </c>
      <c r="F1289" s="22">
        <v>30.977</v>
      </c>
      <c r="G1289" s="22">
        <v>47.452399999999997</v>
      </c>
      <c r="H1289" s="21" t="s">
        <v>2322</v>
      </c>
      <c r="I1289" s="21" t="s">
        <v>2433</v>
      </c>
      <c r="J1289" s="21"/>
      <c r="K1289" s="24">
        <v>7</v>
      </c>
      <c r="L1289" s="24">
        <v>42</v>
      </c>
      <c r="M1289" s="23">
        <v>1</v>
      </c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>
        <v>6</v>
      </c>
      <c r="AB1289" s="23"/>
      <c r="AC1289" s="23"/>
      <c r="AD1289" s="23"/>
      <c r="AE1289" s="23"/>
      <c r="AF1289" s="23">
        <v>5</v>
      </c>
      <c r="AG1289" s="23"/>
      <c r="AH1289" s="23"/>
      <c r="AI1289" s="23"/>
      <c r="AJ1289" s="23"/>
      <c r="AK1289" s="23">
        <v>2</v>
      </c>
      <c r="AL1289" s="23"/>
      <c r="AM1289" s="23"/>
      <c r="AN1289" s="23"/>
      <c r="AO1289" s="23"/>
      <c r="AP1289" s="23">
        <v>3</v>
      </c>
      <c r="AQ1289" s="23">
        <v>4</v>
      </c>
      <c r="AR1289" s="23"/>
      <c r="AS1289" s="23"/>
      <c r="AT1289" s="23"/>
      <c r="AU1289" s="14" t="str">
        <f>HYPERLINK("http://www.openstreetmap.org/?mlat=30.977&amp;mlon=47.4524&amp;zoom=12#map=12/30.977/47.4524","Maplink1")</f>
        <v>Maplink1</v>
      </c>
      <c r="AV1289" s="14" t="str">
        <f>HYPERLINK("https://www.google.iq/maps/search/+30.977,47.4524/@30.977,47.4524,14z?hl=en","Maplink2")</f>
        <v>Maplink2</v>
      </c>
      <c r="AW1289" s="14" t="str">
        <f>HYPERLINK("http://www.bing.com/maps/?lvl=14&amp;sty=h&amp;cp=30.977~47.4524&amp;sp=point.30.977_47.4524_Al Jelaa","Maplink3")</f>
        <v>Maplink3</v>
      </c>
    </row>
    <row r="1290" spans="1:49" ht="15" customHeight="1" x14ac:dyDescent="0.25">
      <c r="A1290" s="21">
        <v>24625</v>
      </c>
      <c r="B1290" s="22" t="s">
        <v>12</v>
      </c>
      <c r="C1290" s="22" t="s">
        <v>2432</v>
      </c>
      <c r="D1290" s="22" t="s">
        <v>2438</v>
      </c>
      <c r="E1290" s="22" t="s">
        <v>7918</v>
      </c>
      <c r="F1290" s="22">
        <v>30.993300000000001</v>
      </c>
      <c r="G1290" s="22">
        <v>47.427700000000002</v>
      </c>
      <c r="H1290" s="21" t="s">
        <v>2322</v>
      </c>
      <c r="I1290" s="21" t="s">
        <v>2433</v>
      </c>
      <c r="J1290" s="21"/>
      <c r="K1290" s="24">
        <v>5</v>
      </c>
      <c r="L1290" s="24">
        <v>30</v>
      </c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>
        <v>5</v>
      </c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>
        <v>5</v>
      </c>
      <c r="AL1290" s="23"/>
      <c r="AM1290" s="23"/>
      <c r="AN1290" s="23"/>
      <c r="AO1290" s="23"/>
      <c r="AP1290" s="23"/>
      <c r="AQ1290" s="23">
        <v>5</v>
      </c>
      <c r="AR1290" s="23"/>
      <c r="AS1290" s="23"/>
      <c r="AT1290" s="23"/>
      <c r="AU1290" s="14" t="str">
        <f>HYPERLINK("http://www.openstreetmap.org/?mlat=30.9933&amp;mlon=47.4277&amp;zoom=12#map=12/30.9933/47.4277","Maplink1")</f>
        <v>Maplink1</v>
      </c>
      <c r="AV1290" s="14" t="str">
        <f>HYPERLINK("https://www.google.iq/maps/search/+30.9933,47.4277/@30.9933,47.4277,14z?hl=en","Maplink2")</f>
        <v>Maplink2</v>
      </c>
      <c r="AW1290" s="14" t="str">
        <f>HYPERLINK("http://www.bing.com/maps/?lvl=14&amp;sty=h&amp;cp=30.9933~47.4277&amp;sp=point.30.9933_47.4277_Al Sharsh Al Hamdawy","Maplink3")</f>
        <v>Maplink3</v>
      </c>
    </row>
    <row r="1291" spans="1:49" ht="15" customHeight="1" x14ac:dyDescent="0.25">
      <c r="A1291" s="21">
        <v>28407</v>
      </c>
      <c r="B1291" s="22" t="s">
        <v>12</v>
      </c>
      <c r="C1291" s="22" t="s">
        <v>2432</v>
      </c>
      <c r="D1291" s="22" t="s">
        <v>7443</v>
      </c>
      <c r="E1291" s="22" t="s">
        <v>7919</v>
      </c>
      <c r="F1291" s="22">
        <v>30.980599999999999</v>
      </c>
      <c r="G1291" s="22">
        <v>47.446199999999997</v>
      </c>
      <c r="H1291" s="21"/>
      <c r="I1291" s="21"/>
      <c r="J1291" s="21"/>
      <c r="K1291" s="24">
        <v>11</v>
      </c>
      <c r="L1291" s="24">
        <v>66</v>
      </c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>
        <v>6</v>
      </c>
      <c r="Z1291" s="23"/>
      <c r="AA1291" s="23">
        <v>5</v>
      </c>
      <c r="AB1291" s="23"/>
      <c r="AC1291" s="23"/>
      <c r="AD1291" s="23"/>
      <c r="AE1291" s="23"/>
      <c r="AF1291" s="23">
        <v>3</v>
      </c>
      <c r="AG1291" s="23"/>
      <c r="AH1291" s="23"/>
      <c r="AI1291" s="23"/>
      <c r="AJ1291" s="23"/>
      <c r="AK1291" s="23">
        <v>8</v>
      </c>
      <c r="AL1291" s="23"/>
      <c r="AM1291" s="23"/>
      <c r="AN1291" s="23"/>
      <c r="AO1291" s="23">
        <v>2</v>
      </c>
      <c r="AP1291" s="23">
        <v>3</v>
      </c>
      <c r="AQ1291" s="23">
        <v>6</v>
      </c>
      <c r="AR1291" s="23"/>
      <c r="AS1291" s="23"/>
      <c r="AT1291" s="23"/>
      <c r="AU1291" s="14" t="str">
        <f>HYPERLINK("http://www.openstreetmap.org/?mlat=30.9806&amp;mlon=47.4462&amp;zoom=12#map=12/30.9806/47.4462","Maplink1")</f>
        <v>Maplink1</v>
      </c>
      <c r="AV1291" s="14" t="str">
        <f>HYPERLINK("https://www.google.iq/maps/search/+30.9806,47.4462/@30.9806,47.4462,14z?hl=en","Maplink2")</f>
        <v>Maplink2</v>
      </c>
      <c r="AW1291" s="14" t="str">
        <f>HYPERLINK("http://www.bing.com/maps/?lvl=14&amp;sty=h&amp;cp=30.9806~47.4462&amp;sp=point.30.9806_47.4462_Al Angaa","Maplink3")</f>
        <v>Maplink3</v>
      </c>
    </row>
    <row r="1292" spans="1:49" ht="15" customHeight="1" x14ac:dyDescent="0.25">
      <c r="A1292" s="21">
        <v>1251</v>
      </c>
      <c r="B1292" s="22" t="s">
        <v>12</v>
      </c>
      <c r="C1292" s="22" t="s">
        <v>2432</v>
      </c>
      <c r="D1292" s="22" t="s">
        <v>2439</v>
      </c>
      <c r="E1292" s="22" t="s">
        <v>2440</v>
      </c>
      <c r="F1292" s="22">
        <v>31.1206</v>
      </c>
      <c r="G1292" s="22">
        <v>47.428699999999999</v>
      </c>
      <c r="H1292" s="21" t="s">
        <v>2322</v>
      </c>
      <c r="I1292" s="21" t="s">
        <v>2433</v>
      </c>
      <c r="J1292" s="21" t="s">
        <v>2441</v>
      </c>
      <c r="K1292" s="24">
        <v>4</v>
      </c>
      <c r="L1292" s="24">
        <v>24</v>
      </c>
      <c r="M1292" s="23"/>
      <c r="N1292" s="23">
        <v>4</v>
      </c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  <c r="AA1292" s="23"/>
      <c r="AB1292" s="23"/>
      <c r="AC1292" s="23"/>
      <c r="AD1292" s="23"/>
      <c r="AE1292" s="23"/>
      <c r="AF1292" s="23"/>
      <c r="AG1292" s="23"/>
      <c r="AH1292" s="23">
        <v>4</v>
      </c>
      <c r="AI1292" s="23"/>
      <c r="AJ1292" s="23"/>
      <c r="AK1292" s="23"/>
      <c r="AL1292" s="23"/>
      <c r="AM1292" s="23"/>
      <c r="AN1292" s="23"/>
      <c r="AO1292" s="23"/>
      <c r="AP1292" s="23"/>
      <c r="AQ1292" s="23">
        <v>4</v>
      </c>
      <c r="AR1292" s="23"/>
      <c r="AS1292" s="23"/>
      <c r="AT1292" s="23"/>
      <c r="AU1292" s="14" t="str">
        <f>HYPERLINK("http://www.openstreetmap.org/?mlat=31.1206&amp;mlon=47.4287&amp;zoom=12#map=12/31.1206/47.4287","Maplink1")</f>
        <v>Maplink1</v>
      </c>
      <c r="AV1292" s="14" t="str">
        <f>HYPERLINK("https://www.google.iq/maps/search/+31.1206,47.4287/@31.1206,47.4287,14z?hl=en","Maplink2")</f>
        <v>Maplink2</v>
      </c>
      <c r="AW1292" s="14" t="str">
        <f>HYPERLINK("http://www.bing.com/maps/?lvl=14&amp;sty=h&amp;cp=31.1206~47.4287&amp;sp=point.31.1206_47.4287_Al Thagar-Al-Nekhelat","Maplink3")</f>
        <v>Maplink3</v>
      </c>
    </row>
    <row r="1293" spans="1:49" ht="15" customHeight="1" x14ac:dyDescent="0.25">
      <c r="A1293" s="21">
        <v>25013</v>
      </c>
      <c r="B1293" s="22" t="s">
        <v>12</v>
      </c>
      <c r="C1293" s="22" t="s">
        <v>2432</v>
      </c>
      <c r="D1293" s="22" t="s">
        <v>2442</v>
      </c>
      <c r="E1293" s="22" t="s">
        <v>2443</v>
      </c>
      <c r="F1293" s="22">
        <v>30.800699999999999</v>
      </c>
      <c r="G1293" s="22">
        <v>47.581400000000002</v>
      </c>
      <c r="H1293" s="21" t="s">
        <v>2322</v>
      </c>
      <c r="I1293" s="21" t="s">
        <v>2433</v>
      </c>
      <c r="J1293" s="21"/>
      <c r="K1293" s="24">
        <v>5</v>
      </c>
      <c r="L1293" s="24">
        <v>30</v>
      </c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>
        <v>5</v>
      </c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>
        <v>5</v>
      </c>
      <c r="AL1293" s="23"/>
      <c r="AM1293" s="23"/>
      <c r="AN1293" s="23"/>
      <c r="AO1293" s="23"/>
      <c r="AP1293" s="23"/>
      <c r="AQ1293" s="23"/>
      <c r="AR1293" s="23">
        <v>3</v>
      </c>
      <c r="AS1293" s="23">
        <v>2</v>
      </c>
      <c r="AT1293" s="23"/>
      <c r="AU1293" s="14" t="str">
        <f>HYPERLINK("http://www.openstreetmap.org/?mlat=30.8007&amp;mlon=47.5814&amp;zoom=12#map=12/30.8007/47.5814","Maplink1")</f>
        <v>Maplink1</v>
      </c>
      <c r="AV1293" s="14" t="str">
        <f>HYPERLINK("https://www.google.iq/maps/search/+30.8007,47.5814/@30.8007,47.5814,14z?hl=en","Maplink2")</f>
        <v>Maplink2</v>
      </c>
      <c r="AW1293" s="14" t="str">
        <f>HYPERLINK("http://www.bing.com/maps/?lvl=14&amp;sty=h&amp;cp=30.8007~47.5814&amp;sp=point.30.8007_47.5814_Al-Dair Al Imam Al Abas","Maplink3")</f>
        <v>Maplink3</v>
      </c>
    </row>
    <row r="1294" spans="1:49" ht="15" customHeight="1" x14ac:dyDescent="0.25">
      <c r="A1294" s="21">
        <v>1239</v>
      </c>
      <c r="B1294" s="22" t="s">
        <v>12</v>
      </c>
      <c r="C1294" s="22" t="s">
        <v>2432</v>
      </c>
      <c r="D1294" s="22" t="s">
        <v>2444</v>
      </c>
      <c r="E1294" s="22" t="s">
        <v>2445</v>
      </c>
      <c r="F1294" s="22">
        <v>30.89</v>
      </c>
      <c r="G1294" s="22">
        <v>47.52</v>
      </c>
      <c r="H1294" s="21" t="s">
        <v>2322</v>
      </c>
      <c r="I1294" s="21" t="s">
        <v>2433</v>
      </c>
      <c r="J1294" s="21" t="s">
        <v>2446</v>
      </c>
      <c r="K1294" s="24">
        <v>5</v>
      </c>
      <c r="L1294" s="24">
        <v>30</v>
      </c>
      <c r="M1294" s="23"/>
      <c r="N1294" s="23"/>
      <c r="O1294" s="23"/>
      <c r="P1294" s="23"/>
      <c r="Q1294" s="23"/>
      <c r="R1294" s="23"/>
      <c r="S1294" s="23"/>
      <c r="T1294" s="23"/>
      <c r="U1294" s="23">
        <v>3</v>
      </c>
      <c r="V1294" s="23"/>
      <c r="W1294" s="23"/>
      <c r="X1294" s="23"/>
      <c r="Y1294" s="23"/>
      <c r="Z1294" s="23"/>
      <c r="AA1294" s="23">
        <v>2</v>
      </c>
      <c r="AB1294" s="23"/>
      <c r="AC1294" s="23"/>
      <c r="AD1294" s="23"/>
      <c r="AE1294" s="23"/>
      <c r="AF1294" s="23">
        <v>4</v>
      </c>
      <c r="AG1294" s="23"/>
      <c r="AH1294" s="23"/>
      <c r="AI1294" s="23"/>
      <c r="AJ1294" s="23"/>
      <c r="AK1294" s="23">
        <v>1</v>
      </c>
      <c r="AL1294" s="23"/>
      <c r="AM1294" s="23"/>
      <c r="AN1294" s="23"/>
      <c r="AO1294" s="23"/>
      <c r="AP1294" s="23">
        <v>3</v>
      </c>
      <c r="AQ1294" s="23"/>
      <c r="AR1294" s="23">
        <v>1</v>
      </c>
      <c r="AS1294" s="23">
        <v>1</v>
      </c>
      <c r="AT1294" s="23"/>
      <c r="AU1294" s="14" t="str">
        <f>HYPERLINK("http://www.openstreetmap.org/?mlat=30.89&amp;mlon=47.52&amp;zoom=12#map=12/30.89/47.52","Maplink1")</f>
        <v>Maplink1</v>
      </c>
      <c r="AV1294" s="14" t="str">
        <f>HYPERLINK("https://www.google.iq/maps/search/+30.89,47.52/@30.89,47.52,14z?hl=en","Maplink2")</f>
        <v>Maplink2</v>
      </c>
      <c r="AW1294" s="14" t="str">
        <f>HYPERLINK("http://www.bing.com/maps/?lvl=14&amp;sty=h&amp;cp=30.89~47.52&amp;sp=point.30.89_47.52_Al-mezearah","Maplink3")</f>
        <v>Maplink3</v>
      </c>
    </row>
    <row r="1295" spans="1:49" ht="15" customHeight="1" x14ac:dyDescent="0.25">
      <c r="A1295" s="21">
        <v>1241</v>
      </c>
      <c r="B1295" s="22" t="s">
        <v>12</v>
      </c>
      <c r="C1295" s="22" t="s">
        <v>2432</v>
      </c>
      <c r="D1295" s="22" t="s">
        <v>2447</v>
      </c>
      <c r="E1295" s="22" t="s">
        <v>2448</v>
      </c>
      <c r="F1295" s="22">
        <v>31.028055999999999</v>
      </c>
      <c r="G1295" s="22">
        <v>47.433610999999999</v>
      </c>
      <c r="H1295" s="21" t="s">
        <v>2322</v>
      </c>
      <c r="I1295" s="21" t="s">
        <v>2433</v>
      </c>
      <c r="J1295" s="21" t="s">
        <v>2449</v>
      </c>
      <c r="K1295" s="24">
        <v>3</v>
      </c>
      <c r="L1295" s="24">
        <v>18</v>
      </c>
      <c r="M1295" s="23"/>
      <c r="N1295" s="23"/>
      <c r="O1295" s="23"/>
      <c r="P1295" s="23"/>
      <c r="Q1295" s="23"/>
      <c r="R1295" s="23"/>
      <c r="S1295" s="23"/>
      <c r="T1295" s="23"/>
      <c r="U1295" s="23">
        <v>2</v>
      </c>
      <c r="V1295" s="23"/>
      <c r="W1295" s="23"/>
      <c r="X1295" s="23"/>
      <c r="Y1295" s="23">
        <v>1</v>
      </c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>
        <v>3</v>
      </c>
      <c r="AL1295" s="23"/>
      <c r="AM1295" s="23"/>
      <c r="AN1295" s="23"/>
      <c r="AO1295" s="23"/>
      <c r="AP1295" s="23"/>
      <c r="AQ1295" s="23"/>
      <c r="AR1295" s="23">
        <v>2</v>
      </c>
      <c r="AS1295" s="23">
        <v>1</v>
      </c>
      <c r="AT1295" s="23"/>
      <c r="AU1295" s="14" t="str">
        <f>HYPERLINK("http://www.openstreetmap.org/?mlat=31.0281&amp;mlon=47.4336&amp;zoom=12#map=12/31.0281/47.4336","Maplink1")</f>
        <v>Maplink1</v>
      </c>
      <c r="AV1295" s="14" t="str">
        <f>HYPERLINK("https://www.google.iq/maps/search/+31.0281,47.4336/@31.0281,47.4336,14z?hl=en","Maplink2")</f>
        <v>Maplink2</v>
      </c>
      <c r="AW1295" s="14" t="str">
        <f>HYPERLINK("http://www.bing.com/maps/?lvl=14&amp;sty=h&amp;cp=31.0281~47.4336&amp;sp=point.31.0281_47.4336_Al-nehairat","Maplink3")</f>
        <v>Maplink3</v>
      </c>
    </row>
    <row r="1296" spans="1:49" ht="15" customHeight="1" x14ac:dyDescent="0.25">
      <c r="A1296" s="21">
        <v>1236</v>
      </c>
      <c r="B1296" s="22" t="s">
        <v>12</v>
      </c>
      <c r="C1296" s="22" t="s">
        <v>2432</v>
      </c>
      <c r="D1296" s="22" t="s">
        <v>2450</v>
      </c>
      <c r="E1296" s="22" t="s">
        <v>2451</v>
      </c>
      <c r="F1296" s="22">
        <v>31.011111</v>
      </c>
      <c r="G1296" s="22">
        <v>47.424999999999997</v>
      </c>
      <c r="H1296" s="21" t="s">
        <v>2322</v>
      </c>
      <c r="I1296" s="21" t="s">
        <v>2433</v>
      </c>
      <c r="J1296" s="21" t="s">
        <v>2452</v>
      </c>
      <c r="K1296" s="24">
        <v>2</v>
      </c>
      <c r="L1296" s="24">
        <v>12</v>
      </c>
      <c r="M1296" s="23">
        <v>2</v>
      </c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>
        <v>2</v>
      </c>
      <c r="AL1296" s="23"/>
      <c r="AM1296" s="23"/>
      <c r="AN1296" s="23"/>
      <c r="AO1296" s="23"/>
      <c r="AP1296" s="23"/>
      <c r="AQ1296" s="23"/>
      <c r="AR1296" s="23">
        <v>2</v>
      </c>
      <c r="AS1296" s="23"/>
      <c r="AT1296" s="23"/>
      <c r="AU1296" s="14" t="str">
        <f>HYPERLINK("http://www.openstreetmap.org/?mlat=31.0111&amp;mlon=47.425&amp;zoom=12#map=12/31.0111/47.425","Maplink1")</f>
        <v>Maplink1</v>
      </c>
      <c r="AV1296" s="14" t="str">
        <f>HYPERLINK("https://www.google.iq/maps/search/+31.0111,47.425/@31.0111,47.425,14z?hl=en","Maplink2")</f>
        <v>Maplink2</v>
      </c>
      <c r="AW1296" s="14" t="str">
        <f>HYPERLINK("http://www.bing.com/maps/?lvl=14&amp;sty=h&amp;cp=31.0111~47.425&amp;sp=point.31.0111_47.425_Al-nesaer","Maplink3")</f>
        <v>Maplink3</v>
      </c>
    </row>
    <row r="1297" spans="1:49" ht="15" customHeight="1" x14ac:dyDescent="0.25">
      <c r="A1297" s="21">
        <v>1110</v>
      </c>
      <c r="B1297" s="22" t="s">
        <v>12</v>
      </c>
      <c r="C1297" s="22" t="s">
        <v>2432</v>
      </c>
      <c r="D1297" s="22" t="s">
        <v>2453</v>
      </c>
      <c r="E1297" s="22" t="s">
        <v>2454</v>
      </c>
      <c r="F1297" s="22">
        <v>30.846299999999999</v>
      </c>
      <c r="G1297" s="22">
        <v>47.542299999999997</v>
      </c>
      <c r="H1297" s="21" t="s">
        <v>2322</v>
      </c>
      <c r="I1297" s="21" t="s">
        <v>2433</v>
      </c>
      <c r="J1297" s="21" t="s">
        <v>2455</v>
      </c>
      <c r="K1297" s="24">
        <v>1</v>
      </c>
      <c r="L1297" s="24">
        <v>6</v>
      </c>
      <c r="M1297" s="23"/>
      <c r="N1297" s="23"/>
      <c r="O1297" s="23"/>
      <c r="P1297" s="23"/>
      <c r="Q1297" s="23"/>
      <c r="R1297" s="23"/>
      <c r="S1297" s="23"/>
      <c r="T1297" s="23"/>
      <c r="U1297" s="23">
        <v>1</v>
      </c>
      <c r="V1297" s="23"/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>
        <v>1</v>
      </c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>
        <v>1</v>
      </c>
      <c r="AR1297" s="23"/>
      <c r="AS1297" s="23"/>
      <c r="AT1297" s="23"/>
      <c r="AU1297" s="14" t="str">
        <f>HYPERLINK("http://www.openstreetmap.org/?mlat=30.8463&amp;mlon=47.5423&amp;zoom=12#map=12/30.8463/47.5423","Maplink1")</f>
        <v>Maplink1</v>
      </c>
      <c r="AV1297" s="14" t="str">
        <f>HYPERLINK("https://www.google.iq/maps/search/+30.8463,47.5423/@30.8463,47.5423,14z?hl=en","Maplink2")</f>
        <v>Maplink2</v>
      </c>
      <c r="AW1297" s="14" t="str">
        <f>HYPERLINK("http://www.bing.com/maps/?lvl=14&amp;sty=h&amp;cp=30.8463~47.5423&amp;sp=point.30.8463_47.5423_Al-shannanh","Maplink3")</f>
        <v>Maplink3</v>
      </c>
    </row>
    <row r="1298" spans="1:49" ht="15" customHeight="1" x14ac:dyDescent="0.25">
      <c r="A1298" s="21">
        <v>1292</v>
      </c>
      <c r="B1298" s="22" t="s">
        <v>12</v>
      </c>
      <c r="C1298" s="22" t="s">
        <v>2432</v>
      </c>
      <c r="D1298" s="22" t="s">
        <v>2456</v>
      </c>
      <c r="E1298" s="22" t="s">
        <v>2457</v>
      </c>
      <c r="F1298" s="22">
        <v>31.01388889</v>
      </c>
      <c r="G1298" s="22">
        <v>47.434722219999998</v>
      </c>
      <c r="H1298" s="21" t="s">
        <v>2322</v>
      </c>
      <c r="I1298" s="21" t="s">
        <v>2433</v>
      </c>
      <c r="J1298" s="21" t="s">
        <v>2458</v>
      </c>
      <c r="K1298" s="24">
        <v>4</v>
      </c>
      <c r="L1298" s="24">
        <v>24</v>
      </c>
      <c r="M1298" s="23"/>
      <c r="N1298" s="23"/>
      <c r="O1298" s="23">
        <v>1</v>
      </c>
      <c r="P1298" s="23"/>
      <c r="Q1298" s="23"/>
      <c r="R1298" s="23"/>
      <c r="S1298" s="23"/>
      <c r="T1298" s="23"/>
      <c r="U1298" s="23"/>
      <c r="V1298" s="23"/>
      <c r="W1298" s="23"/>
      <c r="X1298" s="23"/>
      <c r="Y1298" s="23">
        <v>3</v>
      </c>
      <c r="Z1298" s="23"/>
      <c r="AA1298" s="23"/>
      <c r="AB1298" s="23"/>
      <c r="AC1298" s="23"/>
      <c r="AD1298" s="23"/>
      <c r="AE1298" s="23"/>
      <c r="AF1298" s="23"/>
      <c r="AG1298" s="23"/>
      <c r="AH1298" s="23">
        <v>3</v>
      </c>
      <c r="AI1298" s="23"/>
      <c r="AJ1298" s="23"/>
      <c r="AK1298" s="23">
        <v>1</v>
      </c>
      <c r="AL1298" s="23"/>
      <c r="AM1298" s="23"/>
      <c r="AN1298" s="23"/>
      <c r="AO1298" s="23"/>
      <c r="AP1298" s="23"/>
      <c r="AQ1298" s="23"/>
      <c r="AR1298" s="23">
        <v>4</v>
      </c>
      <c r="AS1298" s="23"/>
      <c r="AT1298" s="23"/>
      <c r="AU1298" s="14" t="str">
        <f>HYPERLINK("http://www.openstreetmap.org/?mlat=31.0139&amp;mlon=47.4347&amp;zoom=12#map=12/31.0139/47.4347","Maplink1")</f>
        <v>Maplink1</v>
      </c>
      <c r="AV1298" s="14" t="str">
        <f>HYPERLINK("https://www.google.iq/maps/search/+31.0139,47.4347/@31.0139,47.4347,14z?hl=en","Maplink2")</f>
        <v>Maplink2</v>
      </c>
      <c r="AW1298" s="14" t="str">
        <f>HYPERLINK("http://www.bing.com/maps/?lvl=14&amp;sty=h&amp;cp=31.0139~47.4347&amp;sp=point.31.0139_47.4347_Al-Souq","Maplink3")</f>
        <v>Maplink3</v>
      </c>
    </row>
    <row r="1299" spans="1:49" ht="15" customHeight="1" x14ac:dyDescent="0.25">
      <c r="A1299" s="21">
        <v>27257</v>
      </c>
      <c r="B1299" s="22" t="s">
        <v>12</v>
      </c>
      <c r="C1299" s="22" t="s">
        <v>2432</v>
      </c>
      <c r="D1299" s="22" t="s">
        <v>7444</v>
      </c>
      <c r="E1299" s="22" t="s">
        <v>7920</v>
      </c>
      <c r="F1299" s="22">
        <v>30.731110999999999</v>
      </c>
      <c r="G1299" s="22">
        <v>47.706389000000001</v>
      </c>
      <c r="H1299" s="21" t="s">
        <v>2322</v>
      </c>
      <c r="I1299" s="21" t="s">
        <v>2433</v>
      </c>
      <c r="J1299" s="21"/>
      <c r="K1299" s="24">
        <v>6</v>
      </c>
      <c r="L1299" s="24">
        <v>36</v>
      </c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>
        <v>6</v>
      </c>
      <c r="Z1299" s="23"/>
      <c r="AA1299" s="23"/>
      <c r="AB1299" s="23"/>
      <c r="AC1299" s="23"/>
      <c r="AD1299" s="23"/>
      <c r="AE1299" s="23"/>
      <c r="AF1299" s="23">
        <v>6</v>
      </c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23">
        <v>6</v>
      </c>
      <c r="AS1299" s="23"/>
      <c r="AT1299" s="23"/>
      <c r="AU1299" s="14" t="str">
        <f>HYPERLINK("http://www.openstreetmap.org/?mlat=30.7311&amp;mlon=47.7064&amp;zoom=12#map=12/30.7311/47.7064","Maplink1")</f>
        <v>Maplink1</v>
      </c>
      <c r="AV1299" s="14" t="str">
        <f>HYPERLINK("https://www.google.iq/maps/search/+30.7311,47.7064/@30.7311,47.7064,14z?hl=en","Maplink2")</f>
        <v>Maplink2</v>
      </c>
      <c r="AW1299" s="14" t="str">
        <f>HYPERLINK("http://www.bing.com/maps/?lvl=14&amp;sty=h&amp;cp=30.7311~47.7064&amp;sp=point.30.7311_47.7064_Dair / AlJarah","Maplink3")</f>
        <v>Maplink3</v>
      </c>
    </row>
    <row r="1300" spans="1:49" ht="15" customHeight="1" x14ac:dyDescent="0.25">
      <c r="A1300" s="21">
        <v>23518</v>
      </c>
      <c r="B1300" s="22" t="s">
        <v>12</v>
      </c>
      <c r="C1300" s="22" t="s">
        <v>2432</v>
      </c>
      <c r="D1300" s="22" t="s">
        <v>2459</v>
      </c>
      <c r="E1300" s="22" t="s">
        <v>2460</v>
      </c>
      <c r="F1300" s="22">
        <v>30.795100999999999</v>
      </c>
      <c r="G1300" s="22">
        <v>47.572583000000002</v>
      </c>
      <c r="H1300" s="21" t="s">
        <v>2322</v>
      </c>
      <c r="I1300" s="21" t="s">
        <v>2433</v>
      </c>
      <c r="J1300" s="21" t="s">
        <v>2461</v>
      </c>
      <c r="K1300" s="24">
        <v>6</v>
      </c>
      <c r="L1300" s="24">
        <v>36</v>
      </c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>
        <v>6</v>
      </c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6</v>
      </c>
      <c r="AL1300" s="23"/>
      <c r="AM1300" s="23"/>
      <c r="AN1300" s="23"/>
      <c r="AO1300" s="23">
        <v>3</v>
      </c>
      <c r="AP1300" s="23">
        <v>3</v>
      </c>
      <c r="AQ1300" s="23"/>
      <c r="AR1300" s="23"/>
      <c r="AS1300" s="23"/>
      <c r="AT1300" s="23"/>
      <c r="AU1300" s="14" t="str">
        <f>HYPERLINK("http://www.openstreetmap.org/?mlat=30.79&amp;mlon=47.57&amp;zoom=12#map=12/30.79/47.57","Maplink1")</f>
        <v>Maplink1</v>
      </c>
      <c r="AV1300" s="14" t="str">
        <f>HYPERLINK("https://www.google.iq/maps/search/+30.79,47.57/@30.79,47.57,14z?hl=en","Maplink2")</f>
        <v>Maplink2</v>
      </c>
      <c r="AW1300" s="14" t="str">
        <f>HYPERLINK("http://www.bing.com/maps/?lvl=14&amp;sty=h&amp;cp=30.79~47.57&amp;sp=point.30.79_47.57_Hay Al Hakeem","Maplink3")</f>
        <v>Maplink3</v>
      </c>
    </row>
    <row r="1301" spans="1:49" ht="15" customHeight="1" x14ac:dyDescent="0.25">
      <c r="A1301" s="21">
        <v>1240</v>
      </c>
      <c r="B1301" s="22" t="s">
        <v>12</v>
      </c>
      <c r="C1301" s="22" t="s">
        <v>2432</v>
      </c>
      <c r="D1301" s="22" t="s">
        <v>2462</v>
      </c>
      <c r="E1301" s="22" t="s">
        <v>7921</v>
      </c>
      <c r="F1301" s="22">
        <v>31.023333000000001</v>
      </c>
      <c r="G1301" s="22">
        <v>47.428888999999998</v>
      </c>
      <c r="H1301" s="21" t="s">
        <v>2322</v>
      </c>
      <c r="I1301" s="21" t="s">
        <v>2433</v>
      </c>
      <c r="J1301" s="21" t="s">
        <v>2463</v>
      </c>
      <c r="K1301" s="24">
        <v>7</v>
      </c>
      <c r="L1301" s="24">
        <v>42</v>
      </c>
      <c r="M1301" s="23">
        <v>2</v>
      </c>
      <c r="N1301" s="23"/>
      <c r="O1301" s="23"/>
      <c r="P1301" s="23"/>
      <c r="Q1301" s="23"/>
      <c r="R1301" s="23"/>
      <c r="S1301" s="23"/>
      <c r="T1301" s="23"/>
      <c r="U1301" s="23">
        <v>2</v>
      </c>
      <c r="V1301" s="23"/>
      <c r="W1301" s="23"/>
      <c r="X1301" s="23"/>
      <c r="Y1301" s="23">
        <v>2</v>
      </c>
      <c r="Z1301" s="23"/>
      <c r="AA1301" s="23">
        <v>1</v>
      </c>
      <c r="AB1301" s="23"/>
      <c r="AC1301" s="23"/>
      <c r="AD1301" s="23"/>
      <c r="AE1301" s="23"/>
      <c r="AF1301" s="23">
        <v>3</v>
      </c>
      <c r="AG1301" s="23"/>
      <c r="AH1301" s="23"/>
      <c r="AI1301" s="23"/>
      <c r="AJ1301" s="23"/>
      <c r="AK1301" s="23">
        <v>4</v>
      </c>
      <c r="AL1301" s="23"/>
      <c r="AM1301" s="23"/>
      <c r="AN1301" s="23"/>
      <c r="AO1301" s="23">
        <v>1</v>
      </c>
      <c r="AP1301" s="23">
        <v>1</v>
      </c>
      <c r="AQ1301" s="23">
        <v>3</v>
      </c>
      <c r="AR1301" s="23">
        <v>2</v>
      </c>
      <c r="AS1301" s="23"/>
      <c r="AT1301" s="23"/>
      <c r="AU1301" s="14" t="str">
        <f>HYPERLINK("http://www.openstreetmap.org/?mlat=31.0233&amp;mlon=47.4289&amp;zoom=12#map=12/31.0233/47.4289","Maplink1")</f>
        <v>Maplink1</v>
      </c>
      <c r="AV1301" s="14" t="str">
        <f>HYPERLINK("https://www.google.iq/maps/search/+31.0233,47.4289/@31.0233,47.4289,14z?hl=en","Maplink2")</f>
        <v>Maplink2</v>
      </c>
      <c r="AW1301" s="14" t="str">
        <f>HYPERLINK("http://www.bing.com/maps/?lvl=14&amp;sty=h&amp;cp=31.0233~47.4289&amp;sp=point.31.0233_47.4289_Hay al-juma_a","Maplink3")</f>
        <v>Maplink3</v>
      </c>
    </row>
    <row r="1302" spans="1:49" ht="15" customHeight="1" x14ac:dyDescent="0.25">
      <c r="A1302" s="21">
        <v>496</v>
      </c>
      <c r="B1302" s="22" t="s">
        <v>12</v>
      </c>
      <c r="C1302" s="22" t="s">
        <v>2432</v>
      </c>
      <c r="D1302" s="22" t="s">
        <v>8265</v>
      </c>
      <c r="E1302" s="22" t="s">
        <v>8266</v>
      </c>
      <c r="F1302" s="22">
        <v>30.808002999999999</v>
      </c>
      <c r="G1302" s="22">
        <v>47.569522999999997</v>
      </c>
      <c r="H1302" s="21" t="s">
        <v>2322</v>
      </c>
      <c r="I1302" s="21" t="s">
        <v>2433</v>
      </c>
      <c r="J1302" s="21" t="s">
        <v>8267</v>
      </c>
      <c r="K1302" s="24">
        <v>3</v>
      </c>
      <c r="L1302" s="24">
        <v>18</v>
      </c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>
        <v>3</v>
      </c>
      <c r="Z1302" s="23"/>
      <c r="AA1302" s="23"/>
      <c r="AB1302" s="23"/>
      <c r="AC1302" s="23"/>
      <c r="AD1302" s="23"/>
      <c r="AE1302" s="23"/>
      <c r="AF1302" s="23">
        <v>1</v>
      </c>
      <c r="AG1302" s="23"/>
      <c r="AH1302" s="23"/>
      <c r="AI1302" s="23"/>
      <c r="AJ1302" s="23"/>
      <c r="AK1302" s="23">
        <v>2</v>
      </c>
      <c r="AL1302" s="23"/>
      <c r="AM1302" s="23"/>
      <c r="AN1302" s="23"/>
      <c r="AO1302" s="23"/>
      <c r="AP1302" s="23"/>
      <c r="AQ1302" s="23">
        <v>3</v>
      </c>
      <c r="AR1302" s="23"/>
      <c r="AS1302" s="23"/>
      <c r="AT1302" s="23"/>
      <c r="AU1302" s="14" t="str">
        <f>HYPERLINK("http://www.openstreetmap.org/?mlat=30.808&amp;mlon=47.5695&amp;zoom=12#map=12/30.808/47.5695","Maplink1")</f>
        <v>Maplink1</v>
      </c>
      <c r="AV1302" s="14" t="str">
        <f>HYPERLINK("https://www.google.iq/maps/search/+30.808,47.5695/@30.808,47.5695,14z?hl=en","Maplink2")</f>
        <v>Maplink2</v>
      </c>
      <c r="AW1302" s="14" t="str">
        <f>HYPERLINK("http://www.bing.com/maps/?lvl=14&amp;sty=h&amp;cp=30.808~47.5695&amp;sp=point.30.808_47.5695","Maplink3")</f>
        <v>Maplink3</v>
      </c>
    </row>
    <row r="1303" spans="1:49" ht="15" customHeight="1" x14ac:dyDescent="0.25">
      <c r="A1303" s="21">
        <v>24279</v>
      </c>
      <c r="B1303" s="22" t="s">
        <v>12</v>
      </c>
      <c r="C1303" s="22" t="s">
        <v>2464</v>
      </c>
      <c r="D1303" s="22" t="s">
        <v>2468</v>
      </c>
      <c r="E1303" s="22" t="s">
        <v>7922</v>
      </c>
      <c r="F1303" s="22">
        <v>30.354900000000001</v>
      </c>
      <c r="G1303" s="22">
        <v>47.734499999999997</v>
      </c>
      <c r="H1303" s="21" t="s">
        <v>2322</v>
      </c>
      <c r="I1303" s="21" t="s">
        <v>2466</v>
      </c>
      <c r="J1303" s="21" t="s">
        <v>2469</v>
      </c>
      <c r="K1303" s="24">
        <v>4</v>
      </c>
      <c r="L1303" s="24">
        <v>24</v>
      </c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>
        <v>3</v>
      </c>
      <c r="Z1303" s="23"/>
      <c r="AA1303" s="23">
        <v>1</v>
      </c>
      <c r="AB1303" s="23"/>
      <c r="AC1303" s="23"/>
      <c r="AD1303" s="23"/>
      <c r="AE1303" s="23"/>
      <c r="AF1303" s="23"/>
      <c r="AG1303" s="23"/>
      <c r="AH1303" s="23">
        <v>3</v>
      </c>
      <c r="AI1303" s="23"/>
      <c r="AJ1303" s="23"/>
      <c r="AK1303" s="23">
        <v>1</v>
      </c>
      <c r="AL1303" s="23"/>
      <c r="AM1303" s="23"/>
      <c r="AN1303" s="23"/>
      <c r="AO1303" s="23"/>
      <c r="AP1303" s="23">
        <v>1</v>
      </c>
      <c r="AQ1303" s="23"/>
      <c r="AR1303" s="23">
        <v>3</v>
      </c>
      <c r="AS1303" s="23"/>
      <c r="AT1303" s="23"/>
      <c r="AU1303" s="14" t="str">
        <f>HYPERLINK("http://www.openstreetmap.org/?mlat=30.3549&amp;mlon=47.7345&amp;zoom=12#map=12/30.3549/47.7345","Maplink1")</f>
        <v>Maplink1</v>
      </c>
      <c r="AV1303" s="14" t="str">
        <f>HYPERLINK("https://www.google.iq/maps/search/+30.3549,47.7345/@30.3549,47.7345,14z?hl=en","Maplink2")</f>
        <v>Maplink2</v>
      </c>
      <c r="AW1303" s="14" t="str">
        <f>HYPERLINK("http://www.bing.com/maps/?lvl=14&amp;sty=h&amp;cp=30.3549~47.7345&amp;sp=point.30.3549_47.7345_Al Dawajin","Maplink3")</f>
        <v>Maplink3</v>
      </c>
    </row>
    <row r="1304" spans="1:49" ht="15" customHeight="1" x14ac:dyDescent="0.25">
      <c r="A1304" s="21">
        <v>367</v>
      </c>
      <c r="B1304" s="22" t="s">
        <v>12</v>
      </c>
      <c r="C1304" s="22" t="s">
        <v>2464</v>
      </c>
      <c r="D1304" s="22" t="s">
        <v>2470</v>
      </c>
      <c r="E1304" s="22" t="s">
        <v>7923</v>
      </c>
      <c r="F1304" s="22">
        <v>30.363299999999999</v>
      </c>
      <c r="G1304" s="22">
        <v>47.716500000000003</v>
      </c>
      <c r="H1304" s="21" t="s">
        <v>2322</v>
      </c>
      <c r="I1304" s="21" t="s">
        <v>2466</v>
      </c>
      <c r="J1304" s="21" t="s">
        <v>2471</v>
      </c>
      <c r="K1304" s="24">
        <v>7</v>
      </c>
      <c r="L1304" s="24">
        <v>42</v>
      </c>
      <c r="M1304" s="23">
        <v>2</v>
      </c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>
        <v>5</v>
      </c>
      <c r="Z1304" s="23"/>
      <c r="AA1304" s="23"/>
      <c r="AB1304" s="23"/>
      <c r="AC1304" s="23"/>
      <c r="AD1304" s="23"/>
      <c r="AE1304" s="23"/>
      <c r="AF1304" s="23">
        <v>1</v>
      </c>
      <c r="AG1304" s="23"/>
      <c r="AH1304" s="23"/>
      <c r="AI1304" s="23"/>
      <c r="AJ1304" s="23"/>
      <c r="AK1304" s="23">
        <v>6</v>
      </c>
      <c r="AL1304" s="23"/>
      <c r="AM1304" s="23"/>
      <c r="AN1304" s="23"/>
      <c r="AO1304" s="23"/>
      <c r="AP1304" s="23">
        <v>1</v>
      </c>
      <c r="AQ1304" s="23">
        <v>3</v>
      </c>
      <c r="AR1304" s="23">
        <v>3</v>
      </c>
      <c r="AS1304" s="23"/>
      <c r="AT1304" s="23"/>
      <c r="AU1304" s="14" t="str">
        <f>HYPERLINK("http://www.openstreetmap.org/?mlat=30.3633&amp;mlon=47.7165&amp;zoom=12#map=12/30.3633/47.7165","Maplink1")</f>
        <v>Maplink1</v>
      </c>
      <c r="AV1304" s="14" t="str">
        <f>HYPERLINK("https://www.google.iq/maps/search/+30.3633,47.7165/@30.3633,47.7165,14z?hl=en","Maplink2")</f>
        <v>Maplink2</v>
      </c>
      <c r="AW1304" s="14" t="str">
        <f>HYPERLINK("http://www.bing.com/maps/?lvl=14&amp;sty=h&amp;cp=30.3633~47.7165&amp;sp=point.30.3633_47.7165_Al Dirhamiyah 1","Maplink3")</f>
        <v>Maplink3</v>
      </c>
    </row>
    <row r="1305" spans="1:49" ht="15" customHeight="1" x14ac:dyDescent="0.25">
      <c r="A1305" s="21">
        <v>24924</v>
      </c>
      <c r="B1305" s="22" t="s">
        <v>12</v>
      </c>
      <c r="C1305" s="22" t="s">
        <v>2464</v>
      </c>
      <c r="D1305" s="22" t="s">
        <v>2472</v>
      </c>
      <c r="E1305" s="22" t="s">
        <v>2473</v>
      </c>
      <c r="F1305" s="22">
        <v>30.035799999999998</v>
      </c>
      <c r="G1305" s="22">
        <v>47.927700000000002</v>
      </c>
      <c r="H1305" s="21" t="s">
        <v>2322</v>
      </c>
      <c r="I1305" s="21" t="s">
        <v>2466</v>
      </c>
      <c r="J1305" s="21"/>
      <c r="K1305" s="24">
        <v>2</v>
      </c>
      <c r="L1305" s="24">
        <v>12</v>
      </c>
      <c r="M1305" s="23">
        <v>1</v>
      </c>
      <c r="N1305" s="23"/>
      <c r="O1305" s="23"/>
      <c r="P1305" s="23"/>
      <c r="Q1305" s="23"/>
      <c r="R1305" s="23"/>
      <c r="S1305" s="23"/>
      <c r="T1305" s="23"/>
      <c r="U1305" s="23">
        <v>1</v>
      </c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>
        <v>2</v>
      </c>
      <c r="AL1305" s="23"/>
      <c r="AM1305" s="23"/>
      <c r="AN1305" s="23"/>
      <c r="AO1305" s="23">
        <v>1</v>
      </c>
      <c r="AP1305" s="23"/>
      <c r="AQ1305" s="23"/>
      <c r="AR1305" s="23">
        <v>1</v>
      </c>
      <c r="AS1305" s="23"/>
      <c r="AT1305" s="23"/>
      <c r="AU1305" s="14" t="str">
        <f>HYPERLINK("http://www.openstreetmap.org/?mlat=30.0358&amp;mlon=47.9277&amp;zoom=12#map=12/30.0358/47.9277","Maplink1")</f>
        <v>Maplink1</v>
      </c>
      <c r="AV1305" s="14" t="str">
        <f>HYPERLINK("https://www.google.iq/maps/search/+30.0358,47.9277/@30.0358,47.9277,14z?hl=en","Maplink2")</f>
        <v>Maplink2</v>
      </c>
      <c r="AW1305" s="14" t="str">
        <f>HYPERLINK("http://www.bing.com/maps/?lvl=14&amp;sty=h&amp;cp=30.0358~47.9277&amp;sp=point.30.0358_47.9277_Al Mushroaa","Maplink3")</f>
        <v>Maplink3</v>
      </c>
    </row>
    <row r="1306" spans="1:49" ht="15" customHeight="1" x14ac:dyDescent="0.25">
      <c r="A1306" s="21">
        <v>24677</v>
      </c>
      <c r="B1306" s="22" t="s">
        <v>12</v>
      </c>
      <c r="C1306" s="22" t="s">
        <v>2464</v>
      </c>
      <c r="D1306" s="22" t="s">
        <v>2474</v>
      </c>
      <c r="E1306" s="22" t="s">
        <v>7924</v>
      </c>
      <c r="F1306" s="22">
        <v>30.3262</v>
      </c>
      <c r="G1306" s="22">
        <v>47.721499999999999</v>
      </c>
      <c r="H1306" s="21" t="s">
        <v>2322</v>
      </c>
      <c r="I1306" s="21" t="s">
        <v>2466</v>
      </c>
      <c r="J1306" s="21"/>
      <c r="K1306" s="24">
        <v>3</v>
      </c>
      <c r="L1306" s="24">
        <v>18</v>
      </c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>
        <v>1</v>
      </c>
      <c r="Z1306" s="23"/>
      <c r="AA1306" s="23">
        <v>2</v>
      </c>
      <c r="AB1306" s="23"/>
      <c r="AC1306" s="23"/>
      <c r="AD1306" s="23"/>
      <c r="AE1306" s="23"/>
      <c r="AF1306" s="23">
        <v>3</v>
      </c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>
        <v>2</v>
      </c>
      <c r="AQ1306" s="23">
        <v>1</v>
      </c>
      <c r="AR1306" s="23"/>
      <c r="AS1306" s="23"/>
      <c r="AT1306" s="23"/>
      <c r="AU1306" s="14" t="str">
        <f>HYPERLINK("http://www.openstreetmap.org/?mlat=30.3262&amp;mlon=47.7215&amp;zoom=12#map=12/30.3262/47.7215","Maplink1")</f>
        <v>Maplink1</v>
      </c>
      <c r="AV1306" s="14" t="str">
        <f>HYPERLINK("https://www.google.iq/maps/search/+30.3262,47.7215/@30.3262,47.7215,14z?hl=en","Maplink2")</f>
        <v>Maplink2</v>
      </c>
      <c r="AW1306" s="14" t="str">
        <f>HYPERLINK("http://www.bing.com/maps/?lvl=14&amp;sty=h&amp;cp=30.3262~47.7215&amp;sp=point.30.3262_47.7215_Al Petro","Maplink3")</f>
        <v>Maplink3</v>
      </c>
    </row>
    <row r="1307" spans="1:49" ht="15" customHeight="1" x14ac:dyDescent="0.25">
      <c r="A1307" s="21">
        <v>24676</v>
      </c>
      <c r="B1307" s="22" t="s">
        <v>12</v>
      </c>
      <c r="C1307" s="22" t="s">
        <v>2464</v>
      </c>
      <c r="D1307" s="22" t="s">
        <v>2475</v>
      </c>
      <c r="E1307" s="22" t="s">
        <v>7925</v>
      </c>
      <c r="F1307" s="22">
        <v>30.573599999999999</v>
      </c>
      <c r="G1307" s="22">
        <v>47.334699999999998</v>
      </c>
      <c r="H1307" s="21" t="s">
        <v>2322</v>
      </c>
      <c r="I1307" s="21" t="s">
        <v>2466</v>
      </c>
      <c r="J1307" s="21"/>
      <c r="K1307" s="24">
        <v>3</v>
      </c>
      <c r="L1307" s="24">
        <v>18</v>
      </c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>
        <v>3</v>
      </c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>
        <v>3</v>
      </c>
      <c r="AL1307" s="23"/>
      <c r="AM1307" s="23"/>
      <c r="AN1307" s="23"/>
      <c r="AO1307" s="23"/>
      <c r="AP1307" s="23">
        <v>3</v>
      </c>
      <c r="AQ1307" s="23"/>
      <c r="AR1307" s="23"/>
      <c r="AS1307" s="23"/>
      <c r="AT1307" s="23"/>
      <c r="AU1307" s="14" t="str">
        <f>HYPERLINK("http://www.openstreetmap.org/?mlat=30.5736&amp;mlon=47.3347&amp;zoom=12#map=12/30.5736/47.3347","Maplink1")</f>
        <v>Maplink1</v>
      </c>
      <c r="AV1307" s="14" t="str">
        <f>HYPERLINK("https://www.google.iq/maps/search/+30.5736,47.3347/@30.5736,47.3347,14z?hl=en","Maplink2")</f>
        <v>Maplink2</v>
      </c>
      <c r="AW1307" s="14" t="str">
        <f>HYPERLINK("http://www.bing.com/maps/?lvl=14&amp;sty=h&amp;cp=30.5736~47.3347&amp;sp=point.30.5736_47.3347_Al Rumilah Al Shamaliyah","Maplink3")</f>
        <v>Maplink3</v>
      </c>
    </row>
    <row r="1308" spans="1:49" ht="15" customHeight="1" x14ac:dyDescent="0.25">
      <c r="A1308" s="21">
        <v>752</v>
      </c>
      <c r="B1308" s="22" t="s">
        <v>12</v>
      </c>
      <c r="C1308" s="22" t="s">
        <v>2464</v>
      </c>
      <c r="D1308" s="22" t="s">
        <v>2476</v>
      </c>
      <c r="E1308" s="22" t="s">
        <v>2477</v>
      </c>
      <c r="F1308" s="22">
        <v>30.380832999999999</v>
      </c>
      <c r="G1308" s="22">
        <v>47.693333000000003</v>
      </c>
      <c r="H1308" s="21" t="s">
        <v>2322</v>
      </c>
      <c r="I1308" s="21" t="s">
        <v>2466</v>
      </c>
      <c r="J1308" s="21" t="s">
        <v>2478</v>
      </c>
      <c r="K1308" s="24">
        <v>1</v>
      </c>
      <c r="L1308" s="24">
        <v>6</v>
      </c>
      <c r="M1308" s="23"/>
      <c r="N1308" s="23"/>
      <c r="O1308" s="23"/>
      <c r="P1308" s="23"/>
      <c r="Q1308" s="23"/>
      <c r="R1308" s="23"/>
      <c r="S1308" s="23"/>
      <c r="T1308" s="23"/>
      <c r="U1308" s="23">
        <v>1</v>
      </c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>
        <v>1</v>
      </c>
      <c r="AL1308" s="23"/>
      <c r="AM1308" s="23"/>
      <c r="AN1308" s="23"/>
      <c r="AO1308" s="23"/>
      <c r="AP1308" s="23"/>
      <c r="AQ1308" s="23"/>
      <c r="AR1308" s="23">
        <v>1</v>
      </c>
      <c r="AS1308" s="23"/>
      <c r="AT1308" s="23"/>
      <c r="AU1308" s="14" t="str">
        <f>HYPERLINK("http://www.openstreetmap.org/?mlat=30.3808&amp;mlon=47.6933&amp;zoom=12#map=12/30.3808/47.6933","Maplink1")</f>
        <v>Maplink1</v>
      </c>
      <c r="AV1308" s="14" t="str">
        <f>HYPERLINK("https://www.google.iq/maps/search/+30.3808,47.6933/@30.3808,47.6933,14z?hl=en","Maplink2")</f>
        <v>Maplink2</v>
      </c>
      <c r="AW1308" s="14" t="str">
        <f>HYPERLINK("http://www.bing.com/maps/?lvl=14&amp;sty=h&amp;cp=30.3808~47.6933&amp;sp=point.30.3808_47.6933_Al-dhweihrat","Maplink3")</f>
        <v>Maplink3</v>
      </c>
    </row>
    <row r="1309" spans="1:49" ht="15" customHeight="1" x14ac:dyDescent="0.25">
      <c r="A1309" s="21">
        <v>1281</v>
      </c>
      <c r="B1309" s="22" t="s">
        <v>12</v>
      </c>
      <c r="C1309" s="22" t="s">
        <v>2464</v>
      </c>
      <c r="D1309" s="22" t="s">
        <v>2479</v>
      </c>
      <c r="E1309" s="22" t="s">
        <v>7926</v>
      </c>
      <c r="F1309" s="22">
        <v>30.385000000000002</v>
      </c>
      <c r="G1309" s="22">
        <v>47.715800000000002</v>
      </c>
      <c r="H1309" s="21" t="s">
        <v>2322</v>
      </c>
      <c r="I1309" s="21" t="s">
        <v>2466</v>
      </c>
      <c r="J1309" s="21" t="s">
        <v>2480</v>
      </c>
      <c r="K1309" s="24">
        <v>12</v>
      </c>
      <c r="L1309" s="24">
        <v>72</v>
      </c>
      <c r="M1309" s="23">
        <v>2</v>
      </c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>
        <v>1</v>
      </c>
      <c r="Z1309" s="23"/>
      <c r="AA1309" s="23">
        <v>9</v>
      </c>
      <c r="AB1309" s="23"/>
      <c r="AC1309" s="23"/>
      <c r="AD1309" s="23"/>
      <c r="AE1309" s="23"/>
      <c r="AF1309" s="23">
        <v>1</v>
      </c>
      <c r="AG1309" s="23"/>
      <c r="AH1309" s="23"/>
      <c r="AI1309" s="23"/>
      <c r="AJ1309" s="23"/>
      <c r="AK1309" s="23">
        <v>11</v>
      </c>
      <c r="AL1309" s="23"/>
      <c r="AM1309" s="23"/>
      <c r="AN1309" s="23"/>
      <c r="AO1309" s="23"/>
      <c r="AP1309" s="23">
        <v>7</v>
      </c>
      <c r="AQ1309" s="23">
        <v>2</v>
      </c>
      <c r="AR1309" s="23">
        <v>3</v>
      </c>
      <c r="AS1309" s="23"/>
      <c r="AT1309" s="23"/>
      <c r="AU1309" s="14" t="str">
        <f>HYPERLINK("http://www.openstreetmap.org/?mlat=30.385&amp;mlon=47.7158&amp;zoom=12#map=12/30.385/47.7158","Maplink1")</f>
        <v>Maplink1</v>
      </c>
      <c r="AV1309" s="14" t="str">
        <f>HYPERLINK("https://www.google.iq/maps/search/+30.385,47.7158/@30.385,47.7158,14z?hl=en","Maplink2")</f>
        <v>Maplink2</v>
      </c>
      <c r="AW1309" s="14" t="str">
        <f>HYPERLINK("http://www.bing.com/maps/?lvl=14&amp;sty=h&amp;cp=30.385~47.7158&amp;sp=point.30.385_47.7158_Al-Dur Al-Jahiza","Maplink3")</f>
        <v>Maplink3</v>
      </c>
    </row>
    <row r="1310" spans="1:49" ht="15" customHeight="1" x14ac:dyDescent="0.25">
      <c r="A1310" s="21">
        <v>767</v>
      </c>
      <c r="B1310" s="22" t="s">
        <v>12</v>
      </c>
      <c r="C1310" s="22" t="s">
        <v>2464</v>
      </c>
      <c r="D1310" s="22" t="s">
        <v>2481</v>
      </c>
      <c r="E1310" s="22" t="s">
        <v>2482</v>
      </c>
      <c r="F1310" s="22">
        <v>30.395</v>
      </c>
      <c r="G1310" s="22">
        <v>47.708333000000003</v>
      </c>
      <c r="H1310" s="21" t="s">
        <v>2322</v>
      </c>
      <c r="I1310" s="21" t="s">
        <v>2466</v>
      </c>
      <c r="J1310" s="21" t="s">
        <v>2483</v>
      </c>
      <c r="K1310" s="24">
        <v>3</v>
      </c>
      <c r="L1310" s="24">
        <v>18</v>
      </c>
      <c r="M1310" s="23">
        <v>1</v>
      </c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>
        <v>2</v>
      </c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>
        <v>3</v>
      </c>
      <c r="AL1310" s="23"/>
      <c r="AM1310" s="23"/>
      <c r="AN1310" s="23"/>
      <c r="AO1310" s="23"/>
      <c r="AP1310" s="23"/>
      <c r="AQ1310" s="23"/>
      <c r="AR1310" s="23">
        <v>3</v>
      </c>
      <c r="AS1310" s="23"/>
      <c r="AT1310" s="23"/>
      <c r="AU1310" s="14" t="str">
        <f>HYPERLINK("http://www.openstreetmap.org/?mlat=30.395&amp;mlon=47.7083&amp;zoom=12#map=12/30.395/47.7083","Maplink1")</f>
        <v>Maplink1</v>
      </c>
      <c r="AV1310" s="14" t="str">
        <f>HYPERLINK("https://www.google.iq/maps/search/+30.395,47.7083/@30.395,47.7083,14z?hl=en","Maplink2")</f>
        <v>Maplink2</v>
      </c>
      <c r="AW1310" s="14" t="str">
        <f>HYPERLINK("http://www.bing.com/maps/?lvl=14&amp;sty=h&amp;cp=30.395~47.7083&amp;sp=point.30.395_47.7083_Al-jamhoriyah al-olah","Maplink3")</f>
        <v>Maplink3</v>
      </c>
    </row>
    <row r="1311" spans="1:49" ht="15" customHeight="1" x14ac:dyDescent="0.25">
      <c r="A1311" s="21">
        <v>760</v>
      </c>
      <c r="B1311" s="22" t="s">
        <v>12</v>
      </c>
      <c r="C1311" s="22" t="s">
        <v>2464</v>
      </c>
      <c r="D1311" s="22" t="s">
        <v>2484</v>
      </c>
      <c r="E1311" s="22" t="s">
        <v>2485</v>
      </c>
      <c r="F1311" s="22">
        <v>30.385833000000002</v>
      </c>
      <c r="G1311" s="22">
        <v>47.714722000000002</v>
      </c>
      <c r="H1311" s="21" t="s">
        <v>2322</v>
      </c>
      <c r="I1311" s="21" t="s">
        <v>2466</v>
      </c>
      <c r="J1311" s="21" t="s">
        <v>2486</v>
      </c>
      <c r="K1311" s="24">
        <v>15</v>
      </c>
      <c r="L1311" s="24">
        <v>90</v>
      </c>
      <c r="M1311" s="23">
        <v>9</v>
      </c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>
        <v>6</v>
      </c>
      <c r="AB1311" s="23"/>
      <c r="AC1311" s="23"/>
      <c r="AD1311" s="23"/>
      <c r="AE1311" s="23"/>
      <c r="AF1311" s="23">
        <v>5</v>
      </c>
      <c r="AG1311" s="23"/>
      <c r="AH1311" s="23">
        <v>6</v>
      </c>
      <c r="AI1311" s="23"/>
      <c r="AJ1311" s="23"/>
      <c r="AK1311" s="23">
        <v>4</v>
      </c>
      <c r="AL1311" s="23"/>
      <c r="AM1311" s="23"/>
      <c r="AN1311" s="23"/>
      <c r="AO1311" s="23">
        <v>1</v>
      </c>
      <c r="AP1311" s="23">
        <v>1</v>
      </c>
      <c r="AQ1311" s="23">
        <v>2</v>
      </c>
      <c r="AR1311" s="23">
        <v>5</v>
      </c>
      <c r="AS1311" s="23">
        <v>6</v>
      </c>
      <c r="AT1311" s="23"/>
      <c r="AU1311" s="14" t="str">
        <f>HYPERLINK("http://www.openstreetmap.org/?mlat=30.3858&amp;mlon=47.7147&amp;zoom=12#map=12/30.3858/47.7147","Maplink1")</f>
        <v>Maplink1</v>
      </c>
      <c r="AV1311" s="14" t="str">
        <f>HYPERLINK("https://www.google.iq/maps/search/+30.3858,47.7147/@30.3858,47.7147,14z?hl=en","Maplink2")</f>
        <v>Maplink2</v>
      </c>
      <c r="AW1311" s="14" t="str">
        <f>HYPERLINK("http://www.bing.com/maps/?lvl=14&amp;sty=h&amp;cp=30.3858~47.7147&amp;sp=point.30.3858_47.7147_Al-jamhoriyah al-thaniyah","Maplink3")</f>
        <v>Maplink3</v>
      </c>
    </row>
    <row r="1312" spans="1:49" ht="15" customHeight="1" x14ac:dyDescent="0.25">
      <c r="A1312" s="21">
        <v>753</v>
      </c>
      <c r="B1312" s="22" t="s">
        <v>12</v>
      </c>
      <c r="C1312" s="22" t="s">
        <v>2464</v>
      </c>
      <c r="D1312" s="22" t="s">
        <v>2487</v>
      </c>
      <c r="E1312" s="22" t="s">
        <v>7927</v>
      </c>
      <c r="F1312" s="22">
        <v>30.385200000000001</v>
      </c>
      <c r="G1312" s="22">
        <v>47.709200000000003</v>
      </c>
      <c r="H1312" s="21" t="s">
        <v>2322</v>
      </c>
      <c r="I1312" s="21" t="s">
        <v>2466</v>
      </c>
      <c r="J1312" s="21" t="s">
        <v>2488</v>
      </c>
      <c r="K1312" s="24">
        <v>6</v>
      </c>
      <c r="L1312" s="24">
        <v>36</v>
      </c>
      <c r="M1312" s="23"/>
      <c r="N1312" s="23"/>
      <c r="O1312" s="23"/>
      <c r="P1312" s="23"/>
      <c r="Q1312" s="23"/>
      <c r="R1312" s="23"/>
      <c r="S1312" s="23"/>
      <c r="T1312" s="23"/>
      <c r="U1312" s="23">
        <v>2</v>
      </c>
      <c r="V1312" s="23"/>
      <c r="W1312" s="23"/>
      <c r="X1312" s="23"/>
      <c r="Y1312" s="23">
        <v>1</v>
      </c>
      <c r="Z1312" s="23"/>
      <c r="AA1312" s="23">
        <v>3</v>
      </c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>
        <v>6</v>
      </c>
      <c r="AL1312" s="23"/>
      <c r="AM1312" s="23"/>
      <c r="AN1312" s="23"/>
      <c r="AO1312" s="23">
        <v>1</v>
      </c>
      <c r="AP1312" s="23"/>
      <c r="AQ1312" s="23">
        <v>2</v>
      </c>
      <c r="AR1312" s="23">
        <v>3</v>
      </c>
      <c r="AS1312" s="23"/>
      <c r="AT1312" s="23"/>
      <c r="AU1312" s="14" t="str">
        <f>HYPERLINK("http://www.openstreetmap.org/?mlat=30.3852&amp;mlon=47.7092&amp;zoom=12#map=12/30.3852/47.7092","Maplink1")</f>
        <v>Maplink1</v>
      </c>
      <c r="AV1312" s="14" t="str">
        <f>HYPERLINK("https://www.google.iq/maps/search/+30.3852,47.7092/@30.3852,47.7092,14z?hl=en","Maplink2")</f>
        <v>Maplink2</v>
      </c>
      <c r="AW1312" s="14" t="str">
        <f>HYPERLINK("http://www.bing.com/maps/?lvl=14&amp;sty=h&amp;cp=30.3852~47.7092&amp;sp=point.30.3852_47.7092","Maplink3")</f>
        <v>Maplink3</v>
      </c>
    </row>
    <row r="1313" spans="1:49" ht="15" customHeight="1" x14ac:dyDescent="0.25">
      <c r="A1313" s="21">
        <v>757</v>
      </c>
      <c r="B1313" s="22" t="s">
        <v>12</v>
      </c>
      <c r="C1313" s="22" t="s">
        <v>2464</v>
      </c>
      <c r="D1313" s="22" t="s">
        <v>2489</v>
      </c>
      <c r="E1313" s="22" t="s">
        <v>2490</v>
      </c>
      <c r="F1313" s="22">
        <v>30.383056</v>
      </c>
      <c r="G1313" s="22">
        <v>47.688056000000003</v>
      </c>
      <c r="H1313" s="21" t="s">
        <v>2322</v>
      </c>
      <c r="I1313" s="21" t="s">
        <v>2466</v>
      </c>
      <c r="J1313" s="21" t="s">
        <v>2491</v>
      </c>
      <c r="K1313" s="24">
        <v>7</v>
      </c>
      <c r="L1313" s="24">
        <v>42</v>
      </c>
      <c r="M1313" s="23">
        <v>3</v>
      </c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>
        <v>1</v>
      </c>
      <c r="Z1313" s="23"/>
      <c r="AA1313" s="23">
        <v>3</v>
      </c>
      <c r="AB1313" s="23"/>
      <c r="AC1313" s="23"/>
      <c r="AD1313" s="23"/>
      <c r="AE1313" s="23"/>
      <c r="AF1313" s="23">
        <v>1</v>
      </c>
      <c r="AG1313" s="23"/>
      <c r="AH1313" s="23"/>
      <c r="AI1313" s="23"/>
      <c r="AJ1313" s="23"/>
      <c r="AK1313" s="23">
        <v>6</v>
      </c>
      <c r="AL1313" s="23"/>
      <c r="AM1313" s="23"/>
      <c r="AN1313" s="23"/>
      <c r="AO1313" s="23"/>
      <c r="AP1313" s="23"/>
      <c r="AQ1313" s="23">
        <v>3</v>
      </c>
      <c r="AR1313" s="23">
        <v>4</v>
      </c>
      <c r="AS1313" s="23"/>
      <c r="AT1313" s="23"/>
      <c r="AU1313" s="14" t="str">
        <f>HYPERLINK("http://www.openstreetmap.org/?mlat=30.3831&amp;mlon=47.6881&amp;zoom=12#map=12/30.3831/47.6881","Maplink1")</f>
        <v>Maplink1</v>
      </c>
      <c r="AV1313" s="14" t="str">
        <f>HYPERLINK("https://www.google.iq/maps/search/+30.3831,47.6881/@30.3831,47.6881,14z?hl=en","Maplink2")</f>
        <v>Maplink2</v>
      </c>
      <c r="AW1313" s="14" t="str">
        <f>HYPERLINK("http://www.bing.com/maps/?lvl=14&amp;sty=h&amp;cp=30.3831~47.6881&amp;sp=point.30.3831_47.6881_Al-marbed al-kadeem","Maplink3")</f>
        <v>Maplink3</v>
      </c>
    </row>
    <row r="1314" spans="1:49" ht="15" customHeight="1" x14ac:dyDescent="0.25">
      <c r="A1314" s="21">
        <v>764</v>
      </c>
      <c r="B1314" s="22" t="s">
        <v>12</v>
      </c>
      <c r="C1314" s="22" t="s">
        <v>2464</v>
      </c>
      <c r="D1314" s="22" t="s">
        <v>2492</v>
      </c>
      <c r="E1314" s="22" t="s">
        <v>2493</v>
      </c>
      <c r="F1314" s="22">
        <v>30.391667000000002</v>
      </c>
      <c r="G1314" s="22">
        <v>47.700833000000003</v>
      </c>
      <c r="H1314" s="21" t="s">
        <v>2322</v>
      </c>
      <c r="I1314" s="21" t="s">
        <v>2466</v>
      </c>
      <c r="J1314" s="21" t="s">
        <v>2494</v>
      </c>
      <c r="K1314" s="24">
        <v>8</v>
      </c>
      <c r="L1314" s="24">
        <v>48</v>
      </c>
      <c r="M1314" s="23">
        <v>1</v>
      </c>
      <c r="N1314" s="23"/>
      <c r="O1314" s="23"/>
      <c r="P1314" s="23"/>
      <c r="Q1314" s="23"/>
      <c r="R1314" s="23">
        <v>2</v>
      </c>
      <c r="S1314" s="23"/>
      <c r="T1314" s="23"/>
      <c r="U1314" s="23"/>
      <c r="V1314" s="23"/>
      <c r="W1314" s="23"/>
      <c r="X1314" s="23"/>
      <c r="Y1314" s="23">
        <v>3</v>
      </c>
      <c r="Z1314" s="23"/>
      <c r="AA1314" s="23">
        <v>2</v>
      </c>
      <c r="AB1314" s="23"/>
      <c r="AC1314" s="23"/>
      <c r="AD1314" s="23"/>
      <c r="AE1314" s="23"/>
      <c r="AF1314" s="23">
        <v>1</v>
      </c>
      <c r="AG1314" s="23"/>
      <c r="AH1314" s="23"/>
      <c r="AI1314" s="23"/>
      <c r="AJ1314" s="23"/>
      <c r="AK1314" s="23">
        <v>7</v>
      </c>
      <c r="AL1314" s="23"/>
      <c r="AM1314" s="23"/>
      <c r="AN1314" s="23"/>
      <c r="AO1314" s="23">
        <v>1</v>
      </c>
      <c r="AP1314" s="23">
        <v>3</v>
      </c>
      <c r="AQ1314" s="23">
        <v>1</v>
      </c>
      <c r="AR1314" s="23">
        <v>3</v>
      </c>
      <c r="AS1314" s="23"/>
      <c r="AT1314" s="23"/>
      <c r="AU1314" s="14" t="str">
        <f>HYPERLINK("http://www.openstreetmap.org/?mlat=30.3917&amp;mlon=47.7008&amp;zoom=12#map=12/30.3917/47.7008","Maplink1")</f>
        <v>Maplink1</v>
      </c>
      <c r="AV1314" s="14" t="str">
        <f>HYPERLINK("https://www.google.iq/maps/search/+30.3917,47.7008/@30.3917,47.7008,14z?hl=en","Maplink2")</f>
        <v>Maplink2</v>
      </c>
      <c r="AW1314" s="14" t="str">
        <f>HYPERLINK("http://www.bing.com/maps/?lvl=14&amp;sty=h&amp;cp=30.3917~47.7008&amp;sp=point.30.3917_47.7008_Al-rasheidiyah al-thaniyah","Maplink3")</f>
        <v>Maplink3</v>
      </c>
    </row>
    <row r="1315" spans="1:49" ht="15" customHeight="1" x14ac:dyDescent="0.25">
      <c r="A1315" s="21">
        <v>779</v>
      </c>
      <c r="B1315" s="22" t="s">
        <v>12</v>
      </c>
      <c r="C1315" s="22" t="s">
        <v>2464</v>
      </c>
      <c r="D1315" s="22" t="s">
        <v>2495</v>
      </c>
      <c r="E1315" s="22" t="s">
        <v>2496</v>
      </c>
      <c r="F1315" s="22">
        <v>30.395800000000001</v>
      </c>
      <c r="G1315" s="22">
        <v>47.702199999999998</v>
      </c>
      <c r="H1315" s="21" t="s">
        <v>2322</v>
      </c>
      <c r="I1315" s="21" t="s">
        <v>2466</v>
      </c>
      <c r="J1315" s="21" t="s">
        <v>2497</v>
      </c>
      <c r="K1315" s="24">
        <v>4</v>
      </c>
      <c r="L1315" s="24">
        <v>24</v>
      </c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>
        <v>3</v>
      </c>
      <c r="Z1315" s="23"/>
      <c r="AA1315" s="23">
        <v>1</v>
      </c>
      <c r="AB1315" s="23"/>
      <c r="AC1315" s="23"/>
      <c r="AD1315" s="23"/>
      <c r="AE1315" s="23"/>
      <c r="AF1315" s="23">
        <v>2</v>
      </c>
      <c r="AG1315" s="23"/>
      <c r="AH1315" s="23"/>
      <c r="AI1315" s="23"/>
      <c r="AJ1315" s="23"/>
      <c r="AK1315" s="23">
        <v>2</v>
      </c>
      <c r="AL1315" s="23"/>
      <c r="AM1315" s="23"/>
      <c r="AN1315" s="23"/>
      <c r="AO1315" s="23"/>
      <c r="AP1315" s="23">
        <v>1</v>
      </c>
      <c r="AQ1315" s="23"/>
      <c r="AR1315" s="23">
        <v>2</v>
      </c>
      <c r="AS1315" s="23">
        <v>1</v>
      </c>
      <c r="AT1315" s="23"/>
      <c r="AU1315" s="14" t="str">
        <f>HYPERLINK("http://www.openstreetmap.org/?mlat=30.3958&amp;mlon=47.7022&amp;zoom=12#map=12/30.3958/47.7022","Maplink1")</f>
        <v>Maplink1</v>
      </c>
      <c r="AV1315" s="14" t="str">
        <f>HYPERLINK("https://www.google.iq/maps/search/+30.3958,47.7022/@30.3958,47.7022,14z?hl=en","Maplink2")</f>
        <v>Maplink2</v>
      </c>
      <c r="AW1315" s="14" t="str">
        <f>HYPERLINK("http://www.bing.com/maps/?lvl=14&amp;sty=h&amp;cp=30.3958~47.7022&amp;sp=point.30.3958_47.7022_Al-Rasheidiyah Alolh","Maplink3")</f>
        <v>Maplink3</v>
      </c>
    </row>
    <row r="1316" spans="1:49" ht="15" customHeight="1" x14ac:dyDescent="0.25">
      <c r="A1316" s="21">
        <v>509</v>
      </c>
      <c r="B1316" s="22" t="s">
        <v>12</v>
      </c>
      <c r="C1316" s="22" t="s">
        <v>2464</v>
      </c>
      <c r="D1316" s="22" t="s">
        <v>7537</v>
      </c>
      <c r="E1316" s="22" t="s">
        <v>2465</v>
      </c>
      <c r="F1316" s="22">
        <v>30.404299999999999</v>
      </c>
      <c r="G1316" s="22">
        <v>47.713000000000001</v>
      </c>
      <c r="H1316" s="21" t="s">
        <v>2322</v>
      </c>
      <c r="I1316" s="21" t="s">
        <v>2466</v>
      </c>
      <c r="J1316" s="21" t="s">
        <v>2467</v>
      </c>
      <c r="K1316" s="24">
        <v>51</v>
      </c>
      <c r="L1316" s="24">
        <v>306</v>
      </c>
      <c r="M1316" s="23">
        <v>2</v>
      </c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>
        <v>49</v>
      </c>
      <c r="AB1316" s="23"/>
      <c r="AC1316" s="23"/>
      <c r="AD1316" s="23"/>
      <c r="AE1316" s="23"/>
      <c r="AF1316" s="23">
        <v>5</v>
      </c>
      <c r="AG1316" s="23"/>
      <c r="AH1316" s="23">
        <v>6</v>
      </c>
      <c r="AI1316" s="23"/>
      <c r="AJ1316" s="23"/>
      <c r="AK1316" s="23">
        <v>40</v>
      </c>
      <c r="AL1316" s="23"/>
      <c r="AM1316" s="23"/>
      <c r="AN1316" s="23"/>
      <c r="AO1316" s="23">
        <v>5</v>
      </c>
      <c r="AP1316" s="23">
        <v>8</v>
      </c>
      <c r="AQ1316" s="23">
        <v>1</v>
      </c>
      <c r="AR1316" s="23">
        <v>32</v>
      </c>
      <c r="AS1316" s="23">
        <v>5</v>
      </c>
      <c r="AT1316" s="23"/>
      <c r="AU1316" s="14" t="str">
        <f>HYPERLINK("http://www.openstreetmap.org/?mlat=30.4043&amp;mlon=47.713&amp;zoom=12#map=12/30.4043/47.713","Maplink1")</f>
        <v>Maplink1</v>
      </c>
      <c r="AV1316" s="14" t="str">
        <f>HYPERLINK("https://www.google.iq/maps/search/+30.4043,47.713/@30.4043,47.713,14z?hl=en","Maplink2")</f>
        <v>Maplink2</v>
      </c>
      <c r="AW1316" s="14" t="str">
        <f>HYPERLINK("http://www.bing.com/maps/?lvl=14&amp;sty=h&amp;cp=30.4043~47.713&amp;sp=point.30.4043_47.713_Al -Shemal Area","Maplink3")</f>
        <v>Maplink3</v>
      </c>
    </row>
    <row r="1317" spans="1:49" ht="15" customHeight="1" x14ac:dyDescent="0.25">
      <c r="A1317" s="21">
        <v>27327</v>
      </c>
      <c r="B1317" s="22" t="s">
        <v>12</v>
      </c>
      <c r="C1317" s="22" t="s">
        <v>2464</v>
      </c>
      <c r="D1317" s="22" t="s">
        <v>2498</v>
      </c>
      <c r="E1317" s="22" t="s">
        <v>2499</v>
      </c>
      <c r="F1317" s="22">
        <v>30.442900000000002</v>
      </c>
      <c r="G1317" s="22">
        <v>47.666899999999998</v>
      </c>
      <c r="H1317" s="21" t="s">
        <v>2322</v>
      </c>
      <c r="I1317" s="21" t="s">
        <v>2466</v>
      </c>
      <c r="J1317" s="21"/>
      <c r="K1317" s="24">
        <v>3</v>
      </c>
      <c r="L1317" s="24">
        <v>18</v>
      </c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>
        <v>2</v>
      </c>
      <c r="Z1317" s="23"/>
      <c r="AA1317" s="23">
        <v>1</v>
      </c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>
        <v>3</v>
      </c>
      <c r="AL1317" s="23"/>
      <c r="AM1317" s="23"/>
      <c r="AN1317" s="23"/>
      <c r="AO1317" s="23"/>
      <c r="AP1317" s="23">
        <v>1</v>
      </c>
      <c r="AQ1317" s="23"/>
      <c r="AR1317" s="23">
        <v>2</v>
      </c>
      <c r="AS1317" s="23"/>
      <c r="AT1317" s="23"/>
      <c r="AU1317" s="14" t="str">
        <f>HYPERLINK("http://www.openstreetmap.org/?mlat=30.4429&amp;mlon=47.6669&amp;zoom=12#map=12/30.4429/47.6669","Maplink1")</f>
        <v>Maplink1</v>
      </c>
      <c r="AV1317" s="14" t="str">
        <f>HYPERLINK("https://www.google.iq/maps/search/+30.4429,47.6669/@30.4429,47.6669,14z?hl=en","Maplink2")</f>
        <v>Maplink2</v>
      </c>
      <c r="AW1317" s="14" t="str">
        <f>HYPERLINK("http://www.bing.com/maps/?lvl=14&amp;sty=h&amp;cp=30.4429~47.6669&amp;sp=point.30.4429_47.6669_Al-Shuaiba Door Al Masfa","Maplink3")</f>
        <v>Maplink3</v>
      </c>
    </row>
    <row r="1318" spans="1:49" ht="15" customHeight="1" x14ac:dyDescent="0.25">
      <c r="A1318" s="21">
        <v>25463</v>
      </c>
      <c r="B1318" s="22" t="s">
        <v>12</v>
      </c>
      <c r="C1318" s="22" t="s">
        <v>2464</v>
      </c>
      <c r="D1318" s="22" t="s">
        <v>2500</v>
      </c>
      <c r="E1318" s="22" t="s">
        <v>2501</v>
      </c>
      <c r="F1318" s="22">
        <v>30.427499999999998</v>
      </c>
      <c r="G1318" s="22">
        <v>47.679699999999997</v>
      </c>
      <c r="H1318" s="21" t="s">
        <v>2322</v>
      </c>
      <c r="I1318" s="21" t="s">
        <v>2466</v>
      </c>
      <c r="J1318" s="21"/>
      <c r="K1318" s="24">
        <v>10</v>
      </c>
      <c r="L1318" s="24">
        <v>60</v>
      </c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>
        <v>9</v>
      </c>
      <c r="Z1318" s="23"/>
      <c r="AA1318" s="23">
        <v>1</v>
      </c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>
        <v>10</v>
      </c>
      <c r="AL1318" s="23"/>
      <c r="AM1318" s="23"/>
      <c r="AN1318" s="23"/>
      <c r="AO1318" s="23"/>
      <c r="AP1318" s="23">
        <v>3</v>
      </c>
      <c r="AQ1318" s="23">
        <v>3</v>
      </c>
      <c r="AR1318" s="23">
        <v>4</v>
      </c>
      <c r="AS1318" s="23"/>
      <c r="AT1318" s="23"/>
      <c r="AU1318" s="14" t="str">
        <f>HYPERLINK("http://www.openstreetmap.org/?mlat=30.4275&amp;mlon=47.6797&amp;zoom=12#map=12/30.4275/47.6797","Maplink1")</f>
        <v>Maplink1</v>
      </c>
      <c r="AV1318" s="14" t="str">
        <f>HYPERLINK("https://www.google.iq/maps/search/+30.4275,47.6797/@30.4275,47.6797,14z?hl=en","Maplink2")</f>
        <v>Maplink2</v>
      </c>
      <c r="AW1318" s="14" t="str">
        <f>HYPERLINK("http://www.bing.com/maps/?lvl=14&amp;sty=h&amp;cp=30.4275~47.6797&amp;sp=point.30.4275_47.6797_Al-Shuaiba Hay Al-Murtadh","Maplink3")</f>
        <v>Maplink3</v>
      </c>
    </row>
    <row r="1319" spans="1:49" ht="15" customHeight="1" x14ac:dyDescent="0.25">
      <c r="A1319" s="21">
        <v>1312</v>
      </c>
      <c r="B1319" s="22" t="s">
        <v>12</v>
      </c>
      <c r="C1319" s="22" t="s">
        <v>2464</v>
      </c>
      <c r="D1319" s="22" t="s">
        <v>2502</v>
      </c>
      <c r="E1319" s="22" t="s">
        <v>7928</v>
      </c>
      <c r="F1319" s="22">
        <v>30.397500000000001</v>
      </c>
      <c r="G1319" s="22">
        <v>47.715000000000003</v>
      </c>
      <c r="H1319" s="21" t="s">
        <v>2322</v>
      </c>
      <c r="I1319" s="21" t="s">
        <v>2466</v>
      </c>
      <c r="J1319" s="21" t="s">
        <v>2503</v>
      </c>
      <c r="K1319" s="24">
        <v>2</v>
      </c>
      <c r="L1319" s="24">
        <v>12</v>
      </c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>
        <v>2</v>
      </c>
      <c r="AB1319" s="23"/>
      <c r="AC1319" s="23"/>
      <c r="AD1319" s="23"/>
      <c r="AE1319" s="23"/>
      <c r="AF1319" s="23">
        <v>1</v>
      </c>
      <c r="AG1319" s="23"/>
      <c r="AH1319" s="23"/>
      <c r="AI1319" s="23"/>
      <c r="AJ1319" s="23"/>
      <c r="AK1319" s="23">
        <v>1</v>
      </c>
      <c r="AL1319" s="23"/>
      <c r="AM1319" s="23"/>
      <c r="AN1319" s="23"/>
      <c r="AO1319" s="23"/>
      <c r="AP1319" s="23">
        <v>1</v>
      </c>
      <c r="AQ1319" s="23"/>
      <c r="AR1319" s="23">
        <v>1</v>
      </c>
      <c r="AS1319" s="23"/>
      <c r="AT1319" s="23"/>
      <c r="AU1319" s="14" t="str">
        <f>HYPERLINK("http://www.openstreetmap.org/?mlat=30.3975&amp;mlon=47.715&amp;zoom=12#map=12/30.3975/47.715","Maplink1")</f>
        <v>Maplink1</v>
      </c>
      <c r="AV1319" s="14" t="str">
        <f>HYPERLINK("https://www.google.iq/maps/search/+30.3975,47.715/@30.3975,47.715,14z?hl=en","Maplink2")</f>
        <v>Maplink2</v>
      </c>
      <c r="AW1319" s="14" t="str">
        <f>HYPERLINK("http://www.bing.com/maps/?lvl=14&amp;sty=h&amp;cp=30.3975~47.715&amp;sp=point.30.3975_47.715_Al-Zubair Hay AlAthar","Maplink3")</f>
        <v>Maplink3</v>
      </c>
    </row>
    <row r="1320" spans="1:49" ht="15" customHeight="1" x14ac:dyDescent="0.25">
      <c r="A1320" s="21">
        <v>25971</v>
      </c>
      <c r="B1320" s="22" t="s">
        <v>12</v>
      </c>
      <c r="C1320" s="22" t="s">
        <v>2464</v>
      </c>
      <c r="D1320" s="22" t="s">
        <v>2504</v>
      </c>
      <c r="E1320" s="22" t="s">
        <v>2505</v>
      </c>
      <c r="F1320" s="22">
        <v>30.378</v>
      </c>
      <c r="G1320" s="22">
        <v>47.711599999999997</v>
      </c>
      <c r="H1320" s="21" t="s">
        <v>2322</v>
      </c>
      <c r="I1320" s="21" t="s">
        <v>2466</v>
      </c>
      <c r="J1320" s="21"/>
      <c r="K1320" s="24">
        <v>6</v>
      </c>
      <c r="L1320" s="24">
        <v>36</v>
      </c>
      <c r="M1320" s="23"/>
      <c r="N1320" s="23"/>
      <c r="O1320" s="23"/>
      <c r="P1320" s="23"/>
      <c r="Q1320" s="23"/>
      <c r="R1320" s="23">
        <v>1</v>
      </c>
      <c r="S1320" s="23"/>
      <c r="T1320" s="23"/>
      <c r="U1320" s="23"/>
      <c r="V1320" s="23"/>
      <c r="W1320" s="23"/>
      <c r="X1320" s="23"/>
      <c r="Y1320" s="23">
        <v>1</v>
      </c>
      <c r="Z1320" s="23"/>
      <c r="AA1320" s="23">
        <v>4</v>
      </c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>
        <v>6</v>
      </c>
      <c r="AL1320" s="23"/>
      <c r="AM1320" s="23"/>
      <c r="AN1320" s="23"/>
      <c r="AO1320" s="23">
        <v>1</v>
      </c>
      <c r="AP1320" s="23"/>
      <c r="AQ1320" s="23">
        <v>1</v>
      </c>
      <c r="AR1320" s="23">
        <v>4</v>
      </c>
      <c r="AS1320" s="23"/>
      <c r="AT1320" s="23"/>
      <c r="AU1320" s="14" t="str">
        <f>HYPERLINK("http://www.openstreetmap.org/?mlat=30.378&amp;mlon=47.7116&amp;zoom=12#map=12/30.378/47.7116","Maplink1")</f>
        <v>Maplink1</v>
      </c>
      <c r="AV1320" s="14" t="str">
        <f>HYPERLINK("https://www.google.iq/maps/search/+30.378,47.7116/@30.378,47.7116,14z?hl=en","Maplink2")</f>
        <v>Maplink2</v>
      </c>
      <c r="AW1320" s="14" t="str">
        <f>HYPERLINK("http://www.bing.com/maps/?lvl=14&amp;sty=h&amp;cp=30.378~47.7116&amp;sp=point.30.378_47.7116_Door Al Dubbat","Maplink3")</f>
        <v>Maplink3</v>
      </c>
    </row>
    <row r="1321" spans="1:49" ht="15" customHeight="1" x14ac:dyDescent="0.25">
      <c r="A1321" s="21">
        <v>652</v>
      </c>
      <c r="B1321" s="22" t="s">
        <v>12</v>
      </c>
      <c r="C1321" s="22" t="s">
        <v>2464</v>
      </c>
      <c r="D1321" s="22" t="s">
        <v>2506</v>
      </c>
      <c r="E1321" s="22" t="s">
        <v>2507</v>
      </c>
      <c r="F1321" s="22">
        <v>30.038611</v>
      </c>
      <c r="G1321" s="22">
        <v>47.908332999999999</v>
      </c>
      <c r="H1321" s="21" t="s">
        <v>2322</v>
      </c>
      <c r="I1321" s="21" t="s">
        <v>2466</v>
      </c>
      <c r="J1321" s="21" t="s">
        <v>2508</v>
      </c>
      <c r="K1321" s="24">
        <v>4</v>
      </c>
      <c r="L1321" s="24">
        <v>24</v>
      </c>
      <c r="M1321" s="23">
        <v>2</v>
      </c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>
        <v>2</v>
      </c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>
        <v>4</v>
      </c>
      <c r="AL1321" s="23"/>
      <c r="AM1321" s="23"/>
      <c r="AN1321" s="23"/>
      <c r="AO1321" s="23"/>
      <c r="AP1321" s="23"/>
      <c r="AQ1321" s="23">
        <v>2</v>
      </c>
      <c r="AR1321" s="23">
        <v>2</v>
      </c>
      <c r="AS1321" s="23"/>
      <c r="AT1321" s="23"/>
      <c r="AU1321" s="14" t="str">
        <f>HYPERLINK("http://www.openstreetmap.org/?mlat=30.0386&amp;mlon=47.9083&amp;zoom=12#map=12/30.0386/47.9083","Maplink1")</f>
        <v>Maplink1</v>
      </c>
      <c r="AV1321" s="14" t="str">
        <f>HYPERLINK("https://www.google.iq/maps/search/+30.0386,47.9083/@30.0386,47.9083,14z?hl=en","Maplink2")</f>
        <v>Maplink2</v>
      </c>
      <c r="AW1321" s="14" t="str">
        <f>HYPERLINK("http://www.bing.com/maps/?lvl=14&amp;sty=h&amp;cp=30.0386~47.9083&amp;sp=point.30.0386_47.9083_Door al hindiyah ash shemaliyah","Maplink3")</f>
        <v>Maplink3</v>
      </c>
    </row>
    <row r="1322" spans="1:49" ht="15" customHeight="1" x14ac:dyDescent="0.25">
      <c r="A1322" s="21">
        <v>651</v>
      </c>
      <c r="B1322" s="22" t="s">
        <v>12</v>
      </c>
      <c r="C1322" s="22" t="s">
        <v>2464</v>
      </c>
      <c r="D1322" s="22" t="s">
        <v>2509</v>
      </c>
      <c r="E1322" s="22" t="s">
        <v>2510</v>
      </c>
      <c r="F1322" s="22">
        <v>30.038333000000002</v>
      </c>
      <c r="G1322" s="22">
        <v>47.915832999999999</v>
      </c>
      <c r="H1322" s="21" t="s">
        <v>2322</v>
      </c>
      <c r="I1322" s="21" t="s">
        <v>2466</v>
      </c>
      <c r="J1322" s="21" t="s">
        <v>2511</v>
      </c>
      <c r="K1322" s="24">
        <v>5</v>
      </c>
      <c r="L1322" s="24">
        <v>30</v>
      </c>
      <c r="M1322" s="23">
        <v>5</v>
      </c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>
        <v>5</v>
      </c>
      <c r="AL1322" s="23"/>
      <c r="AM1322" s="23"/>
      <c r="AN1322" s="23"/>
      <c r="AO1322" s="23"/>
      <c r="AP1322" s="23">
        <v>5</v>
      </c>
      <c r="AQ1322" s="23"/>
      <c r="AR1322" s="23"/>
      <c r="AS1322" s="23"/>
      <c r="AT1322" s="23"/>
      <c r="AU1322" s="14" t="str">
        <f>HYPERLINK("http://www.openstreetmap.org/?mlat=30.0383&amp;mlon=47.9158&amp;zoom=12#map=12/30.0383/47.9158","Maplink1")</f>
        <v>Maplink1</v>
      </c>
      <c r="AV1322" s="14" t="str">
        <f>HYPERLINK("https://www.google.iq/maps/search/+30.0383,47.9158/@30.0383,47.9158,14z?hl=en","Maplink2")</f>
        <v>Maplink2</v>
      </c>
      <c r="AW1322" s="14" t="str">
        <f>HYPERLINK("http://www.bing.com/maps/?lvl=14&amp;sty=h&amp;cp=30.0383~47.9158&amp;sp=point.30.0383_47.9158_Door al-farook","Maplink3")</f>
        <v>Maplink3</v>
      </c>
    </row>
    <row r="1323" spans="1:49" ht="15" customHeight="1" x14ac:dyDescent="0.25">
      <c r="A1323" s="21">
        <v>756</v>
      </c>
      <c r="B1323" s="22" t="s">
        <v>12</v>
      </c>
      <c r="C1323" s="22" t="s">
        <v>2464</v>
      </c>
      <c r="D1323" s="22" t="s">
        <v>2380</v>
      </c>
      <c r="E1323" s="22" t="s">
        <v>8612</v>
      </c>
      <c r="F1323" s="22">
        <v>30.383089999999999</v>
      </c>
      <c r="G1323" s="22">
        <v>47.729128000000003</v>
      </c>
      <c r="H1323" s="21" t="s">
        <v>2322</v>
      </c>
      <c r="I1323" s="21" t="s">
        <v>2466</v>
      </c>
      <c r="J1323" s="21" t="s">
        <v>8613</v>
      </c>
      <c r="K1323" s="24">
        <v>3</v>
      </c>
      <c r="L1323" s="24">
        <v>18</v>
      </c>
      <c r="M1323" s="23">
        <v>2</v>
      </c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>
        <v>1</v>
      </c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>
        <v>3</v>
      </c>
      <c r="AL1323" s="23"/>
      <c r="AM1323" s="23"/>
      <c r="AN1323" s="23"/>
      <c r="AO1323" s="23"/>
      <c r="AP1323" s="23"/>
      <c r="AQ1323" s="23">
        <v>1</v>
      </c>
      <c r="AR1323" s="23">
        <v>2</v>
      </c>
      <c r="AS1323" s="23"/>
      <c r="AT1323" s="23"/>
      <c r="AU1323" s="14" t="str">
        <f>HYPERLINK("http://www.openstreetmap.org/?mlat=30.3831&amp;mlon=47.7291&amp;zoom=12#map=12/30.3831/47.7291","Maplink1")</f>
        <v>Maplink1</v>
      </c>
      <c r="AV1323" s="14" t="str">
        <f>HYPERLINK("https://www.google.iq/maps/search/+30.3831,47.7291/@30.3831,47.7291,14z?hl=en","Maplink2")</f>
        <v>Maplink2</v>
      </c>
      <c r="AW1323" s="14" t="str">
        <f>HYPERLINK("http://www.bing.com/maps/?lvl=14&amp;sty=h&amp;cp=30.3831~47.7291&amp;sp=point.30.3831_47.7291","Maplink3")</f>
        <v>Maplink3</v>
      </c>
    </row>
    <row r="1324" spans="1:49" ht="15" customHeight="1" x14ac:dyDescent="0.25">
      <c r="A1324" s="21">
        <v>22858</v>
      </c>
      <c r="B1324" s="22" t="s">
        <v>12</v>
      </c>
      <c r="C1324" s="22" t="s">
        <v>2464</v>
      </c>
      <c r="D1324" s="22" t="s">
        <v>2512</v>
      </c>
      <c r="E1324" s="22" t="s">
        <v>7929</v>
      </c>
      <c r="F1324" s="22">
        <v>30.379100000000001</v>
      </c>
      <c r="G1324" s="22">
        <v>47.722999999999999</v>
      </c>
      <c r="H1324" s="21" t="s">
        <v>2322</v>
      </c>
      <c r="I1324" s="21" t="s">
        <v>2466</v>
      </c>
      <c r="J1324" s="21" t="s">
        <v>2513</v>
      </c>
      <c r="K1324" s="24">
        <v>3</v>
      </c>
      <c r="L1324" s="24">
        <v>18</v>
      </c>
      <c r="M1324" s="23">
        <v>1</v>
      </c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>
        <v>2</v>
      </c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>
        <v>3</v>
      </c>
      <c r="AL1324" s="23"/>
      <c r="AM1324" s="23"/>
      <c r="AN1324" s="23"/>
      <c r="AO1324" s="23"/>
      <c r="AP1324" s="23">
        <v>1</v>
      </c>
      <c r="AQ1324" s="23">
        <v>2</v>
      </c>
      <c r="AR1324" s="23"/>
      <c r="AS1324" s="23"/>
      <c r="AT1324" s="23"/>
      <c r="AU1324" s="14" t="str">
        <f>HYPERLINK("http://www.openstreetmap.org/?mlat=30.3791&amp;mlon=47.723&amp;zoom=12#map=12/30.3791/47.723","Maplink1")</f>
        <v>Maplink1</v>
      </c>
      <c r="AV1324" s="14" t="str">
        <f>HYPERLINK("https://www.google.iq/maps/search/+30.3791,47.723/@30.3791,47.723,14z?hl=en","Maplink2")</f>
        <v>Maplink2</v>
      </c>
      <c r="AW1324" s="14" t="str">
        <f>HYPERLINK("http://www.bing.com/maps/?lvl=14&amp;sty=h&amp;cp=30.3791~47.723&amp;sp=point.30.3791_47.723_Hay Al Dirhamiyah 3","Maplink3")</f>
        <v>Maplink3</v>
      </c>
    </row>
    <row r="1325" spans="1:49" ht="15" customHeight="1" x14ac:dyDescent="0.25">
      <c r="A1325" s="21">
        <v>1304</v>
      </c>
      <c r="B1325" s="22" t="s">
        <v>12</v>
      </c>
      <c r="C1325" s="22" t="s">
        <v>2464</v>
      </c>
      <c r="D1325" s="22" t="s">
        <v>7445</v>
      </c>
      <c r="E1325" s="22" t="s">
        <v>2514</v>
      </c>
      <c r="F1325" s="22">
        <v>30.369721999999999</v>
      </c>
      <c r="G1325" s="22">
        <v>47.717500000000001</v>
      </c>
      <c r="H1325" s="21" t="s">
        <v>2322</v>
      </c>
      <c r="I1325" s="21" t="s">
        <v>2466</v>
      </c>
      <c r="J1325" s="21" t="s">
        <v>2515</v>
      </c>
      <c r="K1325" s="24">
        <v>3</v>
      </c>
      <c r="L1325" s="24">
        <v>18</v>
      </c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>
        <v>3</v>
      </c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>
        <v>3</v>
      </c>
      <c r="AL1325" s="23"/>
      <c r="AM1325" s="23"/>
      <c r="AN1325" s="23"/>
      <c r="AO1325" s="23"/>
      <c r="AP1325" s="23"/>
      <c r="AQ1325" s="23"/>
      <c r="AR1325" s="23">
        <v>3</v>
      </c>
      <c r="AS1325" s="23"/>
      <c r="AT1325" s="23"/>
      <c r="AU1325" s="14" t="str">
        <f>HYPERLINK("http://www.openstreetmap.org/?mlat=30.3697&amp;mlon=47.7175&amp;zoom=12#map=12/30.3697/47.7175","Maplink1")</f>
        <v>Maplink1</v>
      </c>
      <c r="AV1325" s="14" t="str">
        <f>HYPERLINK("https://www.google.iq/maps/search/+30.3697,47.7175/@30.3697,47.7175,14z?hl=en","Maplink2")</f>
        <v>Maplink2</v>
      </c>
      <c r="AW1325" s="14" t="str">
        <f>HYPERLINK("http://www.bing.com/maps/?lvl=14&amp;sty=h&amp;cp=30.3697~47.7175&amp;sp=point.30.3697_47.7175","Maplink3")</f>
        <v>Maplink3</v>
      </c>
    </row>
    <row r="1326" spans="1:49" ht="15" customHeight="1" x14ac:dyDescent="0.25">
      <c r="A1326" s="21">
        <v>1277</v>
      </c>
      <c r="B1326" s="22" t="s">
        <v>12</v>
      </c>
      <c r="C1326" s="22" t="s">
        <v>2464</v>
      </c>
      <c r="D1326" s="22" t="s">
        <v>1353</v>
      </c>
      <c r="E1326" s="22" t="s">
        <v>2516</v>
      </c>
      <c r="F1326" s="22">
        <v>30.381599999999999</v>
      </c>
      <c r="G1326" s="22">
        <v>47.731400000000001</v>
      </c>
      <c r="H1326" s="21" t="s">
        <v>2322</v>
      </c>
      <c r="I1326" s="21" t="s">
        <v>2466</v>
      </c>
      <c r="J1326" s="21" t="s">
        <v>2517</v>
      </c>
      <c r="K1326" s="24">
        <v>5</v>
      </c>
      <c r="L1326" s="24">
        <v>30</v>
      </c>
      <c r="M1326" s="23">
        <v>4</v>
      </c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>
        <v>1</v>
      </c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>
        <v>5</v>
      </c>
      <c r="AL1326" s="23"/>
      <c r="AM1326" s="23"/>
      <c r="AN1326" s="23"/>
      <c r="AO1326" s="23"/>
      <c r="AP1326" s="23">
        <v>1</v>
      </c>
      <c r="AQ1326" s="23">
        <v>1</v>
      </c>
      <c r="AR1326" s="23">
        <v>3</v>
      </c>
      <c r="AS1326" s="23"/>
      <c r="AT1326" s="23"/>
      <c r="AU1326" s="14" t="str">
        <f>HYPERLINK("http://www.openstreetmap.org/?mlat=30.3816&amp;mlon=47.7314&amp;zoom=12#map=12/30.3816/47.7314","Maplink1")</f>
        <v>Maplink1</v>
      </c>
      <c r="AV1326" s="14" t="str">
        <f>HYPERLINK("https://www.google.iq/maps/search/+30.3816,47.7314/@30.3816,47.7314,14z?hl=en","Maplink2")</f>
        <v>Maplink2</v>
      </c>
      <c r="AW1326" s="14" t="str">
        <f>HYPERLINK("http://www.bing.com/maps/?lvl=14&amp;sty=h&amp;cp=30.3816~47.7314&amp;sp=point.30.3816_47.7314_Hay Al Hussain","Maplink3")</f>
        <v>Maplink3</v>
      </c>
    </row>
    <row r="1327" spans="1:49" ht="15" customHeight="1" x14ac:dyDescent="0.25">
      <c r="A1327" s="21">
        <v>1311</v>
      </c>
      <c r="B1327" s="22" t="s">
        <v>12</v>
      </c>
      <c r="C1327" s="22" t="s">
        <v>2464</v>
      </c>
      <c r="D1327" s="22" t="s">
        <v>2518</v>
      </c>
      <c r="E1327" s="22" t="s">
        <v>1007</v>
      </c>
      <c r="F1327" s="22">
        <v>30.380199999999999</v>
      </c>
      <c r="G1327" s="22">
        <v>47.716500000000003</v>
      </c>
      <c r="H1327" s="21" t="s">
        <v>2322</v>
      </c>
      <c r="I1327" s="21" t="s">
        <v>2466</v>
      </c>
      <c r="J1327" s="21" t="s">
        <v>2519</v>
      </c>
      <c r="K1327" s="24">
        <v>4</v>
      </c>
      <c r="L1327" s="24">
        <v>24</v>
      </c>
      <c r="M1327" s="23">
        <v>3</v>
      </c>
      <c r="N1327" s="23"/>
      <c r="O1327" s="23"/>
      <c r="P1327" s="23"/>
      <c r="Q1327" s="23"/>
      <c r="R1327" s="23"/>
      <c r="S1327" s="23"/>
      <c r="T1327" s="23"/>
      <c r="U1327" s="23">
        <v>1</v>
      </c>
      <c r="V1327" s="23"/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23">
        <v>3</v>
      </c>
      <c r="AG1327" s="23"/>
      <c r="AH1327" s="23"/>
      <c r="AI1327" s="23"/>
      <c r="AJ1327" s="23"/>
      <c r="AK1327" s="23">
        <v>1</v>
      </c>
      <c r="AL1327" s="23"/>
      <c r="AM1327" s="23"/>
      <c r="AN1327" s="23"/>
      <c r="AO1327" s="23">
        <v>3</v>
      </c>
      <c r="AP1327" s="23"/>
      <c r="AQ1327" s="23"/>
      <c r="AR1327" s="23">
        <v>1</v>
      </c>
      <c r="AS1327" s="23"/>
      <c r="AT1327" s="23"/>
      <c r="AU1327" s="14" t="str">
        <f>HYPERLINK("http://www.openstreetmap.org/?mlat=30.3802&amp;mlon=47.7165&amp;zoom=12#map=12/30.3802/47.7165","Maplink1")</f>
        <v>Maplink1</v>
      </c>
      <c r="AV1327" s="14" t="str">
        <f>HYPERLINK("https://www.google.iq/maps/search/+30.3802,47.7165/@30.3802,47.7165,14z?hl=en","Maplink2")</f>
        <v>Maplink2</v>
      </c>
      <c r="AW1327" s="14" t="str">
        <f>HYPERLINK("http://www.bing.com/maps/?lvl=14&amp;sty=h&amp;cp=30.3802~47.7165&amp;sp=point.30.3802_47.7165_Hay Al Sajad","Maplink3")</f>
        <v>Maplink3</v>
      </c>
    </row>
    <row r="1328" spans="1:49" ht="15" customHeight="1" x14ac:dyDescent="0.25">
      <c r="A1328" s="21">
        <v>759</v>
      </c>
      <c r="B1328" s="22" t="s">
        <v>12</v>
      </c>
      <c r="C1328" s="22" t="s">
        <v>2464</v>
      </c>
      <c r="D1328" s="22" t="s">
        <v>2520</v>
      </c>
      <c r="E1328" s="22" t="s">
        <v>2521</v>
      </c>
      <c r="F1328" s="22">
        <v>30.384167000000001</v>
      </c>
      <c r="G1328" s="22">
        <v>47.717500000000001</v>
      </c>
      <c r="H1328" s="21" t="s">
        <v>2322</v>
      </c>
      <c r="I1328" s="21" t="s">
        <v>2466</v>
      </c>
      <c r="J1328" s="21" t="s">
        <v>2522</v>
      </c>
      <c r="K1328" s="24">
        <v>2</v>
      </c>
      <c r="L1328" s="24">
        <v>12</v>
      </c>
      <c r="M1328" s="23"/>
      <c r="N1328" s="23"/>
      <c r="O1328" s="23"/>
      <c r="P1328" s="23"/>
      <c r="Q1328" s="23"/>
      <c r="R1328" s="23">
        <v>1</v>
      </c>
      <c r="S1328" s="23"/>
      <c r="T1328" s="23"/>
      <c r="U1328" s="23"/>
      <c r="V1328" s="23"/>
      <c r="W1328" s="23"/>
      <c r="X1328" s="23"/>
      <c r="Y1328" s="23"/>
      <c r="Z1328" s="23"/>
      <c r="AA1328" s="23">
        <v>1</v>
      </c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>
        <v>2</v>
      </c>
      <c r="AL1328" s="23"/>
      <c r="AM1328" s="23"/>
      <c r="AN1328" s="23"/>
      <c r="AO1328" s="23"/>
      <c r="AP1328" s="23">
        <v>1</v>
      </c>
      <c r="AQ1328" s="23"/>
      <c r="AR1328" s="23">
        <v>1</v>
      </c>
      <c r="AS1328" s="23"/>
      <c r="AT1328" s="23"/>
      <c r="AU1328" s="14" t="str">
        <f>HYPERLINK("http://www.openstreetmap.org/?mlat=30.3842&amp;mlon=47.7175&amp;zoom=12#map=12/30.3842/47.7175","Maplink1")</f>
        <v>Maplink1</v>
      </c>
      <c r="AV1328" s="14" t="str">
        <f>HYPERLINK("https://www.google.iq/maps/search/+30.3842,47.7175/@30.3842,47.7175,14z?hl=en","Maplink2")</f>
        <v>Maplink2</v>
      </c>
      <c r="AW1328" s="14" t="str">
        <f>HYPERLINK("http://www.bing.com/maps/?lvl=14&amp;sty=h&amp;cp=30.3842~47.7175&amp;sp=point.30.3842_47.7175_Hay al-baladiyat","Maplink3")</f>
        <v>Maplink3</v>
      </c>
    </row>
    <row r="1329" spans="1:49" ht="15" customHeight="1" x14ac:dyDescent="0.25">
      <c r="A1329" s="21">
        <v>755</v>
      </c>
      <c r="B1329" s="22" t="s">
        <v>12</v>
      </c>
      <c r="C1329" s="22" t="s">
        <v>2464</v>
      </c>
      <c r="D1329" s="22" t="s">
        <v>2523</v>
      </c>
      <c r="E1329" s="22" t="s">
        <v>464</v>
      </c>
      <c r="F1329" s="22">
        <v>30.381667</v>
      </c>
      <c r="G1329" s="22">
        <v>47.713332999999999</v>
      </c>
      <c r="H1329" s="21" t="s">
        <v>2322</v>
      </c>
      <c r="I1329" s="21" t="s">
        <v>2466</v>
      </c>
      <c r="J1329" s="21" t="s">
        <v>2524</v>
      </c>
      <c r="K1329" s="24">
        <v>2</v>
      </c>
      <c r="L1329" s="24">
        <v>12</v>
      </c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>
        <v>2</v>
      </c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>
        <v>2</v>
      </c>
      <c r="AL1329" s="23"/>
      <c r="AM1329" s="23"/>
      <c r="AN1329" s="23"/>
      <c r="AO1329" s="23"/>
      <c r="AP1329" s="23">
        <v>1</v>
      </c>
      <c r="AQ1329" s="23"/>
      <c r="AR1329" s="23">
        <v>1</v>
      </c>
      <c r="AS1329" s="23"/>
      <c r="AT1329" s="23"/>
      <c r="AU1329" s="14" t="str">
        <f>HYPERLINK("http://www.openstreetmap.org/?mlat=30.3817&amp;mlon=47.7133&amp;zoom=12#map=12/30.3817/47.7133","Maplink1")</f>
        <v>Maplink1</v>
      </c>
      <c r="AV1329" s="14" t="str">
        <f>HYPERLINK("https://www.google.iq/maps/search/+30.3817,47.7133/@30.3817,47.7133,14z?hl=en","Maplink2")</f>
        <v>Maplink2</v>
      </c>
      <c r="AW1329" s="14" t="str">
        <f>HYPERLINK("http://www.bing.com/maps/?lvl=14&amp;sty=h&amp;cp=30.3817~47.7133&amp;sp=point.30.3817_47.7133_Hay al-mualmein","Maplink3")</f>
        <v>Maplink3</v>
      </c>
    </row>
    <row r="1330" spans="1:49" ht="15" customHeight="1" x14ac:dyDescent="0.25">
      <c r="A1330" s="21">
        <v>25225</v>
      </c>
      <c r="B1330" s="22" t="s">
        <v>12</v>
      </c>
      <c r="C1330" s="22" t="s">
        <v>2464</v>
      </c>
      <c r="D1330" s="22" t="s">
        <v>2525</v>
      </c>
      <c r="E1330" s="22" t="s">
        <v>2526</v>
      </c>
      <c r="F1330" s="22">
        <v>30.3583</v>
      </c>
      <c r="G1330" s="22">
        <v>47.723300000000002</v>
      </c>
      <c r="H1330" s="21" t="s">
        <v>2322</v>
      </c>
      <c r="I1330" s="21" t="s">
        <v>2466</v>
      </c>
      <c r="J1330" s="21"/>
      <c r="K1330" s="24">
        <v>1</v>
      </c>
      <c r="L1330" s="24">
        <v>6</v>
      </c>
      <c r="M1330" s="23"/>
      <c r="N1330" s="23"/>
      <c r="O1330" s="23"/>
      <c r="P1330" s="23"/>
      <c r="Q1330" s="23"/>
      <c r="R1330" s="23"/>
      <c r="S1330" s="23"/>
      <c r="T1330" s="23"/>
      <c r="U1330" s="23">
        <v>1</v>
      </c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>
        <v>1</v>
      </c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>
        <v>1</v>
      </c>
      <c r="AQ1330" s="23"/>
      <c r="AR1330" s="23"/>
      <c r="AS1330" s="23"/>
      <c r="AT1330" s="23"/>
      <c r="AU1330" s="14" t="str">
        <f>HYPERLINK("http://www.openstreetmap.org/?mlat=30.3583&amp;mlon=47.7233&amp;zoom=12#map=12/30.3583/47.7233","Maplink1")</f>
        <v>Maplink1</v>
      </c>
      <c r="AV1330" s="14" t="str">
        <f>HYPERLINK("https://www.google.iq/maps/search/+30.3583,47.7233/@30.3583,47.7233,14z?hl=en","Maplink2")</f>
        <v>Maplink2</v>
      </c>
      <c r="AW1330" s="14" t="str">
        <f>HYPERLINK("http://www.bing.com/maps/?lvl=14&amp;sty=h&amp;cp=30.3583~47.7233&amp;sp=point.30.3583_47.7233_Hay Alansar 1","Maplink3")</f>
        <v>Maplink3</v>
      </c>
    </row>
    <row r="1331" spans="1:49" ht="15" customHeight="1" x14ac:dyDescent="0.25">
      <c r="A1331" s="21">
        <v>25226</v>
      </c>
      <c r="B1331" s="22" t="s">
        <v>12</v>
      </c>
      <c r="C1331" s="22" t="s">
        <v>2464</v>
      </c>
      <c r="D1331" s="22" t="s">
        <v>2527</v>
      </c>
      <c r="E1331" s="22" t="s">
        <v>2528</v>
      </c>
      <c r="F1331" s="22">
        <v>30.3749</v>
      </c>
      <c r="G1331" s="22">
        <v>47.723399999999998</v>
      </c>
      <c r="H1331" s="21" t="s">
        <v>2322</v>
      </c>
      <c r="I1331" s="21" t="s">
        <v>2466</v>
      </c>
      <c r="J1331" s="21"/>
      <c r="K1331" s="24">
        <v>5</v>
      </c>
      <c r="L1331" s="24">
        <v>30</v>
      </c>
      <c r="M1331" s="23">
        <v>2</v>
      </c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>
        <v>3</v>
      </c>
      <c r="AB1331" s="23"/>
      <c r="AC1331" s="23"/>
      <c r="AD1331" s="23"/>
      <c r="AE1331" s="23"/>
      <c r="AF1331" s="23">
        <v>1</v>
      </c>
      <c r="AG1331" s="23"/>
      <c r="AH1331" s="23"/>
      <c r="AI1331" s="23"/>
      <c r="AJ1331" s="23"/>
      <c r="AK1331" s="23">
        <v>4</v>
      </c>
      <c r="AL1331" s="23"/>
      <c r="AM1331" s="23"/>
      <c r="AN1331" s="23"/>
      <c r="AO1331" s="23">
        <v>2</v>
      </c>
      <c r="AP1331" s="23"/>
      <c r="AQ1331" s="23"/>
      <c r="AR1331" s="23">
        <v>2</v>
      </c>
      <c r="AS1331" s="23">
        <v>1</v>
      </c>
      <c r="AT1331" s="23"/>
      <c r="AU1331" s="14" t="str">
        <f>HYPERLINK("http://www.openstreetmap.org/?mlat=30.3749&amp;mlon=47.7234&amp;zoom=12#map=12/30.3749/47.7234","Maplink1")</f>
        <v>Maplink1</v>
      </c>
      <c r="AV1331" s="14" t="str">
        <f>HYPERLINK("https://www.google.iq/maps/search/+30.3749,47.7234/@30.3749,47.7234,14z?hl=en","Maplink2")</f>
        <v>Maplink2</v>
      </c>
      <c r="AW1331" s="14" t="str">
        <f>HYPERLINK("http://www.bing.com/maps/?lvl=14&amp;sty=h&amp;cp=30.3749~47.7234&amp;sp=point.30.3749_47.7234_Hay Alansar 2","Maplink3")</f>
        <v>Maplink3</v>
      </c>
    </row>
    <row r="1332" spans="1:49" ht="15" customHeight="1" x14ac:dyDescent="0.25">
      <c r="A1332" s="21">
        <v>25227</v>
      </c>
      <c r="B1332" s="22" t="s">
        <v>12</v>
      </c>
      <c r="C1332" s="22" t="s">
        <v>2464</v>
      </c>
      <c r="D1332" s="22" t="s">
        <v>2529</v>
      </c>
      <c r="E1332" s="22" t="s">
        <v>2530</v>
      </c>
      <c r="F1332" s="22">
        <v>30.358799999999999</v>
      </c>
      <c r="G1332" s="22">
        <v>47.719000000000001</v>
      </c>
      <c r="H1332" s="21" t="s">
        <v>2322</v>
      </c>
      <c r="I1332" s="21" t="s">
        <v>2466</v>
      </c>
      <c r="J1332" s="21"/>
      <c r="K1332" s="24">
        <v>6</v>
      </c>
      <c r="L1332" s="24">
        <v>36</v>
      </c>
      <c r="M1332" s="23">
        <v>5</v>
      </c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>
        <v>1</v>
      </c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>
        <v>6</v>
      </c>
      <c r="AL1332" s="23"/>
      <c r="AM1332" s="23"/>
      <c r="AN1332" s="23"/>
      <c r="AO1332" s="23"/>
      <c r="AP1332" s="23">
        <v>5</v>
      </c>
      <c r="AQ1332" s="23"/>
      <c r="AR1332" s="23">
        <v>1</v>
      </c>
      <c r="AS1332" s="23"/>
      <c r="AT1332" s="23"/>
      <c r="AU1332" s="14" t="str">
        <f>HYPERLINK("http://www.openstreetmap.org/?mlat=30.3588&amp;mlon=47.719&amp;zoom=12#map=12/30.3588/47.719","Maplink1")</f>
        <v>Maplink1</v>
      </c>
      <c r="AV1332" s="14" t="str">
        <f>HYPERLINK("https://www.google.iq/maps/search/+30.3588,47.719/@30.3588,47.719,14z?hl=en","Maplink2")</f>
        <v>Maplink2</v>
      </c>
      <c r="AW1332" s="14" t="str">
        <f>HYPERLINK("http://www.bing.com/maps/?lvl=14&amp;sty=h&amp;cp=30.3588~47.719&amp;sp=point.30.3588_47.719_Hay Alansar 3","Maplink3")</f>
        <v>Maplink3</v>
      </c>
    </row>
    <row r="1333" spans="1:49" ht="15" customHeight="1" x14ac:dyDescent="0.25">
      <c r="A1333" s="21">
        <v>657</v>
      </c>
      <c r="B1333" s="22" t="s">
        <v>12</v>
      </c>
      <c r="C1333" s="22" t="s">
        <v>2464</v>
      </c>
      <c r="D1333" s="22" t="s">
        <v>2531</v>
      </c>
      <c r="E1333" s="22" t="s">
        <v>2532</v>
      </c>
      <c r="F1333" s="22">
        <v>30.045832999999998</v>
      </c>
      <c r="G1333" s="22">
        <v>47.911667000000001</v>
      </c>
      <c r="H1333" s="21" t="s">
        <v>2322</v>
      </c>
      <c r="I1333" s="21" t="s">
        <v>2466</v>
      </c>
      <c r="J1333" s="21" t="s">
        <v>2533</v>
      </c>
      <c r="K1333" s="24">
        <v>6</v>
      </c>
      <c r="L1333" s="24">
        <v>36</v>
      </c>
      <c r="M1333" s="23">
        <v>2</v>
      </c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>
        <v>2</v>
      </c>
      <c r="Z1333" s="23"/>
      <c r="AA1333" s="23">
        <v>2</v>
      </c>
      <c r="AB1333" s="23"/>
      <c r="AC1333" s="23"/>
      <c r="AD1333" s="23"/>
      <c r="AE1333" s="23"/>
      <c r="AF1333" s="23"/>
      <c r="AG1333" s="23"/>
      <c r="AH1333" s="23">
        <v>2</v>
      </c>
      <c r="AI1333" s="23"/>
      <c r="AJ1333" s="23"/>
      <c r="AK1333" s="23">
        <v>4</v>
      </c>
      <c r="AL1333" s="23"/>
      <c r="AM1333" s="23"/>
      <c r="AN1333" s="23"/>
      <c r="AO1333" s="23">
        <v>2</v>
      </c>
      <c r="AP1333" s="23"/>
      <c r="AQ1333" s="23">
        <v>2</v>
      </c>
      <c r="AR1333" s="23">
        <v>1</v>
      </c>
      <c r="AS1333" s="23">
        <v>1</v>
      </c>
      <c r="AT1333" s="23"/>
      <c r="AU1333" s="14" t="str">
        <f>HYPERLINK("http://www.openstreetmap.org/?mlat=30.0458&amp;mlon=47.9117&amp;zoom=12#map=12/30.0458/47.9117","Maplink1")</f>
        <v>Maplink1</v>
      </c>
      <c r="AV1333" s="14" t="str">
        <f>HYPERLINK("https://www.google.iq/maps/search/+30.0458,47.9117/@30.0458,47.9117,14z?hl=en","Maplink2")</f>
        <v>Maplink2</v>
      </c>
      <c r="AW1333" s="14" t="str">
        <f>HYPERLINK("http://www.bing.com/maps/?lvl=14&amp;sty=h&amp;cp=30.0458~47.9117&amp;sp=point.30.0458_47.9117_Hay door al-senaah","Maplink3")</f>
        <v>Maplink3</v>
      </c>
    </row>
    <row r="1334" spans="1:49" ht="15" customHeight="1" x14ac:dyDescent="0.25">
      <c r="A1334" s="21">
        <v>25725</v>
      </c>
      <c r="B1334" s="22" t="s">
        <v>12</v>
      </c>
      <c r="C1334" s="22" t="s">
        <v>2464</v>
      </c>
      <c r="D1334" s="22" t="s">
        <v>8193</v>
      </c>
      <c r="E1334" s="22" t="s">
        <v>2758</v>
      </c>
      <c r="F1334" s="22">
        <v>30.385614</v>
      </c>
      <c r="G1334" s="22">
        <v>47.720053</v>
      </c>
      <c r="H1334" s="21" t="s">
        <v>2322</v>
      </c>
      <c r="I1334" s="21" t="s">
        <v>2557</v>
      </c>
      <c r="J1334" s="21"/>
      <c r="K1334" s="24">
        <v>6</v>
      </c>
      <c r="L1334" s="24">
        <v>36</v>
      </c>
      <c r="M1334" s="23"/>
      <c r="N1334" s="23"/>
      <c r="O1334" s="23">
        <v>2</v>
      </c>
      <c r="P1334" s="23"/>
      <c r="Q1334" s="23"/>
      <c r="R1334" s="23"/>
      <c r="S1334" s="23"/>
      <c r="T1334" s="23"/>
      <c r="U1334" s="23"/>
      <c r="V1334" s="23"/>
      <c r="W1334" s="23"/>
      <c r="X1334" s="23"/>
      <c r="Y1334" s="23">
        <v>1</v>
      </c>
      <c r="Z1334" s="23"/>
      <c r="AA1334" s="23">
        <v>3</v>
      </c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>
        <v>6</v>
      </c>
      <c r="AL1334" s="23"/>
      <c r="AM1334" s="23"/>
      <c r="AN1334" s="23"/>
      <c r="AO1334" s="23">
        <v>2</v>
      </c>
      <c r="AP1334" s="23"/>
      <c r="AQ1334" s="23">
        <v>1</v>
      </c>
      <c r="AR1334" s="23">
        <v>3</v>
      </c>
      <c r="AS1334" s="23"/>
      <c r="AT1334" s="23"/>
      <c r="AU1334" s="14" t="str">
        <f>HYPERLINK("http://www.openstreetmap.org/?mlat=30.3856&amp;mlon=47.7201&amp;zoom=12#map=12/30.3856/47.7201","Maplink1")</f>
        <v>Maplink1</v>
      </c>
      <c r="AV1334" s="14" t="str">
        <f>HYPERLINK("https://www.google.iq/maps/search/+30.3856,47.7201/@30.3856,47.7201,14z?hl=en","Maplink2")</f>
        <v>Maplink2</v>
      </c>
      <c r="AW1334" s="14" t="str">
        <f>HYPERLINK("http://www.bing.com/maps/?lvl=14&amp;sty=h&amp;cp=30.3856~47.7201&amp;sp=point.30.3856_47.7201_Markaz Al-Basrah-Hey Al khatoa","Maplink3")</f>
        <v>Maplink3</v>
      </c>
    </row>
    <row r="1335" spans="1:49" ht="15" customHeight="1" x14ac:dyDescent="0.25">
      <c r="A1335" s="21">
        <v>28408</v>
      </c>
      <c r="B1335" s="22" t="s">
        <v>12</v>
      </c>
      <c r="C1335" s="22" t="s">
        <v>2464</v>
      </c>
      <c r="D1335" s="22" t="s">
        <v>7446</v>
      </c>
      <c r="E1335" s="22" t="s">
        <v>7930</v>
      </c>
      <c r="F1335" s="22">
        <v>30.226199999999999</v>
      </c>
      <c r="G1335" s="22">
        <v>47.765500000000003</v>
      </c>
      <c r="H1335" s="21"/>
      <c r="I1335" s="21"/>
      <c r="J1335" s="21"/>
      <c r="K1335" s="24">
        <v>19</v>
      </c>
      <c r="L1335" s="24">
        <v>114</v>
      </c>
      <c r="M1335" s="23">
        <v>12</v>
      </c>
      <c r="N1335" s="23"/>
      <c r="O1335" s="23"/>
      <c r="P1335" s="23"/>
      <c r="Q1335" s="23"/>
      <c r="R1335" s="23"/>
      <c r="S1335" s="23"/>
      <c r="T1335" s="23"/>
      <c r="U1335" s="23">
        <v>1</v>
      </c>
      <c r="V1335" s="23"/>
      <c r="W1335" s="23"/>
      <c r="X1335" s="23"/>
      <c r="Y1335" s="23"/>
      <c r="Z1335" s="23"/>
      <c r="AA1335" s="23">
        <v>6</v>
      </c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>
        <v>19</v>
      </c>
      <c r="AL1335" s="23"/>
      <c r="AM1335" s="23"/>
      <c r="AN1335" s="23"/>
      <c r="AO1335" s="23"/>
      <c r="AP1335" s="23">
        <v>1</v>
      </c>
      <c r="AQ1335" s="23"/>
      <c r="AR1335" s="23">
        <v>11</v>
      </c>
      <c r="AS1335" s="23">
        <v>7</v>
      </c>
      <c r="AT1335" s="23"/>
      <c r="AU1335" s="14" t="str">
        <f>HYPERLINK("http://www.openstreetmap.org/?mlat=30.2262&amp;mlon=47.7655&amp;zoom=12#map=12/30.2262/47.7655","Maplink1")</f>
        <v>Maplink1</v>
      </c>
      <c r="AV1335" s="14" t="str">
        <f>HYPERLINK("https://www.google.iq/maps/search/+30.2262,47.7655/@30.2262,47.7655,14z?hl=en","Maplink2")</f>
        <v>Maplink2</v>
      </c>
      <c r="AW1335" s="14" t="str">
        <f>HYPERLINK("http://www.bing.com/maps/?lvl=14&amp;sty=h&amp;cp=30.2262~47.7655&amp;sp=point.30.2262_47.7655_Al Angaa","Maplink3")</f>
        <v>Maplink3</v>
      </c>
    </row>
    <row r="1336" spans="1:49" ht="15" customHeight="1" x14ac:dyDescent="0.25">
      <c r="A1336" s="21">
        <v>27196</v>
      </c>
      <c r="B1336" s="22" t="s">
        <v>12</v>
      </c>
      <c r="C1336" s="22" t="s">
        <v>2464</v>
      </c>
      <c r="D1336" s="22" t="s">
        <v>7306</v>
      </c>
      <c r="E1336" s="22" t="s">
        <v>7931</v>
      </c>
      <c r="F1336" s="22">
        <v>30.229700000000001</v>
      </c>
      <c r="G1336" s="22">
        <v>47.769599999999997</v>
      </c>
      <c r="H1336" s="21"/>
      <c r="I1336" s="21"/>
      <c r="J1336" s="21"/>
      <c r="K1336" s="24">
        <v>12</v>
      </c>
      <c r="L1336" s="24">
        <v>72</v>
      </c>
      <c r="M1336" s="23">
        <v>8</v>
      </c>
      <c r="N1336" s="23">
        <v>1</v>
      </c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>
        <v>3</v>
      </c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>
        <v>12</v>
      </c>
      <c r="AL1336" s="23"/>
      <c r="AM1336" s="23"/>
      <c r="AN1336" s="23"/>
      <c r="AO1336" s="23"/>
      <c r="AP1336" s="23"/>
      <c r="AQ1336" s="23">
        <v>1</v>
      </c>
      <c r="AR1336" s="23">
        <v>9</v>
      </c>
      <c r="AS1336" s="23">
        <v>2</v>
      </c>
      <c r="AT1336" s="23"/>
      <c r="AU1336" s="14" t="str">
        <f>HYPERLINK("http://www.openstreetmap.org/?mlat=30.2297&amp;mlon=47.7696&amp;zoom=12#map=12/30.2297/47.7696","Maplink1")</f>
        <v>Maplink1</v>
      </c>
      <c r="AV1336" s="14" t="str">
        <f>HYPERLINK("https://www.google.iq/maps/search/+30.2297,47.7696/@30.2297,47.7696,14z?hl=en","Maplink2")</f>
        <v>Maplink2</v>
      </c>
      <c r="AW1336" s="14" t="str">
        <f>HYPERLINK("http://www.bing.com/maps/?lvl=14&amp;sty=h&amp;cp=30.2297~47.7696&amp;sp=point.30.2297_47.7696_khor Al Zubair-Hay Al Baqer","Maplink3")</f>
        <v>Maplink3</v>
      </c>
    </row>
    <row r="1337" spans="1:49" ht="15" customHeight="1" x14ac:dyDescent="0.25">
      <c r="A1337" s="21">
        <v>23898</v>
      </c>
      <c r="B1337" s="22" t="s">
        <v>12</v>
      </c>
      <c r="C1337" s="22" t="s">
        <v>2464</v>
      </c>
      <c r="D1337" s="22" t="s">
        <v>2534</v>
      </c>
      <c r="E1337" s="22" t="s">
        <v>7932</v>
      </c>
      <c r="F1337" s="22">
        <v>30.234000000000002</v>
      </c>
      <c r="G1337" s="22">
        <v>47.7682</v>
      </c>
      <c r="H1337" s="21" t="s">
        <v>2322</v>
      </c>
      <c r="I1337" s="21" t="s">
        <v>2466</v>
      </c>
      <c r="J1337" s="21" t="s">
        <v>2535</v>
      </c>
      <c r="K1337" s="24">
        <v>1</v>
      </c>
      <c r="L1337" s="24">
        <v>6</v>
      </c>
      <c r="M1337" s="23">
        <v>1</v>
      </c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>
        <v>1</v>
      </c>
      <c r="AL1337" s="23"/>
      <c r="AM1337" s="23"/>
      <c r="AN1337" s="23"/>
      <c r="AO1337" s="23"/>
      <c r="AP1337" s="23"/>
      <c r="AQ1337" s="23"/>
      <c r="AR1337" s="23">
        <v>1</v>
      </c>
      <c r="AS1337" s="23"/>
      <c r="AT1337" s="23"/>
      <c r="AU1337" s="14" t="str">
        <f>HYPERLINK("http://www.openstreetmap.org/?mlat=30.234&amp;mlon=47.7682&amp;zoom=12#map=12/30.234/47.7682","Maplink1")</f>
        <v>Maplink1</v>
      </c>
      <c r="AV1337" s="14" t="str">
        <f>HYPERLINK("https://www.google.iq/maps/search/+30.234,47.7682/@30.234,47.7682,14z?hl=en","Maplink2")</f>
        <v>Maplink2</v>
      </c>
      <c r="AW1337" s="14" t="str">
        <f>HYPERLINK("http://www.bing.com/maps/?lvl=14&amp;sty=h&amp;cp=30.234~47.7682&amp;sp=point.30.234_47.7682_khor Al Zubair-Hay AL Hasan","Maplink3")</f>
        <v>Maplink3</v>
      </c>
    </row>
    <row r="1338" spans="1:49" ht="15" customHeight="1" x14ac:dyDescent="0.25">
      <c r="A1338" s="21">
        <v>26111</v>
      </c>
      <c r="B1338" s="22" t="s">
        <v>12</v>
      </c>
      <c r="C1338" s="22" t="s">
        <v>2464</v>
      </c>
      <c r="D1338" s="22" t="s">
        <v>2536</v>
      </c>
      <c r="E1338" s="22" t="s">
        <v>2537</v>
      </c>
      <c r="F1338" s="22">
        <v>30.2255</v>
      </c>
      <c r="G1338" s="22">
        <v>47.7819</v>
      </c>
      <c r="H1338" s="21" t="s">
        <v>2322</v>
      </c>
      <c r="I1338" s="21" t="s">
        <v>2466</v>
      </c>
      <c r="J1338" s="21"/>
      <c r="K1338" s="24">
        <v>5</v>
      </c>
      <c r="L1338" s="24">
        <v>30</v>
      </c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>
        <v>5</v>
      </c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>
        <v>5</v>
      </c>
      <c r="AL1338" s="23"/>
      <c r="AM1338" s="23"/>
      <c r="AN1338" s="23"/>
      <c r="AO1338" s="23"/>
      <c r="AP1338" s="23">
        <v>4</v>
      </c>
      <c r="AQ1338" s="23">
        <v>1</v>
      </c>
      <c r="AR1338" s="23"/>
      <c r="AS1338" s="23"/>
      <c r="AT1338" s="23"/>
      <c r="AU1338" s="14" t="str">
        <f>HYPERLINK("http://www.openstreetmap.org/?mlat=30.2255&amp;mlon=47.7819&amp;zoom=12#map=12/30.2255/47.7819","Maplink1")</f>
        <v>Maplink1</v>
      </c>
      <c r="AV1338" s="14" t="str">
        <f>HYPERLINK("https://www.google.iq/maps/search/+30.2255,47.7819/@30.2255,47.7819,14z?hl=en","Maplink2")</f>
        <v>Maplink2</v>
      </c>
      <c r="AW1338" s="14" t="str">
        <f>HYPERLINK("http://www.bing.com/maps/?lvl=14&amp;sty=h&amp;cp=30.2255~47.7819&amp;sp=point.30.2255_47.7819_Khor Al Zubir-Al Shuqaq","Maplink3")</f>
        <v>Maplink3</v>
      </c>
    </row>
    <row r="1339" spans="1:49" ht="15" customHeight="1" x14ac:dyDescent="0.25">
      <c r="A1339" s="21">
        <v>26107</v>
      </c>
      <c r="B1339" s="22" t="s">
        <v>12</v>
      </c>
      <c r="C1339" s="22" t="s">
        <v>2464</v>
      </c>
      <c r="D1339" s="22" t="s">
        <v>2538</v>
      </c>
      <c r="E1339" s="22" t="s">
        <v>2539</v>
      </c>
      <c r="F1339" s="22">
        <v>30.23</v>
      </c>
      <c r="G1339" s="22">
        <v>47.760199999999998</v>
      </c>
      <c r="H1339" s="21" t="s">
        <v>2322</v>
      </c>
      <c r="I1339" s="21" t="s">
        <v>2466</v>
      </c>
      <c r="J1339" s="21"/>
      <c r="K1339" s="24">
        <v>10</v>
      </c>
      <c r="L1339" s="24">
        <v>60</v>
      </c>
      <c r="M1339" s="23">
        <v>7</v>
      </c>
      <c r="N1339" s="23"/>
      <c r="O1339" s="23"/>
      <c r="P1339" s="23"/>
      <c r="Q1339" s="23"/>
      <c r="R1339" s="23">
        <v>1</v>
      </c>
      <c r="S1339" s="23"/>
      <c r="T1339" s="23"/>
      <c r="U1339" s="23"/>
      <c r="V1339" s="23"/>
      <c r="W1339" s="23"/>
      <c r="X1339" s="23"/>
      <c r="Y1339" s="23"/>
      <c r="Z1339" s="23"/>
      <c r="AA1339" s="23">
        <v>2</v>
      </c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>
        <v>10</v>
      </c>
      <c r="AL1339" s="23"/>
      <c r="AM1339" s="23"/>
      <c r="AN1339" s="23"/>
      <c r="AO1339" s="23"/>
      <c r="AP1339" s="23"/>
      <c r="AQ1339" s="23">
        <v>1</v>
      </c>
      <c r="AR1339" s="23">
        <v>6</v>
      </c>
      <c r="AS1339" s="23">
        <v>3</v>
      </c>
      <c r="AT1339" s="23"/>
      <c r="AU1339" s="14" t="str">
        <f>HYPERLINK("http://www.openstreetmap.org/?mlat=30.23&amp;mlon=47.7602&amp;zoom=12#map=12/30.23/47.7602","Maplink1")</f>
        <v>Maplink1</v>
      </c>
      <c r="AV1339" s="14" t="str">
        <f>HYPERLINK("https://www.google.iq/maps/search/+30.23,47.7602/@30.23,47.7602,14z?hl=en","Maplink2")</f>
        <v>Maplink2</v>
      </c>
      <c r="AW1339" s="14" t="str">
        <f>HYPERLINK("http://www.bing.com/maps/?lvl=14&amp;sty=h&amp;cp=30.23~47.7602&amp;sp=point.30.23_47.7602_Khor Al zubir-Hay Al Zahra","Maplink3")</f>
        <v>Maplink3</v>
      </c>
    </row>
    <row r="1340" spans="1:49" ht="15" customHeight="1" x14ac:dyDescent="0.25">
      <c r="A1340" s="21">
        <v>26108</v>
      </c>
      <c r="B1340" s="22" t="s">
        <v>12</v>
      </c>
      <c r="C1340" s="22" t="s">
        <v>2464</v>
      </c>
      <c r="D1340" s="22" t="s">
        <v>2540</v>
      </c>
      <c r="E1340" s="22" t="s">
        <v>2541</v>
      </c>
      <c r="F1340" s="22">
        <v>30.241299999999999</v>
      </c>
      <c r="G1340" s="22">
        <v>47.773800000000001</v>
      </c>
      <c r="H1340" s="21" t="s">
        <v>2322</v>
      </c>
      <c r="I1340" s="21" t="s">
        <v>2466</v>
      </c>
      <c r="J1340" s="21"/>
      <c r="K1340" s="24">
        <v>8</v>
      </c>
      <c r="L1340" s="24">
        <v>48</v>
      </c>
      <c r="M1340" s="23">
        <v>2</v>
      </c>
      <c r="N1340" s="23"/>
      <c r="O1340" s="23"/>
      <c r="P1340" s="23"/>
      <c r="Q1340" s="23"/>
      <c r="R1340" s="23">
        <v>1</v>
      </c>
      <c r="S1340" s="23"/>
      <c r="T1340" s="23"/>
      <c r="U1340" s="23"/>
      <c r="V1340" s="23"/>
      <c r="W1340" s="23"/>
      <c r="X1340" s="23"/>
      <c r="Y1340" s="23"/>
      <c r="Z1340" s="23"/>
      <c r="AA1340" s="23">
        <v>5</v>
      </c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>
        <v>8</v>
      </c>
      <c r="AL1340" s="23"/>
      <c r="AM1340" s="23"/>
      <c r="AN1340" s="23"/>
      <c r="AO1340" s="23"/>
      <c r="AP1340" s="23">
        <v>2</v>
      </c>
      <c r="AQ1340" s="23">
        <v>1</v>
      </c>
      <c r="AR1340" s="23">
        <v>2</v>
      </c>
      <c r="AS1340" s="23">
        <v>3</v>
      </c>
      <c r="AT1340" s="23"/>
      <c r="AU1340" s="14" t="str">
        <f>HYPERLINK("http://www.openstreetmap.org/?mlat=30.2413&amp;mlon=47.7738&amp;zoom=12#map=12/30.2413/47.7738","Maplink1")</f>
        <v>Maplink1</v>
      </c>
      <c r="AV1340" s="14" t="str">
        <f>HYPERLINK("https://www.google.iq/maps/search/+30.2413,47.7738/@30.2413,47.7738,14z?hl=en","Maplink2")</f>
        <v>Maplink2</v>
      </c>
      <c r="AW1340" s="14" t="str">
        <f>HYPERLINK("http://www.bing.com/maps/?lvl=14&amp;sty=h&amp;cp=30.2413~47.7738&amp;sp=point.30.2413_47.7738_Khor Al zubir-Hay Al-Ansar","Maplink3")</f>
        <v>Maplink3</v>
      </c>
    </row>
    <row r="1341" spans="1:49" ht="15" customHeight="1" x14ac:dyDescent="0.25">
      <c r="A1341" s="21">
        <v>26109</v>
      </c>
      <c r="B1341" s="22" t="s">
        <v>12</v>
      </c>
      <c r="C1341" s="22" t="s">
        <v>2464</v>
      </c>
      <c r="D1341" s="22" t="s">
        <v>7447</v>
      </c>
      <c r="E1341" s="22" t="s">
        <v>7448</v>
      </c>
      <c r="F1341" s="22">
        <v>30.223600000000001</v>
      </c>
      <c r="G1341" s="22">
        <v>47.775500000000001</v>
      </c>
      <c r="H1341" s="21" t="s">
        <v>2322</v>
      </c>
      <c r="I1341" s="21" t="s">
        <v>2466</v>
      </c>
      <c r="J1341" s="21"/>
      <c r="K1341" s="24">
        <v>3</v>
      </c>
      <c r="L1341" s="24">
        <v>18</v>
      </c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>
        <v>3</v>
      </c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>
        <v>3</v>
      </c>
      <c r="AL1341" s="23"/>
      <c r="AM1341" s="23"/>
      <c r="AN1341" s="23"/>
      <c r="AO1341" s="23"/>
      <c r="AP1341" s="23">
        <v>1</v>
      </c>
      <c r="AQ1341" s="23">
        <v>2</v>
      </c>
      <c r="AR1341" s="23"/>
      <c r="AS1341" s="23"/>
      <c r="AT1341" s="23"/>
      <c r="AU1341" s="14" t="str">
        <f>HYPERLINK("http://www.openstreetmap.org/?mlat=30.2236&amp;mlon=47.7755&amp;zoom=12#map=12/30.2236/47.7755","Maplink1")</f>
        <v>Maplink1</v>
      </c>
      <c r="AV1341" s="14" t="str">
        <f>HYPERLINK("https://www.google.iq/maps/search/+30.2236,47.7755/@30.2236,47.7755,14z?hl=en","Maplink2")</f>
        <v>Maplink2</v>
      </c>
      <c r="AW1341" s="14" t="str">
        <f>HYPERLINK("http://www.bing.com/maps/?lvl=14&amp;sty=h&amp;cp=30.2236~47.7755&amp;sp=point.30.2236_47.7755_Khor Al zubir-Hay Al-Hakeem","Maplink3")</f>
        <v>Maplink3</v>
      </c>
    </row>
    <row r="1342" spans="1:49" ht="15" customHeight="1" x14ac:dyDescent="0.25">
      <c r="A1342" s="21">
        <v>26110</v>
      </c>
      <c r="B1342" s="22" t="s">
        <v>12</v>
      </c>
      <c r="C1342" s="22" t="s">
        <v>2464</v>
      </c>
      <c r="D1342" s="22" t="s">
        <v>7449</v>
      </c>
      <c r="E1342" s="22" t="s">
        <v>7450</v>
      </c>
      <c r="F1342" s="22">
        <v>30.234999999999999</v>
      </c>
      <c r="G1342" s="22">
        <v>47.773299999999999</v>
      </c>
      <c r="H1342" s="21" t="s">
        <v>2322</v>
      </c>
      <c r="I1342" s="21" t="s">
        <v>2466</v>
      </c>
      <c r="J1342" s="21"/>
      <c r="K1342" s="24">
        <v>3</v>
      </c>
      <c r="L1342" s="24">
        <v>18</v>
      </c>
      <c r="M1342" s="23">
        <v>3</v>
      </c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>
        <v>3</v>
      </c>
      <c r="AL1342" s="23"/>
      <c r="AM1342" s="23"/>
      <c r="AN1342" s="23"/>
      <c r="AO1342" s="23"/>
      <c r="AP1342" s="23"/>
      <c r="AQ1342" s="23"/>
      <c r="AR1342" s="23">
        <v>2</v>
      </c>
      <c r="AS1342" s="23">
        <v>1</v>
      </c>
      <c r="AT1342" s="23"/>
      <c r="AU1342" s="14" t="str">
        <f>HYPERLINK("http://www.openstreetmap.org/?mlat=30.235&amp;mlon=47.7733&amp;zoom=12#map=12/30.235/47.7733","Maplink1")</f>
        <v>Maplink1</v>
      </c>
      <c r="AV1342" s="14" t="str">
        <f>HYPERLINK("https://www.google.iq/maps/search/+30.235,47.7733/@30.235,47.7733,14z?hl=en","Maplink2")</f>
        <v>Maplink2</v>
      </c>
      <c r="AW1342" s="14" t="str">
        <f>HYPERLINK("http://www.bing.com/maps/?lvl=14&amp;sty=h&amp;cp=30.235~47.7733&amp;sp=point.30.235_47.7733_Khor Al zubir-Hay Al-Rasoul","Maplink3")</f>
        <v>Maplink3</v>
      </c>
    </row>
    <row r="1343" spans="1:49" ht="15" customHeight="1" x14ac:dyDescent="0.25">
      <c r="A1343" s="21">
        <v>1303</v>
      </c>
      <c r="B1343" s="22" t="s">
        <v>12</v>
      </c>
      <c r="C1343" s="22" t="s">
        <v>2464</v>
      </c>
      <c r="D1343" s="22" t="s">
        <v>2542</v>
      </c>
      <c r="E1343" s="22" t="s">
        <v>2543</v>
      </c>
      <c r="F1343" s="22">
        <v>30.270499999999998</v>
      </c>
      <c r="G1343" s="22">
        <v>47.768000000000001</v>
      </c>
      <c r="H1343" s="21" t="s">
        <v>2322</v>
      </c>
      <c r="I1343" s="21" t="s">
        <v>2466</v>
      </c>
      <c r="J1343" s="21" t="s">
        <v>2544</v>
      </c>
      <c r="K1343" s="24">
        <v>10</v>
      </c>
      <c r="L1343" s="24">
        <v>60</v>
      </c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>
        <v>2</v>
      </c>
      <c r="Z1343" s="23"/>
      <c r="AA1343" s="23">
        <v>8</v>
      </c>
      <c r="AB1343" s="23"/>
      <c r="AC1343" s="23"/>
      <c r="AD1343" s="23"/>
      <c r="AE1343" s="23"/>
      <c r="AF1343" s="23">
        <v>1</v>
      </c>
      <c r="AG1343" s="23"/>
      <c r="AH1343" s="23"/>
      <c r="AI1343" s="23"/>
      <c r="AJ1343" s="23"/>
      <c r="AK1343" s="23">
        <v>9</v>
      </c>
      <c r="AL1343" s="23"/>
      <c r="AM1343" s="23"/>
      <c r="AN1343" s="23"/>
      <c r="AO1343" s="23"/>
      <c r="AP1343" s="23"/>
      <c r="AQ1343" s="23"/>
      <c r="AR1343" s="23">
        <v>10</v>
      </c>
      <c r="AS1343" s="23"/>
      <c r="AT1343" s="23"/>
      <c r="AU1343" s="14" t="str">
        <f>HYPERLINK("http://www.openstreetmap.org/?mlat=30.2705&amp;mlon=47.768&amp;zoom=12#map=12/30.2705/47.768","Maplink1")</f>
        <v>Maplink1</v>
      </c>
      <c r="AV1343" s="14" t="str">
        <f>HYPERLINK("https://www.google.iq/maps/search/+30.2705,47.768/@30.2705,47.768,14z?hl=en","Maplink2")</f>
        <v>Maplink2</v>
      </c>
      <c r="AW1343" s="14" t="str">
        <f>HYPERLINK("http://www.bing.com/maps/?lvl=14&amp;sty=h&amp;cp=30.2705~47.768&amp;sp=point.30.2705_47.768_Khor Al zubir-Hay Al-Salam","Maplink3")</f>
        <v>Maplink3</v>
      </c>
    </row>
    <row r="1344" spans="1:49" ht="15" customHeight="1" x14ac:dyDescent="0.25">
      <c r="A1344" s="21">
        <v>23976</v>
      </c>
      <c r="B1344" s="22" t="s">
        <v>12</v>
      </c>
      <c r="C1344" s="22" t="s">
        <v>2464</v>
      </c>
      <c r="D1344" s="22" t="s">
        <v>2545</v>
      </c>
      <c r="E1344" s="22" t="s">
        <v>7933</v>
      </c>
      <c r="F1344" s="22">
        <v>30.395099999999999</v>
      </c>
      <c r="G1344" s="22">
        <v>47.683399999999999</v>
      </c>
      <c r="H1344" s="21" t="s">
        <v>2322</v>
      </c>
      <c r="I1344" s="21" t="s">
        <v>2466</v>
      </c>
      <c r="J1344" s="21" t="s">
        <v>2546</v>
      </c>
      <c r="K1344" s="24">
        <v>29</v>
      </c>
      <c r="L1344" s="24">
        <v>174</v>
      </c>
      <c r="M1344" s="23">
        <v>22</v>
      </c>
      <c r="N1344" s="23"/>
      <c r="O1344" s="23"/>
      <c r="P1344" s="23"/>
      <c r="Q1344" s="23"/>
      <c r="R1344" s="23"/>
      <c r="S1344" s="23"/>
      <c r="T1344" s="23"/>
      <c r="U1344" s="23">
        <v>4</v>
      </c>
      <c r="V1344" s="23"/>
      <c r="W1344" s="23"/>
      <c r="X1344" s="23"/>
      <c r="Y1344" s="23">
        <v>3</v>
      </c>
      <c r="Z1344" s="23"/>
      <c r="AA1344" s="23"/>
      <c r="AB1344" s="23"/>
      <c r="AC1344" s="23"/>
      <c r="AD1344" s="23"/>
      <c r="AE1344" s="23"/>
      <c r="AF1344" s="23">
        <v>2</v>
      </c>
      <c r="AG1344" s="23"/>
      <c r="AH1344" s="23"/>
      <c r="AI1344" s="23"/>
      <c r="AJ1344" s="23"/>
      <c r="AK1344" s="23">
        <v>27</v>
      </c>
      <c r="AL1344" s="23"/>
      <c r="AM1344" s="23"/>
      <c r="AN1344" s="23"/>
      <c r="AO1344" s="23">
        <v>1</v>
      </c>
      <c r="AP1344" s="23">
        <v>7</v>
      </c>
      <c r="AQ1344" s="23">
        <v>2</v>
      </c>
      <c r="AR1344" s="23">
        <v>6</v>
      </c>
      <c r="AS1344" s="23">
        <v>13</v>
      </c>
      <c r="AT1344" s="23"/>
      <c r="AU1344" s="14" t="str">
        <f>HYPERLINK("http://www.openstreetmap.org/?mlat=30.3951&amp;mlon=47.6834&amp;zoom=12#map=12/30.3951/47.6834","Maplink1")</f>
        <v>Maplink1</v>
      </c>
      <c r="AV1344" s="14" t="str">
        <f>HYPERLINK("https://www.google.iq/maps/search/+30.3951,47.6834/@30.3951,47.6834,14z?hl=en","Maplink2")</f>
        <v>Maplink2</v>
      </c>
      <c r="AW1344" s="14" t="str">
        <f>HYPERLINK("http://www.bing.com/maps/?lvl=14&amp;sty=h&amp;cp=30.3951~47.6834&amp;sp=point.30.3951_47.6834_Mahalat Al-Arab","Maplink3")</f>
        <v>Maplink3</v>
      </c>
    </row>
    <row r="1345" spans="1:49" ht="15" customHeight="1" x14ac:dyDescent="0.25">
      <c r="A1345" s="21">
        <v>25016</v>
      </c>
      <c r="B1345" s="22" t="s">
        <v>12</v>
      </c>
      <c r="C1345" s="22" t="s">
        <v>2464</v>
      </c>
      <c r="D1345" s="22" t="s">
        <v>2547</v>
      </c>
      <c r="E1345" s="22" t="s">
        <v>2548</v>
      </c>
      <c r="F1345" s="22">
        <v>30.128799999999998</v>
      </c>
      <c r="G1345" s="22">
        <v>47.716900000000003</v>
      </c>
      <c r="H1345" s="21" t="s">
        <v>2322</v>
      </c>
      <c r="I1345" s="21" t="s">
        <v>2466</v>
      </c>
      <c r="J1345" s="21"/>
      <c r="K1345" s="24">
        <v>1</v>
      </c>
      <c r="L1345" s="24">
        <v>6</v>
      </c>
      <c r="M1345" s="23">
        <v>1</v>
      </c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>
        <v>1</v>
      </c>
      <c r="AL1345" s="23"/>
      <c r="AM1345" s="23"/>
      <c r="AN1345" s="23"/>
      <c r="AO1345" s="23"/>
      <c r="AP1345" s="23"/>
      <c r="AQ1345" s="23"/>
      <c r="AR1345" s="23">
        <v>1</v>
      </c>
      <c r="AS1345" s="23"/>
      <c r="AT1345" s="23"/>
      <c r="AU1345" s="14" t="str">
        <f>HYPERLINK("http://www.openstreetmap.org/?mlat=30.1288&amp;mlon=47.7169&amp;zoom=12#map=12/30.1288/47.7169","Maplink1")</f>
        <v>Maplink1</v>
      </c>
      <c r="AV1345" s="14" t="str">
        <f>HYPERLINK("https://www.google.iq/maps/search/+30.1288,47.7169/@30.1288,47.7169,14z?hl=en","Maplink2")</f>
        <v>Maplink2</v>
      </c>
      <c r="AW1345" s="14" t="str">
        <f>HYPERLINK("http://www.bing.com/maps/?lvl=14&amp;sty=h&amp;cp=30.1288~47.7169&amp;sp=point.30.1288_47.7169_Safwan-Hay Al Hakim","Maplink3")</f>
        <v>Maplink3</v>
      </c>
    </row>
    <row r="1346" spans="1:49" ht="15" customHeight="1" x14ac:dyDescent="0.25">
      <c r="A1346" s="21">
        <v>25018</v>
      </c>
      <c r="B1346" s="22" t="s">
        <v>12</v>
      </c>
      <c r="C1346" s="22" t="s">
        <v>2464</v>
      </c>
      <c r="D1346" s="22" t="s">
        <v>2549</v>
      </c>
      <c r="E1346" s="22" t="s">
        <v>2550</v>
      </c>
      <c r="F1346" s="22">
        <v>30.114999999999998</v>
      </c>
      <c r="G1346" s="22">
        <v>47.721200000000003</v>
      </c>
      <c r="H1346" s="21" t="s">
        <v>2322</v>
      </c>
      <c r="I1346" s="21" t="s">
        <v>2466</v>
      </c>
      <c r="J1346" s="21"/>
      <c r="K1346" s="24">
        <v>6</v>
      </c>
      <c r="L1346" s="24">
        <v>36</v>
      </c>
      <c r="M1346" s="23">
        <v>2</v>
      </c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>
        <v>2</v>
      </c>
      <c r="Z1346" s="23"/>
      <c r="AA1346" s="23">
        <v>2</v>
      </c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>
        <v>6</v>
      </c>
      <c r="AL1346" s="23"/>
      <c r="AM1346" s="23"/>
      <c r="AN1346" s="23"/>
      <c r="AO1346" s="23">
        <v>2</v>
      </c>
      <c r="AP1346" s="23"/>
      <c r="AQ1346" s="23">
        <v>2</v>
      </c>
      <c r="AR1346" s="23">
        <v>2</v>
      </c>
      <c r="AS1346" s="23"/>
      <c r="AT1346" s="23"/>
      <c r="AU1346" s="14" t="str">
        <f>HYPERLINK("http://www.openstreetmap.org/?mlat=30.115&amp;mlon=47.7212&amp;zoom=12#map=12/30.115/47.7212","Maplink1")</f>
        <v>Maplink1</v>
      </c>
      <c r="AV1346" s="14" t="str">
        <f>HYPERLINK("https://www.google.iq/maps/search/+30.115,47.7212/@30.115,47.7212,14z?hl=en","Maplink2")</f>
        <v>Maplink2</v>
      </c>
      <c r="AW1346" s="14" t="str">
        <f>HYPERLINK("http://www.bing.com/maps/?lvl=14&amp;sty=h&amp;cp=30.115~47.7212&amp;sp=point.30.115_47.7212_Safwan-Hay Al Risala","Maplink3")</f>
        <v>Maplink3</v>
      </c>
    </row>
    <row r="1347" spans="1:49" ht="15" customHeight="1" x14ac:dyDescent="0.25">
      <c r="A1347" s="21">
        <v>25015</v>
      </c>
      <c r="B1347" s="22" t="s">
        <v>12</v>
      </c>
      <c r="C1347" s="22" t="s">
        <v>2464</v>
      </c>
      <c r="D1347" s="22" t="s">
        <v>2551</v>
      </c>
      <c r="E1347" s="22" t="s">
        <v>2552</v>
      </c>
      <c r="F1347" s="22">
        <v>30.113</v>
      </c>
      <c r="G1347" s="22">
        <v>47.715499999999999</v>
      </c>
      <c r="H1347" s="21" t="s">
        <v>2322</v>
      </c>
      <c r="I1347" s="21" t="s">
        <v>2466</v>
      </c>
      <c r="J1347" s="21"/>
      <c r="K1347" s="24">
        <v>1</v>
      </c>
      <c r="L1347" s="24">
        <v>6</v>
      </c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>
        <v>1</v>
      </c>
      <c r="AB1347" s="23"/>
      <c r="AC1347" s="23"/>
      <c r="AD1347" s="23"/>
      <c r="AE1347" s="23"/>
      <c r="AF1347" s="23">
        <v>1</v>
      </c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>
        <v>1</v>
      </c>
      <c r="AR1347" s="23"/>
      <c r="AS1347" s="23"/>
      <c r="AT1347" s="23"/>
      <c r="AU1347" s="14" t="str">
        <f>HYPERLINK("http://www.openstreetmap.org/?mlat=30.113&amp;mlon=47.7155&amp;zoom=12#map=12/30.113/47.7155","Maplink1")</f>
        <v>Maplink1</v>
      </c>
      <c r="AV1347" s="14" t="str">
        <f>HYPERLINK("https://www.google.iq/maps/search/+30.113,47.7155/@30.113,47.7155,14z?hl=en","Maplink2")</f>
        <v>Maplink2</v>
      </c>
      <c r="AW1347" s="14" t="str">
        <f>HYPERLINK("http://www.bing.com/maps/?lvl=14&amp;sty=h&amp;cp=30.113~47.7155&amp;sp=point.30.113_47.7155_Safwan-Hay Al Tahreer","Maplink3")</f>
        <v>Maplink3</v>
      </c>
    </row>
    <row r="1348" spans="1:49" ht="15" customHeight="1" x14ac:dyDescent="0.25">
      <c r="A1348" s="21">
        <v>28459</v>
      </c>
      <c r="B1348" s="22" t="s">
        <v>12</v>
      </c>
      <c r="C1348" s="22" t="s">
        <v>2464</v>
      </c>
      <c r="D1348" s="22" t="s">
        <v>7451</v>
      </c>
      <c r="E1348" s="22" t="s">
        <v>7934</v>
      </c>
      <c r="F1348" s="22">
        <v>30.111699999999999</v>
      </c>
      <c r="G1348" s="22">
        <v>47.718800000000002</v>
      </c>
      <c r="H1348" s="21" t="s">
        <v>2322</v>
      </c>
      <c r="I1348" s="21" t="s">
        <v>2466</v>
      </c>
      <c r="J1348" s="21"/>
      <c r="K1348" s="24">
        <v>2</v>
      </c>
      <c r="L1348" s="24">
        <v>12</v>
      </c>
      <c r="M1348" s="23">
        <v>2</v>
      </c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>
        <v>2</v>
      </c>
      <c r="AL1348" s="23"/>
      <c r="AM1348" s="23"/>
      <c r="AN1348" s="23"/>
      <c r="AO1348" s="23"/>
      <c r="AP1348" s="23"/>
      <c r="AQ1348" s="23"/>
      <c r="AR1348" s="23"/>
      <c r="AS1348" s="23">
        <v>2</v>
      </c>
      <c r="AT1348" s="23"/>
      <c r="AU1348" s="14" t="str">
        <f>HYPERLINK("http://www.openstreetmap.org/?mlat=30.1117&amp;mlon=47.7188&amp;zoom=12#map=12/30.1117/47.7188","Maplink1")</f>
        <v>Maplink1</v>
      </c>
      <c r="AV1348" s="14" t="str">
        <f>HYPERLINK("https://www.google.iq/maps/search/+30.1117,47.7188/@30.1117,47.7188,14z?hl=en","Maplink2")</f>
        <v>Maplink2</v>
      </c>
      <c r="AW1348" s="14" t="str">
        <f>HYPERLINK("http://www.bing.com/maps/?lvl=14&amp;sty=h&amp;cp=30.1117~47.7188&amp;sp=point.30.1117_47.7188_Al Angaa","Maplink3")</f>
        <v>Maplink3</v>
      </c>
    </row>
    <row r="1349" spans="1:49" ht="15" customHeight="1" x14ac:dyDescent="0.25">
      <c r="A1349" s="21">
        <v>27295</v>
      </c>
      <c r="B1349" s="22" t="s">
        <v>12</v>
      </c>
      <c r="C1349" s="22" t="s">
        <v>2464</v>
      </c>
      <c r="D1349" s="22" t="s">
        <v>7452</v>
      </c>
      <c r="E1349" s="22" t="s">
        <v>7935</v>
      </c>
      <c r="F1349" s="22">
        <v>30.031700000000001</v>
      </c>
      <c r="G1349" s="22">
        <v>47.918700000000001</v>
      </c>
      <c r="H1349" s="21"/>
      <c r="I1349" s="21"/>
      <c r="J1349" s="21"/>
      <c r="K1349" s="24">
        <v>4</v>
      </c>
      <c r="L1349" s="24">
        <v>24</v>
      </c>
      <c r="M1349" s="23">
        <v>3</v>
      </c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>
        <v>1</v>
      </c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>
        <v>4</v>
      </c>
      <c r="AL1349" s="23"/>
      <c r="AM1349" s="23"/>
      <c r="AN1349" s="23"/>
      <c r="AO1349" s="23"/>
      <c r="AP1349" s="23"/>
      <c r="AQ1349" s="23">
        <v>1</v>
      </c>
      <c r="AR1349" s="23">
        <v>3</v>
      </c>
      <c r="AS1349" s="23"/>
      <c r="AT1349" s="23"/>
      <c r="AU1349" s="14" t="str">
        <f>HYPERLINK("http://www.openstreetmap.org/?mlat=30.0317&amp;mlon=47.9187&amp;zoom=12#map=12/30.0317/47.9187","Maplink1")</f>
        <v>Maplink1</v>
      </c>
      <c r="AV1349" s="14" t="str">
        <f>HYPERLINK("https://www.google.iq/maps/search/+30.0317,47.9187/@30.0317,47.9187,14z?hl=en","Maplink2")</f>
        <v>Maplink2</v>
      </c>
      <c r="AW1349" s="14" t="str">
        <f>HYPERLINK("http://www.bing.com/maps/?lvl=14&amp;sty=h&amp;cp=30.0317~47.9187&amp;sp=point.30.0317_47.9187_Umm Qasr - Al- hindiyah Al-Janobia","Maplink3")</f>
        <v>Maplink3</v>
      </c>
    </row>
    <row r="1350" spans="1:49" ht="15" customHeight="1" x14ac:dyDescent="0.25">
      <c r="A1350" s="21">
        <v>24925</v>
      </c>
      <c r="B1350" s="22" t="s">
        <v>12</v>
      </c>
      <c r="C1350" s="22" t="s">
        <v>2464</v>
      </c>
      <c r="D1350" s="22" t="s">
        <v>7307</v>
      </c>
      <c r="E1350" s="22" t="s">
        <v>7936</v>
      </c>
      <c r="F1350" s="22">
        <v>30.037500000000001</v>
      </c>
      <c r="G1350" s="22">
        <v>47.9191</v>
      </c>
      <c r="H1350" s="21" t="s">
        <v>2322</v>
      </c>
      <c r="I1350" s="21" t="s">
        <v>2466</v>
      </c>
      <c r="J1350" s="21"/>
      <c r="K1350" s="24">
        <v>1</v>
      </c>
      <c r="L1350" s="24">
        <v>6</v>
      </c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>
        <v>1</v>
      </c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>
        <v>1</v>
      </c>
      <c r="AL1350" s="23"/>
      <c r="AM1350" s="23"/>
      <c r="AN1350" s="23"/>
      <c r="AO1350" s="23"/>
      <c r="AP1350" s="23">
        <v>1</v>
      </c>
      <c r="AQ1350" s="23"/>
      <c r="AR1350" s="23"/>
      <c r="AS1350" s="23"/>
      <c r="AT1350" s="23"/>
      <c r="AU1350" s="14" t="str">
        <f>HYPERLINK("http://www.openstreetmap.org/?mlat=30.0375&amp;mlon=47.9191&amp;zoom=12#map=12/30.0375/47.9191","Maplink1")</f>
        <v>Maplink1</v>
      </c>
      <c r="AV1350" s="14" t="str">
        <f>HYPERLINK("https://www.google.iq/maps/search/+30.0375,47.9191/@30.0375,47.9191,14z?hl=en","Maplink2")</f>
        <v>Maplink2</v>
      </c>
      <c r="AW1350" s="14" t="str">
        <f>HYPERLINK("http://www.bing.com/maps/?lvl=14&amp;sty=h&amp;cp=30.0375~47.9191&amp;sp=point.30.0375_47.9191_Umm Qasr-Street 10","Maplink3")</f>
        <v>Maplink3</v>
      </c>
    </row>
    <row r="1351" spans="1:49" ht="15" customHeight="1" x14ac:dyDescent="0.25">
      <c r="A1351" s="21">
        <v>24923</v>
      </c>
      <c r="B1351" s="22" t="s">
        <v>12</v>
      </c>
      <c r="C1351" s="22" t="s">
        <v>2464</v>
      </c>
      <c r="D1351" s="22" t="s">
        <v>7308</v>
      </c>
      <c r="E1351" s="22" t="s">
        <v>7937</v>
      </c>
      <c r="F1351" s="22">
        <v>30.037199999999999</v>
      </c>
      <c r="G1351" s="22">
        <v>47.919400000000003</v>
      </c>
      <c r="H1351" s="21" t="s">
        <v>2322</v>
      </c>
      <c r="I1351" s="21" t="s">
        <v>2466</v>
      </c>
      <c r="J1351" s="21"/>
      <c r="K1351" s="24">
        <v>3</v>
      </c>
      <c r="L1351" s="24">
        <v>18</v>
      </c>
      <c r="M1351" s="23"/>
      <c r="N1351" s="23">
        <v>1</v>
      </c>
      <c r="O1351" s="23"/>
      <c r="P1351" s="23"/>
      <c r="Q1351" s="23"/>
      <c r="R1351" s="23">
        <v>1</v>
      </c>
      <c r="S1351" s="23"/>
      <c r="T1351" s="23"/>
      <c r="U1351" s="23"/>
      <c r="V1351" s="23"/>
      <c r="W1351" s="23"/>
      <c r="X1351" s="23"/>
      <c r="Y1351" s="23"/>
      <c r="Z1351" s="23"/>
      <c r="AA1351" s="23">
        <v>1</v>
      </c>
      <c r="AB1351" s="23"/>
      <c r="AC1351" s="23"/>
      <c r="AD1351" s="23"/>
      <c r="AE1351" s="23"/>
      <c r="AF1351" s="23">
        <v>1</v>
      </c>
      <c r="AG1351" s="23"/>
      <c r="AH1351" s="23"/>
      <c r="AI1351" s="23"/>
      <c r="AJ1351" s="23"/>
      <c r="AK1351" s="23">
        <v>2</v>
      </c>
      <c r="AL1351" s="23"/>
      <c r="AM1351" s="23"/>
      <c r="AN1351" s="23"/>
      <c r="AO1351" s="23">
        <v>1</v>
      </c>
      <c r="AP1351" s="23">
        <v>1</v>
      </c>
      <c r="AQ1351" s="23"/>
      <c r="AR1351" s="23">
        <v>1</v>
      </c>
      <c r="AS1351" s="23"/>
      <c r="AT1351" s="23"/>
      <c r="AU1351" s="14" t="str">
        <f>HYPERLINK("http://www.openstreetmap.org/?mlat=30.0372&amp;mlon=47.9194&amp;zoom=12#map=12/30.0372/47.9194","Maplink1")</f>
        <v>Maplink1</v>
      </c>
      <c r="AV1351" s="14" t="str">
        <f>HYPERLINK("https://www.google.iq/maps/search/+30.0372,47.9194/@30.0372,47.9194,14z?hl=en","Maplink2")</f>
        <v>Maplink2</v>
      </c>
      <c r="AW1351" s="14" t="str">
        <f>HYPERLINK("http://www.bing.com/maps/?lvl=14&amp;sty=h&amp;cp=30.0372~47.9194&amp;sp=point.30.0372_47.9194_Umm Qasr-Street 11","Maplink3")</f>
        <v>Maplink3</v>
      </c>
    </row>
    <row r="1352" spans="1:49" ht="15" customHeight="1" x14ac:dyDescent="0.25">
      <c r="A1352" s="21">
        <v>24922</v>
      </c>
      <c r="B1352" s="22" t="s">
        <v>12</v>
      </c>
      <c r="C1352" s="22" t="s">
        <v>2464</v>
      </c>
      <c r="D1352" s="22" t="s">
        <v>7538</v>
      </c>
      <c r="E1352" s="22" t="s">
        <v>7938</v>
      </c>
      <c r="F1352" s="22">
        <v>30.0383</v>
      </c>
      <c r="G1352" s="22">
        <v>47.916600000000003</v>
      </c>
      <c r="H1352" s="21" t="s">
        <v>2322</v>
      </c>
      <c r="I1352" s="21" t="s">
        <v>2466</v>
      </c>
      <c r="J1352" s="21"/>
      <c r="K1352" s="24">
        <v>1</v>
      </c>
      <c r="L1352" s="24">
        <v>6</v>
      </c>
      <c r="M1352" s="23">
        <v>1</v>
      </c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>
        <v>1</v>
      </c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  <c r="AR1352" s="23"/>
      <c r="AS1352" s="23">
        <v>1</v>
      </c>
      <c r="AT1352" s="23"/>
      <c r="AU1352" s="14" t="str">
        <f>HYPERLINK("http://www.openstreetmap.org/?mlat=30.0383&amp;mlon=47.9166&amp;zoom=12#map=12/30.0383/47.9166","Maplink1")</f>
        <v>Maplink1</v>
      </c>
      <c r="AV1352" s="14" t="str">
        <f>HYPERLINK("https://www.google.iq/maps/search/+30.0383,47.9166/@30.0383,47.9166,14z?hl=en","Maplink2")</f>
        <v>Maplink2</v>
      </c>
      <c r="AW1352" s="14" t="str">
        <f>HYPERLINK("http://www.bing.com/maps/?lvl=14&amp;sty=h&amp;cp=30.0383~47.9166&amp;sp=point.30.0383_47.9166_Umm Qasr-Street 6","Maplink3")</f>
        <v>Maplink3</v>
      </c>
    </row>
    <row r="1353" spans="1:49" ht="15" customHeight="1" x14ac:dyDescent="0.25">
      <c r="A1353" s="21">
        <v>27293</v>
      </c>
      <c r="B1353" s="22" t="s">
        <v>12</v>
      </c>
      <c r="C1353" s="22" t="s">
        <v>2464</v>
      </c>
      <c r="D1353" s="22" t="s">
        <v>7453</v>
      </c>
      <c r="E1353" s="22" t="s">
        <v>7939</v>
      </c>
      <c r="F1353" s="22">
        <v>30.034199999999998</v>
      </c>
      <c r="G1353" s="22">
        <v>47.924849999999999</v>
      </c>
      <c r="H1353" s="21"/>
      <c r="I1353" s="21"/>
      <c r="J1353" s="21"/>
      <c r="K1353" s="24">
        <v>5</v>
      </c>
      <c r="L1353" s="24">
        <v>30</v>
      </c>
      <c r="M1353" s="23">
        <v>2</v>
      </c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>
        <v>1</v>
      </c>
      <c r="Z1353" s="23"/>
      <c r="AA1353" s="23">
        <v>2</v>
      </c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>
        <v>5</v>
      </c>
      <c r="AL1353" s="23"/>
      <c r="AM1353" s="23"/>
      <c r="AN1353" s="23"/>
      <c r="AO1353" s="23"/>
      <c r="AP1353" s="23">
        <v>1</v>
      </c>
      <c r="AQ1353" s="23">
        <v>2</v>
      </c>
      <c r="AR1353" s="23"/>
      <c r="AS1353" s="23">
        <v>2</v>
      </c>
      <c r="AT1353" s="23"/>
      <c r="AU1353" s="14" t="str">
        <f>HYPERLINK("http://www.openstreetmap.org/?mlat=30.0342&amp;mlon=47.9248&amp;zoom=12#map=12/30.0342/47.9248","Maplink1")</f>
        <v>Maplink1</v>
      </c>
      <c r="AV1353" s="14" t="str">
        <f>HYPERLINK("https://www.google.iq/maps/search/+30.0342,47.9248/@30.0342,47.9248,14z?hl=en","Maplink2")</f>
        <v>Maplink2</v>
      </c>
      <c r="AW1353" s="14" t="str">
        <f>HYPERLINK("http://www.bing.com/maps/?lvl=14&amp;sty=h&amp;cp=30.0342~47.9248&amp;sp=point.30.0342_47.9248_Umm Qasr - Door Al-Moaneaa 2 ","Maplink3")</f>
        <v>Maplink3</v>
      </c>
    </row>
    <row r="1354" spans="1:49" ht="15" customHeight="1" x14ac:dyDescent="0.25">
      <c r="A1354" s="21">
        <v>27294</v>
      </c>
      <c r="B1354" s="22" t="s">
        <v>12</v>
      </c>
      <c r="C1354" s="22" t="s">
        <v>2464</v>
      </c>
      <c r="D1354" s="22" t="s">
        <v>7454</v>
      </c>
      <c r="E1354" s="22" t="s">
        <v>7940</v>
      </c>
      <c r="F1354" s="22">
        <v>30.027899999999999</v>
      </c>
      <c r="G1354" s="22">
        <v>47.931980000000003</v>
      </c>
      <c r="H1354" s="21"/>
      <c r="I1354" s="21"/>
      <c r="J1354" s="21"/>
      <c r="K1354" s="24">
        <v>1</v>
      </c>
      <c r="L1354" s="24">
        <v>6</v>
      </c>
      <c r="M1354" s="23"/>
      <c r="N1354" s="23"/>
      <c r="O1354" s="23"/>
      <c r="P1354" s="23"/>
      <c r="Q1354" s="23"/>
      <c r="R1354" s="23">
        <v>1</v>
      </c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>
        <v>1</v>
      </c>
      <c r="AL1354" s="23"/>
      <c r="AM1354" s="23"/>
      <c r="AN1354" s="23"/>
      <c r="AO1354" s="23"/>
      <c r="AP1354" s="23">
        <v>1</v>
      </c>
      <c r="AQ1354" s="23"/>
      <c r="AR1354" s="23"/>
      <c r="AS1354" s="23"/>
      <c r="AT1354" s="23"/>
      <c r="AU1354" s="14" t="str">
        <f>HYPERLINK("http://www.openstreetmap.org/?mlat=30.0279&amp;mlon=47.932&amp;zoom=12#map=12/30.0279/47.932","Maplink1")</f>
        <v>Maplink1</v>
      </c>
      <c r="AV1354" s="14" t="str">
        <f>HYPERLINK("https://www.google.iq/maps/search/+30.0279,47.932/@30.0279,47.932,14z?hl=en","Maplink2")</f>
        <v>Maplink2</v>
      </c>
      <c r="AW1354" s="14" t="str">
        <f>HYPERLINK("http://www.bing.com/maps/?lvl=14&amp;sty=h&amp;cp=30.0279~47.932&amp;sp=point.30.0279_47.932_Umm Qasr - Hay Al-Qaeda","Maplink3")</f>
        <v>Maplink3</v>
      </c>
    </row>
    <row r="1355" spans="1:49" ht="15" customHeight="1" x14ac:dyDescent="0.25">
      <c r="A1355" s="21">
        <v>25462</v>
      </c>
      <c r="B1355" s="22" t="s">
        <v>12</v>
      </c>
      <c r="C1355" s="22" t="s">
        <v>2464</v>
      </c>
      <c r="D1355" s="22" t="s">
        <v>2553</v>
      </c>
      <c r="E1355" s="22" t="s">
        <v>2554</v>
      </c>
      <c r="F1355" s="22">
        <v>30.355556</v>
      </c>
      <c r="G1355" s="22">
        <v>47.716388999999999</v>
      </c>
      <c r="H1355" s="21" t="s">
        <v>2322</v>
      </c>
      <c r="I1355" s="21" t="s">
        <v>2466</v>
      </c>
      <c r="J1355" s="21"/>
      <c r="K1355" s="24">
        <v>7</v>
      </c>
      <c r="L1355" s="24">
        <v>42</v>
      </c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>
        <v>1</v>
      </c>
      <c r="Z1355" s="23"/>
      <c r="AA1355" s="23">
        <v>6</v>
      </c>
      <c r="AB1355" s="23"/>
      <c r="AC1355" s="23"/>
      <c r="AD1355" s="23"/>
      <c r="AE1355" s="23"/>
      <c r="AF1355" s="23"/>
      <c r="AG1355" s="23"/>
      <c r="AH1355" s="23">
        <v>7</v>
      </c>
      <c r="AI1355" s="23"/>
      <c r="AJ1355" s="23"/>
      <c r="AK1355" s="23"/>
      <c r="AL1355" s="23"/>
      <c r="AM1355" s="23"/>
      <c r="AN1355" s="23"/>
      <c r="AO1355" s="23">
        <v>2</v>
      </c>
      <c r="AP1355" s="23"/>
      <c r="AQ1355" s="23"/>
      <c r="AR1355" s="23">
        <v>5</v>
      </c>
      <c r="AS1355" s="23"/>
      <c r="AT1355" s="23"/>
      <c r="AU1355" s="14" t="str">
        <f>HYPERLINK("http://www.openstreetmap.org/?mlat=30.3556&amp;mlon=47.7164&amp;zoom=12#map=12/30.3556/47.7164","Maplink1")</f>
        <v>Maplink1</v>
      </c>
      <c r="AV1355" s="14" t="str">
        <f>HYPERLINK("https://www.google.iq/maps/search/+30.3556,47.7164/@30.3556,47.7164,14z?hl=en","Maplink2")</f>
        <v>Maplink2</v>
      </c>
      <c r="AW1355" s="14" t="str">
        <f>HYPERLINK("http://www.bing.com/maps/?lvl=14&amp;sty=h&amp;cp=30.3556~47.7164&amp;sp=point.30.3556_47.7164_Village Al-Nakheel Al-Asria","Maplink3")</f>
        <v>Maplink3</v>
      </c>
    </row>
    <row r="1356" spans="1:49" ht="15" customHeight="1" x14ac:dyDescent="0.25">
      <c r="A1356" s="21">
        <v>24799</v>
      </c>
      <c r="B1356" s="22" t="s">
        <v>12</v>
      </c>
      <c r="C1356" s="22" t="s">
        <v>12</v>
      </c>
      <c r="D1356" s="22" t="s">
        <v>2555</v>
      </c>
      <c r="E1356" s="22" t="s">
        <v>2556</v>
      </c>
      <c r="F1356" s="22">
        <v>30.5474</v>
      </c>
      <c r="G1356" s="22">
        <v>47.760300000000001</v>
      </c>
      <c r="H1356" s="21" t="s">
        <v>2322</v>
      </c>
      <c r="I1356" s="21" t="s">
        <v>2557</v>
      </c>
      <c r="J1356" s="21"/>
      <c r="K1356" s="24">
        <v>3</v>
      </c>
      <c r="L1356" s="24">
        <v>18</v>
      </c>
      <c r="M1356" s="23">
        <v>1</v>
      </c>
      <c r="N1356" s="23"/>
      <c r="O1356" s="23"/>
      <c r="P1356" s="23"/>
      <c r="Q1356" s="23"/>
      <c r="R1356" s="23"/>
      <c r="S1356" s="23"/>
      <c r="T1356" s="23"/>
      <c r="U1356" s="23">
        <v>2</v>
      </c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>
        <v>1</v>
      </c>
      <c r="AG1356" s="23"/>
      <c r="AH1356" s="23"/>
      <c r="AI1356" s="23"/>
      <c r="AJ1356" s="23"/>
      <c r="AK1356" s="23">
        <v>2</v>
      </c>
      <c r="AL1356" s="23"/>
      <c r="AM1356" s="23"/>
      <c r="AN1356" s="23"/>
      <c r="AO1356" s="23">
        <v>1</v>
      </c>
      <c r="AP1356" s="23"/>
      <c r="AQ1356" s="23"/>
      <c r="AR1356" s="23">
        <v>2</v>
      </c>
      <c r="AS1356" s="23"/>
      <c r="AT1356" s="23"/>
      <c r="AU1356" s="14" t="str">
        <f>HYPERLINK("http://www.openstreetmap.org/?mlat=30.5474&amp;mlon=47.7603&amp;zoom=12#map=12/30.5474/47.7603","Maplink1")</f>
        <v>Maplink1</v>
      </c>
      <c r="AV1356" s="14" t="str">
        <f>HYPERLINK("https://www.google.iq/maps/search/+30.5474,47.7603/@30.5474,47.7603,14z?hl=en","Maplink2")</f>
        <v>Maplink2</v>
      </c>
      <c r="AW1356" s="14" t="str">
        <f>HYPERLINK("http://www.bing.com/maps/?lvl=14&amp;sty=h&amp;cp=30.5474~47.7603&amp;sp=point.30.5474_47.7603_5 Miles (Al Hady Al Thaniyah)","Maplink3")</f>
        <v>Maplink3</v>
      </c>
    </row>
    <row r="1357" spans="1:49" ht="15" customHeight="1" x14ac:dyDescent="0.25">
      <c r="A1357" s="21">
        <v>21192</v>
      </c>
      <c r="B1357" s="22" t="s">
        <v>12</v>
      </c>
      <c r="C1357" s="22" t="s">
        <v>12</v>
      </c>
      <c r="D1357" s="22" t="s">
        <v>2558</v>
      </c>
      <c r="E1357" s="22" t="s">
        <v>7941</v>
      </c>
      <c r="F1357" s="22">
        <v>30.578888890000002</v>
      </c>
      <c r="G1357" s="22">
        <v>47.746388889999999</v>
      </c>
      <c r="H1357" s="21" t="s">
        <v>2322</v>
      </c>
      <c r="I1357" s="21" t="s">
        <v>2557</v>
      </c>
      <c r="J1357" s="21" t="s">
        <v>2559</v>
      </c>
      <c r="K1357" s="24">
        <v>3</v>
      </c>
      <c r="L1357" s="24">
        <v>18</v>
      </c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>
        <v>2</v>
      </c>
      <c r="Z1357" s="23"/>
      <c r="AA1357" s="23">
        <v>1</v>
      </c>
      <c r="AB1357" s="23"/>
      <c r="AC1357" s="23"/>
      <c r="AD1357" s="23"/>
      <c r="AE1357" s="23"/>
      <c r="AF1357" s="23">
        <v>3</v>
      </c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>
        <v>3</v>
      </c>
      <c r="AQ1357" s="23"/>
      <c r="AR1357" s="23"/>
      <c r="AS1357" s="23"/>
      <c r="AT1357" s="23"/>
      <c r="AU1357" s="14" t="str">
        <f>HYPERLINK("http://www.openstreetmap.org/?mlat=30.5789&amp;mlon=47.7464&amp;zoom=12#map=12/30.5789/47.7464","Maplink1")</f>
        <v>Maplink1</v>
      </c>
      <c r="AV1357" s="14" t="str">
        <f>HYPERLINK("https://www.google.iq/maps/search/+30.5789,47.7464/@30.5789,47.7464,14z?hl=en","Maplink2")</f>
        <v>Maplink2</v>
      </c>
      <c r="AW1357" s="14" t="str">
        <f>HYPERLINK("http://www.bing.com/maps/?lvl=14&amp;sty=h&amp;cp=30.5789~47.7464&amp;sp=point.30.5789_47.7464_Abu Hilwa","Maplink3")</f>
        <v>Maplink3</v>
      </c>
    </row>
    <row r="1358" spans="1:49" ht="15" customHeight="1" x14ac:dyDescent="0.25">
      <c r="A1358" s="21">
        <v>1003</v>
      </c>
      <c r="B1358" s="22" t="s">
        <v>12</v>
      </c>
      <c r="C1358" s="22" t="s">
        <v>12</v>
      </c>
      <c r="D1358" s="22" t="s">
        <v>2560</v>
      </c>
      <c r="E1358" s="22" t="s">
        <v>2561</v>
      </c>
      <c r="F1358" s="22">
        <v>30.56</v>
      </c>
      <c r="G1358" s="22">
        <v>47.734444000000003</v>
      </c>
      <c r="H1358" s="21" t="s">
        <v>2322</v>
      </c>
      <c r="I1358" s="21" t="s">
        <v>2557</v>
      </c>
      <c r="J1358" s="21" t="s">
        <v>2562</v>
      </c>
      <c r="K1358" s="24">
        <v>2</v>
      </c>
      <c r="L1358" s="24">
        <v>12</v>
      </c>
      <c r="M1358" s="23"/>
      <c r="N1358" s="23"/>
      <c r="O1358" s="23"/>
      <c r="P1358" s="23"/>
      <c r="Q1358" s="23"/>
      <c r="R1358" s="23">
        <v>2</v>
      </c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>
        <v>2</v>
      </c>
      <c r="AL1358" s="23"/>
      <c r="AM1358" s="23"/>
      <c r="AN1358" s="23"/>
      <c r="AO1358" s="23"/>
      <c r="AP1358" s="23"/>
      <c r="AQ1358" s="23">
        <v>2</v>
      </c>
      <c r="AR1358" s="23"/>
      <c r="AS1358" s="23"/>
      <c r="AT1358" s="23"/>
      <c r="AU1358" s="14" t="str">
        <f>HYPERLINK("http://www.openstreetmap.org/?mlat=30.56&amp;mlon=47.7344&amp;zoom=12#map=12/30.56/47.7344","Maplink1")</f>
        <v>Maplink1</v>
      </c>
      <c r="AV1358" s="14" t="str">
        <f>HYPERLINK("https://www.google.iq/maps/search/+30.56,47.7344/@30.56,47.7344,14z?hl=en","Maplink2")</f>
        <v>Maplink2</v>
      </c>
      <c r="AW1358" s="14" t="str">
        <f>HYPERLINK("http://www.bing.com/maps/?lvl=14&amp;sty=h&amp;cp=30.56~47.7344&amp;sp=point.30.56_47.7344_Abu sukhair","Maplink3")</f>
        <v>Maplink3</v>
      </c>
    </row>
    <row r="1359" spans="1:49" ht="15" customHeight="1" x14ac:dyDescent="0.25">
      <c r="A1359" s="21">
        <v>24179</v>
      </c>
      <c r="B1359" s="22" t="s">
        <v>12</v>
      </c>
      <c r="C1359" s="22" t="s">
        <v>12</v>
      </c>
      <c r="D1359" s="22" t="s">
        <v>2563</v>
      </c>
      <c r="E1359" s="22" t="s">
        <v>7942</v>
      </c>
      <c r="F1359" s="22">
        <v>30.547799999999999</v>
      </c>
      <c r="G1359" s="22">
        <v>47.777500000000003</v>
      </c>
      <c r="H1359" s="21" t="s">
        <v>2322</v>
      </c>
      <c r="I1359" s="21" t="s">
        <v>2557</v>
      </c>
      <c r="J1359" s="21" t="s">
        <v>2564</v>
      </c>
      <c r="K1359" s="24">
        <v>9</v>
      </c>
      <c r="L1359" s="24">
        <v>54</v>
      </c>
      <c r="M1359" s="23">
        <v>2</v>
      </c>
      <c r="N1359" s="23"/>
      <c r="O1359" s="23"/>
      <c r="P1359" s="23"/>
      <c r="Q1359" s="23"/>
      <c r="R1359" s="23">
        <v>1</v>
      </c>
      <c r="S1359" s="23"/>
      <c r="T1359" s="23"/>
      <c r="U1359" s="23">
        <v>1</v>
      </c>
      <c r="V1359" s="23"/>
      <c r="W1359" s="23"/>
      <c r="X1359" s="23"/>
      <c r="Y1359" s="23"/>
      <c r="Z1359" s="23"/>
      <c r="AA1359" s="23">
        <v>5</v>
      </c>
      <c r="AB1359" s="23"/>
      <c r="AC1359" s="23"/>
      <c r="AD1359" s="23"/>
      <c r="AE1359" s="23"/>
      <c r="AF1359" s="23">
        <v>3</v>
      </c>
      <c r="AG1359" s="23"/>
      <c r="AH1359" s="23"/>
      <c r="AI1359" s="23"/>
      <c r="AJ1359" s="23"/>
      <c r="AK1359" s="23">
        <v>6</v>
      </c>
      <c r="AL1359" s="23"/>
      <c r="AM1359" s="23"/>
      <c r="AN1359" s="23"/>
      <c r="AO1359" s="23">
        <v>3</v>
      </c>
      <c r="AP1359" s="23">
        <v>5</v>
      </c>
      <c r="AQ1359" s="23"/>
      <c r="AR1359" s="23"/>
      <c r="AS1359" s="23">
        <v>1</v>
      </c>
      <c r="AT1359" s="23"/>
      <c r="AU1359" s="14" t="str">
        <f>HYPERLINK("http://www.openstreetmap.org/?mlat=30.5478&amp;mlon=47.7775&amp;zoom=12#map=12/30.5478/47.7775","Maplink1")</f>
        <v>Maplink1</v>
      </c>
      <c r="AV1359" s="14" t="str">
        <f>HYPERLINK("https://www.google.iq/maps/search/+30.5478,47.7775/@30.5478,47.7775,14z?hl=en","Maplink2")</f>
        <v>Maplink2</v>
      </c>
      <c r="AW1359" s="14" t="str">
        <f>HYPERLINK("http://www.bing.com/maps/?lvl=14&amp;sty=h&amp;cp=30.5478~47.7775&amp;sp=point.30.5478_47.7775_Al Ablah","Maplink3")</f>
        <v>Maplink3</v>
      </c>
    </row>
    <row r="1360" spans="1:49" ht="15" customHeight="1" x14ac:dyDescent="0.25">
      <c r="A1360" s="21">
        <v>1269</v>
      </c>
      <c r="B1360" s="22" t="s">
        <v>12</v>
      </c>
      <c r="C1360" s="22" t="s">
        <v>12</v>
      </c>
      <c r="D1360" s="22" t="s">
        <v>2565</v>
      </c>
      <c r="E1360" s="22" t="s">
        <v>2566</v>
      </c>
      <c r="F1360" s="22">
        <v>30.4694</v>
      </c>
      <c r="G1360" s="22">
        <v>47.774999999999999</v>
      </c>
      <c r="H1360" s="21" t="s">
        <v>2322</v>
      </c>
      <c r="I1360" s="21" t="s">
        <v>2557</v>
      </c>
      <c r="J1360" s="21" t="s">
        <v>2567</v>
      </c>
      <c r="K1360" s="24">
        <v>13</v>
      </c>
      <c r="L1360" s="24">
        <v>78</v>
      </c>
      <c r="M1360" s="23"/>
      <c r="N1360" s="23"/>
      <c r="O1360" s="23"/>
      <c r="P1360" s="23"/>
      <c r="Q1360" s="23"/>
      <c r="R1360" s="23"/>
      <c r="S1360" s="23"/>
      <c r="T1360" s="23"/>
      <c r="U1360" s="23">
        <v>5</v>
      </c>
      <c r="V1360" s="23"/>
      <c r="W1360" s="23"/>
      <c r="X1360" s="23"/>
      <c r="Y1360" s="23">
        <v>8</v>
      </c>
      <c r="Z1360" s="23"/>
      <c r="AA1360" s="23"/>
      <c r="AB1360" s="23"/>
      <c r="AC1360" s="23"/>
      <c r="AD1360" s="23"/>
      <c r="AE1360" s="23"/>
      <c r="AF1360" s="23">
        <v>2</v>
      </c>
      <c r="AG1360" s="23"/>
      <c r="AH1360" s="23">
        <v>1</v>
      </c>
      <c r="AI1360" s="23"/>
      <c r="AJ1360" s="23"/>
      <c r="AK1360" s="23">
        <v>10</v>
      </c>
      <c r="AL1360" s="23"/>
      <c r="AM1360" s="23"/>
      <c r="AN1360" s="23"/>
      <c r="AO1360" s="23">
        <v>6</v>
      </c>
      <c r="AP1360" s="23">
        <v>2</v>
      </c>
      <c r="AQ1360" s="23">
        <v>3</v>
      </c>
      <c r="AR1360" s="23">
        <v>2</v>
      </c>
      <c r="AS1360" s="23"/>
      <c r="AT1360" s="23"/>
      <c r="AU1360" s="14" t="str">
        <f>HYPERLINK("http://www.openstreetmap.org/?mlat=30.4694&amp;mlon=47.775&amp;zoom=12#map=12/30.4694/47.775","Maplink1")</f>
        <v>Maplink1</v>
      </c>
      <c r="AV1360" s="14" t="str">
        <f>HYPERLINK("https://www.google.iq/maps/search/+30.4694,47.775/@30.4694,47.775,14z?hl=en","Maplink2")</f>
        <v>Maplink2</v>
      </c>
      <c r="AW1360" s="14" t="str">
        <f>HYPERLINK("http://www.bing.com/maps/?lvl=14&amp;sty=h&amp;cp=30.4694~47.775&amp;sp=point.30.4694_47.775_Al Amn Al Dakhly","Maplink3")</f>
        <v>Maplink3</v>
      </c>
    </row>
    <row r="1361" spans="1:49" ht="15" customHeight="1" x14ac:dyDescent="0.25">
      <c r="A1361" s="21">
        <v>968</v>
      </c>
      <c r="B1361" s="22" t="s">
        <v>12</v>
      </c>
      <c r="C1361" s="22" t="s">
        <v>12</v>
      </c>
      <c r="D1361" s="22" t="s">
        <v>2568</v>
      </c>
      <c r="E1361" s="22" t="s">
        <v>1041</v>
      </c>
      <c r="F1361" s="22">
        <v>30.546399999999998</v>
      </c>
      <c r="G1361" s="22">
        <v>47.798000000000002</v>
      </c>
      <c r="H1361" s="21" t="s">
        <v>2322</v>
      </c>
      <c r="I1361" s="21" t="s">
        <v>2557</v>
      </c>
      <c r="J1361" s="21" t="s">
        <v>2569</v>
      </c>
      <c r="K1361" s="24">
        <v>6</v>
      </c>
      <c r="L1361" s="24">
        <v>36</v>
      </c>
      <c r="M1361" s="23">
        <v>1</v>
      </c>
      <c r="N1361" s="23">
        <v>1</v>
      </c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>
        <v>4</v>
      </c>
      <c r="Z1361" s="23"/>
      <c r="AA1361" s="23"/>
      <c r="AB1361" s="23"/>
      <c r="AC1361" s="23"/>
      <c r="AD1361" s="23"/>
      <c r="AE1361" s="23"/>
      <c r="AF1361" s="23">
        <v>4</v>
      </c>
      <c r="AG1361" s="23"/>
      <c r="AH1361" s="23"/>
      <c r="AI1361" s="23"/>
      <c r="AJ1361" s="23"/>
      <c r="AK1361" s="23">
        <v>2</v>
      </c>
      <c r="AL1361" s="23"/>
      <c r="AM1361" s="23"/>
      <c r="AN1361" s="23"/>
      <c r="AO1361" s="23"/>
      <c r="AP1361" s="23">
        <v>3</v>
      </c>
      <c r="AQ1361" s="23">
        <v>3</v>
      </c>
      <c r="AR1361" s="23"/>
      <c r="AS1361" s="23"/>
      <c r="AT1361" s="23"/>
      <c r="AU1361" s="14" t="str">
        <f>HYPERLINK("http://www.openstreetmap.org/?mlat=30.5464&amp;mlon=47.798&amp;zoom=12#map=12/30.5464/47.798","Maplink1")</f>
        <v>Maplink1</v>
      </c>
      <c r="AV1361" s="14" t="str">
        <f>HYPERLINK("https://www.google.iq/maps/search/+30.5464,47.798/@30.5464,47.798,14z?hl=en","Maplink2")</f>
        <v>Maplink2</v>
      </c>
      <c r="AW1361" s="14" t="str">
        <f>HYPERLINK("http://www.bing.com/maps/?lvl=14&amp;sty=h&amp;cp=30.5464~47.798&amp;sp=point.30.5464_47.798_Al Andolous","Maplink3")</f>
        <v>Maplink3</v>
      </c>
    </row>
    <row r="1362" spans="1:49" ht="15" customHeight="1" x14ac:dyDescent="0.25">
      <c r="A1362" s="21">
        <v>24346</v>
      </c>
      <c r="B1362" s="22" t="s">
        <v>12</v>
      </c>
      <c r="C1362" s="22" t="s">
        <v>12</v>
      </c>
      <c r="D1362" s="22" t="s">
        <v>2570</v>
      </c>
      <c r="E1362" s="22" t="s">
        <v>2571</v>
      </c>
      <c r="F1362" s="22">
        <v>30.517600000000002</v>
      </c>
      <c r="G1362" s="22">
        <v>47.833500000000001</v>
      </c>
      <c r="H1362" s="21" t="s">
        <v>2322</v>
      </c>
      <c r="I1362" s="21" t="s">
        <v>2557</v>
      </c>
      <c r="J1362" s="21"/>
      <c r="K1362" s="24">
        <v>91</v>
      </c>
      <c r="L1362" s="24">
        <v>546</v>
      </c>
      <c r="M1362" s="23">
        <v>1</v>
      </c>
      <c r="N1362" s="23"/>
      <c r="O1362" s="23">
        <v>4</v>
      </c>
      <c r="P1362" s="23"/>
      <c r="Q1362" s="23"/>
      <c r="R1362" s="23">
        <v>6</v>
      </c>
      <c r="S1362" s="23"/>
      <c r="T1362" s="23"/>
      <c r="U1362" s="23">
        <v>3</v>
      </c>
      <c r="V1362" s="23"/>
      <c r="W1362" s="23"/>
      <c r="X1362" s="23"/>
      <c r="Y1362" s="23">
        <v>63</v>
      </c>
      <c r="Z1362" s="23"/>
      <c r="AA1362" s="23">
        <v>14</v>
      </c>
      <c r="AB1362" s="23"/>
      <c r="AC1362" s="23"/>
      <c r="AD1362" s="23"/>
      <c r="AE1362" s="23"/>
      <c r="AF1362" s="23"/>
      <c r="AG1362" s="23">
        <v>91</v>
      </c>
      <c r="AH1362" s="23"/>
      <c r="AI1362" s="23"/>
      <c r="AJ1362" s="23"/>
      <c r="AK1362" s="23"/>
      <c r="AL1362" s="23"/>
      <c r="AM1362" s="23"/>
      <c r="AN1362" s="23"/>
      <c r="AO1362" s="23">
        <v>2</v>
      </c>
      <c r="AP1362" s="23">
        <v>15</v>
      </c>
      <c r="AQ1362" s="23">
        <v>21</v>
      </c>
      <c r="AR1362" s="23">
        <v>37</v>
      </c>
      <c r="AS1362" s="23">
        <v>12</v>
      </c>
      <c r="AT1362" s="23">
        <v>4</v>
      </c>
      <c r="AU1362" s="14" t="str">
        <f>HYPERLINK("http://www.openstreetmap.org/?mlat=30.5176&amp;mlon=47.8335&amp;zoom=12#map=12/30.5176/47.8335","Maplink1")</f>
        <v>Maplink1</v>
      </c>
      <c r="AV1362" s="14" t="str">
        <f>HYPERLINK("https://www.google.iq/maps/search/+30.5176,47.8335/@30.5176,47.8335,14z?hl=en","Maplink2")</f>
        <v>Maplink2</v>
      </c>
      <c r="AW1362" s="14" t="str">
        <f>HYPERLINK("http://www.bing.com/maps/?lvl=14&amp;sty=h&amp;cp=30.5176~47.8335&amp;sp=point.30.5176_47.8335_Al Ashar Center","Maplink3")</f>
        <v>Maplink3</v>
      </c>
    </row>
    <row r="1363" spans="1:49" ht="15" customHeight="1" x14ac:dyDescent="0.25">
      <c r="A1363" s="21">
        <v>24529</v>
      </c>
      <c r="B1363" s="22" t="s">
        <v>12</v>
      </c>
      <c r="C1363" s="22" t="s">
        <v>12</v>
      </c>
      <c r="D1363" s="22" t="s">
        <v>2575</v>
      </c>
      <c r="E1363" s="22" t="s">
        <v>2576</v>
      </c>
      <c r="F1363" s="22">
        <v>30.598700000000001</v>
      </c>
      <c r="G1363" s="22">
        <v>47.755099999999999</v>
      </c>
      <c r="H1363" s="21" t="s">
        <v>2322</v>
      </c>
      <c r="I1363" s="21" t="s">
        <v>2557</v>
      </c>
      <c r="J1363" s="21"/>
      <c r="K1363" s="24">
        <v>2</v>
      </c>
      <c r="L1363" s="24">
        <v>12</v>
      </c>
      <c r="M1363" s="23">
        <v>2</v>
      </c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>
        <v>2</v>
      </c>
      <c r="AL1363" s="23"/>
      <c r="AM1363" s="23"/>
      <c r="AN1363" s="23"/>
      <c r="AO1363" s="23"/>
      <c r="AP1363" s="23">
        <v>2</v>
      </c>
      <c r="AQ1363" s="23"/>
      <c r="AR1363" s="23"/>
      <c r="AS1363" s="23"/>
      <c r="AT1363" s="23"/>
      <c r="AU1363" s="14" t="str">
        <f>HYPERLINK("http://www.openstreetmap.org/?mlat=30.5987&amp;mlon=47.7551&amp;zoom=12#map=12/30.5987/47.7551","Maplink1")</f>
        <v>Maplink1</v>
      </c>
      <c r="AV1363" s="14" t="str">
        <f>HYPERLINK("https://www.google.iq/maps/search/+30.5987,47.7551/@30.5987,47.7551,14z?hl=en","Maplink2")</f>
        <v>Maplink2</v>
      </c>
      <c r="AW1363" s="14" t="str">
        <f>HYPERLINK("http://www.bing.com/maps/?lvl=14&amp;sty=h&amp;cp=30.5987~47.7551&amp;sp=point.30.5987_47.7551_Al Harthah Almagdah","Maplink3")</f>
        <v>Maplink3</v>
      </c>
    </row>
    <row r="1364" spans="1:49" ht="15" customHeight="1" x14ac:dyDescent="0.25">
      <c r="A1364" s="21">
        <v>24675</v>
      </c>
      <c r="B1364" s="22" t="s">
        <v>12</v>
      </c>
      <c r="C1364" s="22" t="s">
        <v>12</v>
      </c>
      <c r="D1364" s="22" t="s">
        <v>2577</v>
      </c>
      <c r="E1364" s="22" t="s">
        <v>7943</v>
      </c>
      <c r="F1364" s="22">
        <v>30.611899999999999</v>
      </c>
      <c r="G1364" s="22">
        <v>47.751800000000003</v>
      </c>
      <c r="H1364" s="21" t="s">
        <v>2322</v>
      </c>
      <c r="I1364" s="21" t="s">
        <v>2557</v>
      </c>
      <c r="J1364" s="21"/>
      <c r="K1364" s="24">
        <v>2</v>
      </c>
      <c r="L1364" s="24">
        <v>12</v>
      </c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>
        <v>2</v>
      </c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>
        <v>2</v>
      </c>
      <c r="AL1364" s="23"/>
      <c r="AM1364" s="23"/>
      <c r="AN1364" s="23"/>
      <c r="AO1364" s="23"/>
      <c r="AP1364" s="23"/>
      <c r="AQ1364" s="23"/>
      <c r="AR1364" s="23">
        <v>2</v>
      </c>
      <c r="AS1364" s="23"/>
      <c r="AT1364" s="23"/>
      <c r="AU1364" s="14" t="str">
        <f>HYPERLINK("http://www.openstreetmap.org/?mlat=30.6119&amp;mlon=47.7518&amp;zoom=12#map=12/30.6119/47.7518","Maplink1")</f>
        <v>Maplink1</v>
      </c>
      <c r="AV1364" s="14" t="str">
        <f>HYPERLINK("https://www.google.iq/maps/search/+30.6119,47.7518/@30.6119,47.7518,14z?hl=en","Maplink2")</f>
        <v>Maplink2</v>
      </c>
      <c r="AW1364" s="14" t="str">
        <f>HYPERLINK("http://www.bing.com/maps/?lvl=14&amp;sty=h&amp;cp=30.6119~47.7518&amp;sp=point.30.6119_47.7518_Al Harthah Hai Al Intesar","Maplink3")</f>
        <v>Maplink3</v>
      </c>
    </row>
    <row r="1365" spans="1:49" ht="15" customHeight="1" x14ac:dyDescent="0.25">
      <c r="A1365" s="21">
        <v>29555</v>
      </c>
      <c r="B1365" s="22" t="s">
        <v>12</v>
      </c>
      <c r="C1365" s="22" t="s">
        <v>12</v>
      </c>
      <c r="D1365" s="22" t="s">
        <v>7455</v>
      </c>
      <c r="E1365" s="22" t="s">
        <v>7944</v>
      </c>
      <c r="F1365" s="22">
        <v>30.577572</v>
      </c>
      <c r="G1365" s="22">
        <v>47.746136</v>
      </c>
      <c r="H1365" s="21" t="s">
        <v>2322</v>
      </c>
      <c r="I1365" s="21" t="s">
        <v>2557</v>
      </c>
      <c r="J1365" s="21"/>
      <c r="K1365" s="24">
        <v>1</v>
      </c>
      <c r="L1365" s="24">
        <v>6</v>
      </c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>
        <v>1</v>
      </c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>
        <v>1</v>
      </c>
      <c r="AL1365" s="23"/>
      <c r="AM1365" s="23"/>
      <c r="AN1365" s="23"/>
      <c r="AO1365" s="23"/>
      <c r="AP1365" s="23">
        <v>1</v>
      </c>
      <c r="AQ1365" s="23"/>
      <c r="AR1365" s="23"/>
      <c r="AS1365" s="23"/>
      <c r="AT1365" s="23"/>
      <c r="AU1365" s="14" t="str">
        <f>HYPERLINK("http://www.openstreetmap.org/?mlat=30.5776&amp;mlon=47.7461&amp;zoom=12#map=12/30.5776/47.7461","Maplink1")</f>
        <v>Maplink1</v>
      </c>
      <c r="AV1365" s="14" t="str">
        <f>HYPERLINK("https://www.google.iq/maps/search/+30.5776,47.7461/@30.5776,47.7461,14z?hl=en","Maplink2")</f>
        <v>Maplink2</v>
      </c>
      <c r="AW1365" s="14" t="str">
        <f>HYPERLINK("http://www.bing.com/maps/?lvl=14&amp;sty=h&amp;cp=30.5776~47.7461&amp;sp=point.30.5776_47.7461","Maplink3")</f>
        <v>Maplink3</v>
      </c>
    </row>
    <row r="1366" spans="1:49" ht="15" customHeight="1" x14ac:dyDescent="0.25">
      <c r="A1366" s="21">
        <v>871</v>
      </c>
      <c r="B1366" s="22" t="s">
        <v>12</v>
      </c>
      <c r="C1366" s="22" t="s">
        <v>12</v>
      </c>
      <c r="D1366" s="22" t="s">
        <v>7309</v>
      </c>
      <c r="E1366" s="22" t="s">
        <v>7945</v>
      </c>
      <c r="F1366" s="22">
        <v>30.5977</v>
      </c>
      <c r="G1366" s="22">
        <v>47.752200000000002</v>
      </c>
      <c r="H1366" s="21" t="s">
        <v>2322</v>
      </c>
      <c r="I1366" s="21" t="s">
        <v>2557</v>
      </c>
      <c r="J1366" s="21" t="s">
        <v>2574</v>
      </c>
      <c r="K1366" s="24">
        <v>3</v>
      </c>
      <c r="L1366" s="24">
        <v>18</v>
      </c>
      <c r="M1366" s="23"/>
      <c r="N1366" s="23"/>
      <c r="O1366" s="23"/>
      <c r="P1366" s="23"/>
      <c r="Q1366" s="23"/>
      <c r="R1366" s="23"/>
      <c r="S1366" s="23"/>
      <c r="T1366" s="23"/>
      <c r="U1366" s="23">
        <v>2</v>
      </c>
      <c r="V1366" s="23"/>
      <c r="W1366" s="23"/>
      <c r="X1366" s="23"/>
      <c r="Y1366" s="23">
        <v>1</v>
      </c>
      <c r="Z1366" s="23"/>
      <c r="AA1366" s="23"/>
      <c r="AB1366" s="23"/>
      <c r="AC1366" s="23"/>
      <c r="AD1366" s="23"/>
      <c r="AE1366" s="23"/>
      <c r="AF1366" s="23">
        <v>1</v>
      </c>
      <c r="AG1366" s="23"/>
      <c r="AH1366" s="23"/>
      <c r="AI1366" s="23"/>
      <c r="AJ1366" s="23"/>
      <c r="AK1366" s="23">
        <v>2</v>
      </c>
      <c r="AL1366" s="23"/>
      <c r="AM1366" s="23"/>
      <c r="AN1366" s="23"/>
      <c r="AO1366" s="23"/>
      <c r="AP1366" s="23">
        <v>2</v>
      </c>
      <c r="AQ1366" s="23"/>
      <c r="AR1366" s="23">
        <v>1</v>
      </c>
      <c r="AS1366" s="23"/>
      <c r="AT1366" s="23"/>
      <c r="AU1366" s="14" t="str">
        <f>HYPERLINK("http://www.openstreetmap.org/?mlat=30.5977&amp;mlon=47.7522&amp;zoom=12#map=12/30.5977/47.7522","Maplink1")</f>
        <v>Maplink1</v>
      </c>
      <c r="AV1366" s="14" t="str">
        <f>HYPERLINK("https://www.google.iq/maps/search/+30.5977,47.7522/@30.5977,47.7522,14z?hl=en","Maplink2")</f>
        <v>Maplink2</v>
      </c>
      <c r="AW1366" s="14" t="str">
        <f>HYPERLINK("http://www.bing.com/maps/?lvl=14&amp;sty=h&amp;cp=30.5977~47.7522&amp;sp=point.30.5977_47.7522_Al Harthah - Hay Al Risalah","Maplink3")</f>
        <v>Maplink3</v>
      </c>
    </row>
    <row r="1367" spans="1:49" ht="15" customHeight="1" x14ac:dyDescent="0.25">
      <c r="A1367" s="21">
        <v>894</v>
      </c>
      <c r="B1367" s="22" t="s">
        <v>12</v>
      </c>
      <c r="C1367" s="22" t="s">
        <v>12</v>
      </c>
      <c r="D1367" s="22" t="s">
        <v>7310</v>
      </c>
      <c r="E1367" s="22" t="s">
        <v>7946</v>
      </c>
      <c r="F1367" s="22">
        <v>30.505628999999999</v>
      </c>
      <c r="G1367" s="22">
        <v>47.830212000000003</v>
      </c>
      <c r="H1367" s="21" t="s">
        <v>2322</v>
      </c>
      <c r="I1367" s="21" t="s">
        <v>2557</v>
      </c>
      <c r="J1367" s="21" t="s">
        <v>2578</v>
      </c>
      <c r="K1367" s="24">
        <v>5</v>
      </c>
      <c r="L1367" s="24">
        <v>30</v>
      </c>
      <c r="M1367" s="23">
        <v>2</v>
      </c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>
        <v>3</v>
      </c>
      <c r="Z1367" s="23"/>
      <c r="AA1367" s="23"/>
      <c r="AB1367" s="23"/>
      <c r="AC1367" s="23"/>
      <c r="AD1367" s="23"/>
      <c r="AE1367" s="23"/>
      <c r="AF1367" s="23">
        <v>3</v>
      </c>
      <c r="AG1367" s="23"/>
      <c r="AH1367" s="23"/>
      <c r="AI1367" s="23"/>
      <c r="AJ1367" s="23"/>
      <c r="AK1367" s="23">
        <v>2</v>
      </c>
      <c r="AL1367" s="23"/>
      <c r="AM1367" s="23"/>
      <c r="AN1367" s="23"/>
      <c r="AO1367" s="23">
        <v>1</v>
      </c>
      <c r="AP1367" s="23">
        <v>1</v>
      </c>
      <c r="AQ1367" s="23"/>
      <c r="AR1367" s="23">
        <v>2</v>
      </c>
      <c r="AS1367" s="23">
        <v>1</v>
      </c>
      <c r="AT1367" s="23"/>
      <c r="AU1367" s="14" t="str">
        <f>HYPERLINK("http://www.openstreetmap.org/?mlat=30.5056&amp;mlon=47.8302&amp;zoom=12#map=12/30.5056/47.8302","Maplink1")</f>
        <v>Maplink1</v>
      </c>
      <c r="AV1367" s="14" t="str">
        <f>HYPERLINK("https://www.google.iq/maps/search/+30.5056,47.8302/@30.5056,47.8302,14z?hl=en","Maplink2")</f>
        <v>Maplink2</v>
      </c>
      <c r="AW1367" s="14" t="str">
        <f>HYPERLINK("http://www.bing.com/maps/?lvl=14&amp;sty=h&amp;cp=30.5056~47.8302&amp;sp=point.30.5056_47.8302_Al Jazair - Al-Forsey","Maplink3")</f>
        <v>Maplink3</v>
      </c>
    </row>
    <row r="1368" spans="1:49" ht="15" customHeight="1" x14ac:dyDescent="0.25">
      <c r="A1368" s="21">
        <v>927</v>
      </c>
      <c r="B1368" s="22" t="s">
        <v>12</v>
      </c>
      <c r="C1368" s="22" t="s">
        <v>12</v>
      </c>
      <c r="D1368" s="22" t="s">
        <v>2582</v>
      </c>
      <c r="E1368" s="22" t="s">
        <v>7947</v>
      </c>
      <c r="F1368" s="22">
        <v>30.522138999999999</v>
      </c>
      <c r="G1368" s="22">
        <v>47.797542999999997</v>
      </c>
      <c r="H1368" s="21" t="s">
        <v>2322</v>
      </c>
      <c r="I1368" s="21" t="s">
        <v>2557</v>
      </c>
      <c r="J1368" s="21" t="s">
        <v>2583</v>
      </c>
      <c r="K1368" s="24">
        <v>13</v>
      </c>
      <c r="L1368" s="24">
        <v>78</v>
      </c>
      <c r="M1368" s="23"/>
      <c r="N1368" s="23"/>
      <c r="O1368" s="23"/>
      <c r="P1368" s="23"/>
      <c r="Q1368" s="23"/>
      <c r="R1368" s="23">
        <v>3</v>
      </c>
      <c r="S1368" s="23"/>
      <c r="T1368" s="23"/>
      <c r="U1368" s="23">
        <v>8</v>
      </c>
      <c r="V1368" s="23"/>
      <c r="W1368" s="23"/>
      <c r="X1368" s="23"/>
      <c r="Y1368" s="23">
        <v>2</v>
      </c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>
        <v>13</v>
      </c>
      <c r="AL1368" s="23"/>
      <c r="AM1368" s="23"/>
      <c r="AN1368" s="23"/>
      <c r="AO1368" s="23">
        <v>4</v>
      </c>
      <c r="AP1368" s="23">
        <v>2</v>
      </c>
      <c r="AQ1368" s="23">
        <v>7</v>
      </c>
      <c r="AR1368" s="23"/>
      <c r="AS1368" s="23"/>
      <c r="AT1368" s="23"/>
      <c r="AU1368" s="14" t="str">
        <f>HYPERLINK("http://www.openstreetmap.org/?mlat=30.5221&amp;mlon=47.7975&amp;zoom=12#map=12/30.5221/47.7975","Maplink1")</f>
        <v>Maplink1</v>
      </c>
      <c r="AV1368" s="14" t="str">
        <f>HYPERLINK("https://www.google.iq/maps/search/+30.5221,47.7975/@30.5221,47.7975,14z?hl=en","Maplink2")</f>
        <v>Maplink2</v>
      </c>
      <c r="AW1368" s="14" t="str">
        <f>HYPERLINK("http://www.bing.com/maps/?lvl=14&amp;sty=h&amp;cp=30.5221~47.7975&amp;sp=point.30.5221_47.7975_Al Jumhuriya","Maplink3")</f>
        <v>Maplink3</v>
      </c>
    </row>
    <row r="1369" spans="1:49" ht="15" customHeight="1" x14ac:dyDescent="0.25">
      <c r="A1369" s="21">
        <v>24344</v>
      </c>
      <c r="B1369" s="22" t="s">
        <v>12</v>
      </c>
      <c r="C1369" s="22" t="s">
        <v>12</v>
      </c>
      <c r="D1369" s="22" t="s">
        <v>2584</v>
      </c>
      <c r="E1369" s="22" t="s">
        <v>7948</v>
      </c>
      <c r="F1369" s="22">
        <v>30.471800000000002</v>
      </c>
      <c r="G1369" s="22">
        <v>47.8125</v>
      </c>
      <c r="H1369" s="21" t="s">
        <v>2322</v>
      </c>
      <c r="I1369" s="21" t="s">
        <v>2557</v>
      </c>
      <c r="J1369" s="21"/>
      <c r="K1369" s="24">
        <v>15</v>
      </c>
      <c r="L1369" s="24">
        <v>90</v>
      </c>
      <c r="M1369" s="23">
        <v>9</v>
      </c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>
        <v>6</v>
      </c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>
        <v>15</v>
      </c>
      <c r="AL1369" s="23"/>
      <c r="AM1369" s="23"/>
      <c r="AN1369" s="23"/>
      <c r="AO1369" s="23">
        <v>13</v>
      </c>
      <c r="AP1369" s="23"/>
      <c r="AQ1369" s="23"/>
      <c r="AR1369" s="23">
        <v>2</v>
      </c>
      <c r="AS1369" s="23"/>
      <c r="AT1369" s="23"/>
      <c r="AU1369" s="14" t="str">
        <f>HYPERLINK("http://www.openstreetmap.org/?mlat=30.4718&amp;mlon=47.8125&amp;zoom=12#map=12/30.4718/47.8125","Maplink1")</f>
        <v>Maplink1</v>
      </c>
      <c r="AV1369" s="14" t="str">
        <f>HYPERLINK("https://www.google.iq/maps/search/+30.4718,47.8125/@30.4718,47.8125,14z?hl=en","Maplink2")</f>
        <v>Maplink2</v>
      </c>
      <c r="AW1369" s="14" t="str">
        <f>HYPERLINK("http://www.bing.com/maps/?lvl=14&amp;sty=h&amp;cp=30.4718~47.8125&amp;sp=point.30.4718_47.8125_Al Kaim 1","Maplink3")</f>
        <v>Maplink3</v>
      </c>
    </row>
    <row r="1370" spans="1:49" ht="15" customHeight="1" x14ac:dyDescent="0.25">
      <c r="A1370" s="21">
        <v>898</v>
      </c>
      <c r="B1370" s="22" t="s">
        <v>12</v>
      </c>
      <c r="C1370" s="22" t="s">
        <v>12</v>
      </c>
      <c r="D1370" s="22" t="s">
        <v>2585</v>
      </c>
      <c r="E1370" s="22" t="s">
        <v>7949</v>
      </c>
      <c r="F1370" s="22">
        <v>30.487221999999999</v>
      </c>
      <c r="G1370" s="22">
        <v>47.792777999999998</v>
      </c>
      <c r="H1370" s="21"/>
      <c r="I1370" s="21"/>
      <c r="J1370" s="21" t="s">
        <v>2586</v>
      </c>
      <c r="K1370" s="24">
        <v>4</v>
      </c>
      <c r="L1370" s="24">
        <v>24</v>
      </c>
      <c r="M1370" s="23">
        <v>1</v>
      </c>
      <c r="N1370" s="23"/>
      <c r="O1370" s="23"/>
      <c r="P1370" s="23"/>
      <c r="Q1370" s="23"/>
      <c r="R1370" s="23">
        <v>1</v>
      </c>
      <c r="S1370" s="23"/>
      <c r="T1370" s="23"/>
      <c r="U1370" s="23"/>
      <c r="V1370" s="23"/>
      <c r="W1370" s="23"/>
      <c r="X1370" s="23"/>
      <c r="Y1370" s="23">
        <v>2</v>
      </c>
      <c r="Z1370" s="23"/>
      <c r="AA1370" s="23"/>
      <c r="AB1370" s="23"/>
      <c r="AC1370" s="23"/>
      <c r="AD1370" s="23"/>
      <c r="AE1370" s="23"/>
      <c r="AF1370" s="23">
        <v>2</v>
      </c>
      <c r="AG1370" s="23"/>
      <c r="AH1370" s="23"/>
      <c r="AI1370" s="23"/>
      <c r="AJ1370" s="23"/>
      <c r="AK1370" s="23">
        <v>2</v>
      </c>
      <c r="AL1370" s="23"/>
      <c r="AM1370" s="23"/>
      <c r="AN1370" s="23"/>
      <c r="AO1370" s="23">
        <v>1</v>
      </c>
      <c r="AP1370" s="23">
        <v>1</v>
      </c>
      <c r="AQ1370" s="23"/>
      <c r="AR1370" s="23">
        <v>2</v>
      </c>
      <c r="AS1370" s="23"/>
      <c r="AT1370" s="23"/>
      <c r="AU1370" s="14" t="str">
        <f>HYPERLINK("http://www.openstreetmap.org/?mlat=30.4872&amp;mlon=47.7928&amp;zoom=12#map=12/30.4872/47.7928","Maplink1")</f>
        <v>Maplink1</v>
      </c>
      <c r="AV1370" s="14" t="str">
        <f>HYPERLINK("https://www.google.iq/maps/search/+30.4872,47.7928/@30.4872,47.7928,14z?hl=en","Maplink2")</f>
        <v>Maplink2</v>
      </c>
      <c r="AW1370" s="14" t="str">
        <f>HYPERLINK("http://www.bing.com/maps/?lvl=14&amp;sty=h&amp;cp=30.4872~47.7928&amp;sp=point.30.4872_47.7928_Al Khaleej1","Maplink3")</f>
        <v>Maplink3</v>
      </c>
    </row>
    <row r="1371" spans="1:49" ht="15" customHeight="1" x14ac:dyDescent="0.25">
      <c r="A1371" s="21">
        <v>885</v>
      </c>
      <c r="B1371" s="22" t="s">
        <v>12</v>
      </c>
      <c r="C1371" s="22" t="s">
        <v>12</v>
      </c>
      <c r="D1371" s="22" t="s">
        <v>7311</v>
      </c>
      <c r="E1371" s="22" t="s">
        <v>7950</v>
      </c>
      <c r="F1371" s="22">
        <v>30.4908</v>
      </c>
      <c r="G1371" s="22">
        <v>47.790399999999998</v>
      </c>
      <c r="H1371" s="21" t="s">
        <v>2322</v>
      </c>
      <c r="I1371" s="21" t="s">
        <v>2557</v>
      </c>
      <c r="J1371" s="21" t="s">
        <v>2704</v>
      </c>
      <c r="K1371" s="24">
        <v>1</v>
      </c>
      <c r="L1371" s="24">
        <v>6</v>
      </c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>
        <v>1</v>
      </c>
      <c r="Z1371" s="23"/>
      <c r="AA1371" s="23"/>
      <c r="AB1371" s="23"/>
      <c r="AC1371" s="23"/>
      <c r="AD1371" s="23"/>
      <c r="AE1371" s="23"/>
      <c r="AF1371" s="23">
        <v>1</v>
      </c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>
        <v>1</v>
      </c>
      <c r="AR1371" s="23"/>
      <c r="AS1371" s="23"/>
      <c r="AT1371" s="23"/>
      <c r="AU1371" s="14" t="str">
        <f>HYPERLINK("http://www.openstreetmap.org/?mlat=30.4908&amp;mlon=47.7904&amp;zoom=12#map=12/30.4908/47.7904","Maplink1")</f>
        <v>Maplink1</v>
      </c>
      <c r="AV1371" s="14" t="str">
        <f>HYPERLINK("https://www.google.iq/maps/search/+30.4908,47.7904/@30.4908,47.7904,14z?hl=en","Maplink2")</f>
        <v>Maplink2</v>
      </c>
      <c r="AW1371" s="14" t="str">
        <f>HYPERLINK("http://www.bing.com/maps/?lvl=14&amp;sty=h&amp;cp=30.4908~47.7904&amp;sp=point.30.4908_47.7904_Hai al-khaleej-2","Maplink3")</f>
        <v>Maplink3</v>
      </c>
    </row>
    <row r="1372" spans="1:49" ht="15" customHeight="1" x14ac:dyDescent="0.25">
      <c r="A1372" s="21">
        <v>511</v>
      </c>
      <c r="B1372" s="22" t="s">
        <v>12</v>
      </c>
      <c r="C1372" s="22" t="s">
        <v>12</v>
      </c>
      <c r="D1372" s="22" t="s">
        <v>2587</v>
      </c>
      <c r="E1372" s="22" t="s">
        <v>2588</v>
      </c>
      <c r="F1372" s="22">
        <v>30.505832999999999</v>
      </c>
      <c r="G1372" s="22">
        <v>47.782778</v>
      </c>
      <c r="H1372" s="21" t="s">
        <v>2322</v>
      </c>
      <c r="I1372" s="21" t="s">
        <v>2557</v>
      </c>
      <c r="J1372" s="21" t="s">
        <v>2589</v>
      </c>
      <c r="K1372" s="24">
        <v>7</v>
      </c>
      <c r="L1372" s="24">
        <v>42</v>
      </c>
      <c r="M1372" s="23">
        <v>3</v>
      </c>
      <c r="N1372" s="23"/>
      <c r="O1372" s="23"/>
      <c r="P1372" s="23"/>
      <c r="Q1372" s="23"/>
      <c r="R1372" s="23">
        <v>1</v>
      </c>
      <c r="S1372" s="23"/>
      <c r="T1372" s="23"/>
      <c r="U1372" s="23"/>
      <c r="V1372" s="23"/>
      <c r="W1372" s="23"/>
      <c r="X1372" s="23"/>
      <c r="Y1372" s="23"/>
      <c r="Z1372" s="23"/>
      <c r="AA1372" s="23">
        <v>3</v>
      </c>
      <c r="AB1372" s="23"/>
      <c r="AC1372" s="23"/>
      <c r="AD1372" s="23"/>
      <c r="AE1372" s="23"/>
      <c r="AF1372" s="23">
        <v>3</v>
      </c>
      <c r="AG1372" s="23"/>
      <c r="AH1372" s="23"/>
      <c r="AI1372" s="23"/>
      <c r="AJ1372" s="23"/>
      <c r="AK1372" s="23">
        <v>4</v>
      </c>
      <c r="AL1372" s="23"/>
      <c r="AM1372" s="23"/>
      <c r="AN1372" s="23"/>
      <c r="AO1372" s="23">
        <v>1</v>
      </c>
      <c r="AP1372" s="23"/>
      <c r="AQ1372" s="23">
        <v>1</v>
      </c>
      <c r="AR1372" s="23"/>
      <c r="AS1372" s="23">
        <v>5</v>
      </c>
      <c r="AT1372" s="23"/>
      <c r="AU1372" s="14" t="str">
        <f>HYPERLINK("http://www.openstreetmap.org/?mlat=30.49&amp;mlon=47.78&amp;zoom=12#map=12/30.49/47.78","Maplink1")</f>
        <v>Maplink1</v>
      </c>
      <c r="AV1372" s="14" t="str">
        <f>HYPERLINK("https://www.google.iq/maps/search/+30.49,47.78/@30.49,47.78,14z?hl=en","Maplink2")</f>
        <v>Maplink2</v>
      </c>
      <c r="AW1372" s="14" t="str">
        <f>HYPERLINK("http://www.bing.com/maps/?lvl=14&amp;sty=h&amp;cp=30.49~47.78&amp;sp=point.30.49_47.78_Al Khaleej4","Maplink3")</f>
        <v>Maplink3</v>
      </c>
    </row>
    <row r="1373" spans="1:49" ht="15" customHeight="1" x14ac:dyDescent="0.25">
      <c r="A1373" s="21">
        <v>29595</v>
      </c>
      <c r="B1373" s="22" t="s">
        <v>12</v>
      </c>
      <c r="C1373" s="22" t="s">
        <v>12</v>
      </c>
      <c r="D1373" s="22" t="s">
        <v>8208</v>
      </c>
      <c r="E1373" s="22" t="s">
        <v>8209</v>
      </c>
      <c r="F1373" s="22">
        <v>30.551666999999998</v>
      </c>
      <c r="G1373" s="22">
        <v>47.767778</v>
      </c>
      <c r="H1373" s="21" t="s">
        <v>2322</v>
      </c>
      <c r="I1373" s="21" t="s">
        <v>2557</v>
      </c>
      <c r="J1373" s="21"/>
      <c r="K1373" s="24">
        <v>2</v>
      </c>
      <c r="L1373" s="24">
        <v>12</v>
      </c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>
        <v>2</v>
      </c>
      <c r="Z1373" s="23"/>
      <c r="AA1373" s="23"/>
      <c r="AB1373" s="23"/>
      <c r="AC1373" s="23"/>
      <c r="AD1373" s="23"/>
      <c r="AE1373" s="23"/>
      <c r="AF1373" s="23">
        <v>2</v>
      </c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>
        <v>2</v>
      </c>
      <c r="AQ1373" s="23"/>
      <c r="AR1373" s="23"/>
      <c r="AS1373" s="23"/>
      <c r="AT1373" s="23"/>
      <c r="AU1373" s="14" t="str">
        <f>HYPERLINK("http://www.openstreetmap.org/?mlat=30.5517&amp;mlon=47.7678&amp;zoom=12#map=12/30.5517/47.7678","Maplink1")</f>
        <v>Maplink1</v>
      </c>
      <c r="AV1373" s="14" t="str">
        <f>HYPERLINK("https://www.google.iq/maps/search/+30.5517,47.7678/@30.5517,47.7678,14z?hl=en","Maplink2")</f>
        <v>Maplink2</v>
      </c>
      <c r="AW1373" s="14" t="str">
        <f>HYPERLINK("http://www.bing.com/maps/?lvl=14&amp;sty=h&amp;cp=30.5517~47.7678&amp;sp=point.30.5517_47.7678","Maplink3")</f>
        <v>Maplink3</v>
      </c>
    </row>
    <row r="1374" spans="1:49" ht="15" customHeight="1" x14ac:dyDescent="0.25">
      <c r="A1374" s="21">
        <v>989</v>
      </c>
      <c r="B1374" s="22" t="s">
        <v>12</v>
      </c>
      <c r="C1374" s="22" t="s">
        <v>12</v>
      </c>
      <c r="D1374" s="22" t="s">
        <v>2591</v>
      </c>
      <c r="E1374" s="22" t="s">
        <v>7951</v>
      </c>
      <c r="F1374" s="22">
        <v>30.550643000000001</v>
      </c>
      <c r="G1374" s="22">
        <v>47.770041999999997</v>
      </c>
      <c r="H1374" s="21" t="s">
        <v>2322</v>
      </c>
      <c r="I1374" s="21" t="s">
        <v>2557</v>
      </c>
      <c r="J1374" s="21" t="s">
        <v>2592</v>
      </c>
      <c r="K1374" s="24">
        <v>1</v>
      </c>
      <c r="L1374" s="24">
        <v>6</v>
      </c>
      <c r="M1374" s="23"/>
      <c r="N1374" s="23"/>
      <c r="O1374" s="23"/>
      <c r="P1374" s="23"/>
      <c r="Q1374" s="23"/>
      <c r="R1374" s="23">
        <v>1</v>
      </c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>
        <v>1</v>
      </c>
      <c r="AL1374" s="23"/>
      <c r="AM1374" s="23"/>
      <c r="AN1374" s="23"/>
      <c r="AO1374" s="23"/>
      <c r="AP1374" s="23">
        <v>1</v>
      </c>
      <c r="AQ1374" s="23"/>
      <c r="AR1374" s="23"/>
      <c r="AS1374" s="23"/>
      <c r="AT1374" s="23"/>
      <c r="AU1374" s="14" t="str">
        <f>HYPERLINK("http://www.openstreetmap.org/?mlat=30.5506&amp;mlon=47.77&amp;zoom=12#map=12/30.5506/47.77","Maplink1")</f>
        <v>Maplink1</v>
      </c>
      <c r="AV1374" s="14" t="str">
        <f>HYPERLINK("https://www.google.iq/maps/search/+30.5506,47.77/@30.5506,47.77,14z?hl=en","Maplink2")</f>
        <v>Maplink2</v>
      </c>
      <c r="AW1374" s="14" t="str">
        <f>HYPERLINK("http://www.bing.com/maps/?lvl=14&amp;sty=h&amp;cp=30.5506~47.77&amp;sp=point.30.5506_47.77_Al Maqil- Al-kindi","Maplink3")</f>
        <v>Maplink3</v>
      </c>
    </row>
    <row r="1375" spans="1:49" ht="15" customHeight="1" x14ac:dyDescent="0.25">
      <c r="A1375" s="21">
        <v>29538</v>
      </c>
      <c r="B1375" s="22" t="s">
        <v>12</v>
      </c>
      <c r="C1375" s="22" t="s">
        <v>12</v>
      </c>
      <c r="D1375" s="22" t="s">
        <v>7456</v>
      </c>
      <c r="E1375" s="22" t="s">
        <v>2590</v>
      </c>
      <c r="F1375" s="22">
        <v>30.53</v>
      </c>
      <c r="G1375" s="22">
        <v>47.771943999999998</v>
      </c>
      <c r="H1375" s="21" t="s">
        <v>2322</v>
      </c>
      <c r="I1375" s="21" t="s">
        <v>2557</v>
      </c>
      <c r="J1375" s="21"/>
      <c r="K1375" s="24">
        <v>4</v>
      </c>
      <c r="L1375" s="24">
        <v>24</v>
      </c>
      <c r="M1375" s="23">
        <v>3</v>
      </c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>
        <v>1</v>
      </c>
      <c r="AB1375" s="23"/>
      <c r="AC1375" s="23"/>
      <c r="AD1375" s="23"/>
      <c r="AE1375" s="23"/>
      <c r="AF1375" s="23"/>
      <c r="AG1375" s="23"/>
      <c r="AH1375" s="23">
        <v>4</v>
      </c>
      <c r="AI1375" s="23"/>
      <c r="AJ1375" s="23"/>
      <c r="AK1375" s="23"/>
      <c r="AL1375" s="23"/>
      <c r="AM1375" s="23"/>
      <c r="AN1375" s="23"/>
      <c r="AO1375" s="23"/>
      <c r="AP1375" s="23"/>
      <c r="AQ1375" s="23">
        <v>1</v>
      </c>
      <c r="AR1375" s="23">
        <v>3</v>
      </c>
      <c r="AS1375" s="23"/>
      <c r="AT1375" s="23"/>
      <c r="AU1375" s="14" t="str">
        <f>HYPERLINK("http://www.openstreetmap.org/?mlat=30.53&amp;mlon=47.7719&amp;zoom=12#map=12/30.53/47.7719","Maplink1")</f>
        <v>Maplink1</v>
      </c>
      <c r="AV1375" s="14" t="str">
        <f>HYPERLINK("https://www.google.iq/maps/search/+30.53,47.7719/@30.53,47.7719,14z?hl=en","Maplink2")</f>
        <v>Maplink2</v>
      </c>
      <c r="AW1375" s="14" t="str">
        <f>HYPERLINK("http://www.bing.com/maps/?lvl=14&amp;sty=h&amp;cp=30.53~47.7719&amp;sp=point.30.53_47.7719","Maplink3")</f>
        <v>Maplink3</v>
      </c>
    </row>
    <row r="1376" spans="1:49" ht="15" customHeight="1" x14ac:dyDescent="0.25">
      <c r="A1376" s="21">
        <v>963</v>
      </c>
      <c r="B1376" s="22" t="s">
        <v>12</v>
      </c>
      <c r="C1376" s="22" t="s">
        <v>12</v>
      </c>
      <c r="D1376" s="22" t="s">
        <v>2593</v>
      </c>
      <c r="E1376" s="22" t="s">
        <v>2594</v>
      </c>
      <c r="F1376" s="22">
        <v>30.543126000000001</v>
      </c>
      <c r="G1376" s="22">
        <v>47.766061999999998</v>
      </c>
      <c r="H1376" s="21" t="s">
        <v>2322</v>
      </c>
      <c r="I1376" s="21" t="s">
        <v>2557</v>
      </c>
      <c r="J1376" s="21" t="s">
        <v>2595</v>
      </c>
      <c r="K1376" s="24">
        <v>31</v>
      </c>
      <c r="L1376" s="24">
        <v>186</v>
      </c>
      <c r="M1376" s="23">
        <v>8</v>
      </c>
      <c r="N1376" s="23"/>
      <c r="O1376" s="23"/>
      <c r="P1376" s="23"/>
      <c r="Q1376" s="23"/>
      <c r="R1376" s="23"/>
      <c r="S1376" s="23"/>
      <c r="T1376" s="23"/>
      <c r="U1376" s="23">
        <v>4</v>
      </c>
      <c r="V1376" s="23"/>
      <c r="W1376" s="23"/>
      <c r="X1376" s="23"/>
      <c r="Y1376" s="23">
        <v>14</v>
      </c>
      <c r="Z1376" s="23"/>
      <c r="AA1376" s="23">
        <v>5</v>
      </c>
      <c r="AB1376" s="23"/>
      <c r="AC1376" s="23"/>
      <c r="AD1376" s="23"/>
      <c r="AE1376" s="23"/>
      <c r="AF1376" s="23">
        <v>6</v>
      </c>
      <c r="AG1376" s="23"/>
      <c r="AH1376" s="23">
        <v>5</v>
      </c>
      <c r="AI1376" s="23"/>
      <c r="AJ1376" s="23"/>
      <c r="AK1376" s="23">
        <v>20</v>
      </c>
      <c r="AL1376" s="23"/>
      <c r="AM1376" s="23"/>
      <c r="AN1376" s="23"/>
      <c r="AO1376" s="23">
        <v>14</v>
      </c>
      <c r="AP1376" s="23">
        <v>5</v>
      </c>
      <c r="AQ1376" s="23">
        <v>9</v>
      </c>
      <c r="AR1376" s="23">
        <v>3</v>
      </c>
      <c r="AS1376" s="23"/>
      <c r="AT1376" s="23"/>
      <c r="AU1376" s="14" t="str">
        <f>HYPERLINK("http://www.openstreetmap.org/?mlat=30.5431&amp;mlon=47.7661&amp;zoom=12#map=12/30.5431/47.7661","Maplink1")</f>
        <v>Maplink1</v>
      </c>
      <c r="AV1376" s="14" t="str">
        <f>HYPERLINK("https://www.google.iq/maps/search/+30.5431,47.7661/@30.5431,47.7661,14z?hl=en","Maplink2")</f>
        <v>Maplink2</v>
      </c>
      <c r="AW1376" s="14" t="str">
        <f>HYPERLINK("http://www.bing.com/maps/?lvl=14&amp;sty=h&amp;cp=30.5431~47.7661&amp;sp=point.30.5431_47.7661_AL Mowafaqiah","Maplink3")</f>
        <v>Maplink3</v>
      </c>
    </row>
    <row r="1377" spans="1:49" ht="15" customHeight="1" x14ac:dyDescent="0.25">
      <c r="A1377" s="21">
        <v>24481</v>
      </c>
      <c r="B1377" s="22" t="s">
        <v>12</v>
      </c>
      <c r="C1377" s="22" t="s">
        <v>12</v>
      </c>
      <c r="D1377" s="22" t="s">
        <v>2596</v>
      </c>
      <c r="E1377" s="22" t="s">
        <v>2597</v>
      </c>
      <c r="F1377" s="22">
        <v>30.490400000000001</v>
      </c>
      <c r="G1377" s="22">
        <v>47.807899999999997</v>
      </c>
      <c r="H1377" s="21" t="s">
        <v>2322</v>
      </c>
      <c r="I1377" s="21" t="s">
        <v>2557</v>
      </c>
      <c r="J1377" s="21"/>
      <c r="K1377" s="24">
        <v>2</v>
      </c>
      <c r="L1377" s="24">
        <v>12</v>
      </c>
      <c r="M1377" s="23">
        <v>1</v>
      </c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>
        <v>1</v>
      </c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>
        <v>2</v>
      </c>
      <c r="AL1377" s="23"/>
      <c r="AM1377" s="23"/>
      <c r="AN1377" s="23"/>
      <c r="AO1377" s="23">
        <v>1</v>
      </c>
      <c r="AP1377" s="23">
        <v>1</v>
      </c>
      <c r="AQ1377" s="23"/>
      <c r="AR1377" s="23"/>
      <c r="AS1377" s="23"/>
      <c r="AT1377" s="23"/>
      <c r="AU1377" s="14" t="str">
        <f>HYPERLINK("http://www.openstreetmap.org/?mlat=30.4904&amp;mlon=47.8079&amp;zoom=12#map=12/30.4904/47.8079","Maplink1")</f>
        <v>Maplink1</v>
      </c>
      <c r="AV1377" s="14" t="str">
        <f>HYPERLINK("https://www.google.iq/maps/search/+30.4904,47.8079/@30.4904,47.8079,14z?hl=en","Maplink2")</f>
        <v>Maplink2</v>
      </c>
      <c r="AW1377" s="14" t="str">
        <f>HYPERLINK("http://www.bing.com/maps/?lvl=14&amp;sty=h&amp;cp=30.4904~47.8079&amp;sp=point.30.4904_47.8079_Al Muhallab","Maplink3")</f>
        <v>Maplink3</v>
      </c>
    </row>
    <row r="1378" spans="1:49" ht="15" customHeight="1" x14ac:dyDescent="0.25">
      <c r="A1378" s="21">
        <v>1310</v>
      </c>
      <c r="B1378" s="22" t="s">
        <v>12</v>
      </c>
      <c r="C1378" s="22" t="s">
        <v>12</v>
      </c>
      <c r="D1378" s="22" t="s">
        <v>7952</v>
      </c>
      <c r="E1378" s="22" t="s">
        <v>2598</v>
      </c>
      <c r="F1378" s="22">
        <v>30.464444440000001</v>
      </c>
      <c r="G1378" s="22">
        <v>47.804166670000001</v>
      </c>
      <c r="H1378" s="21" t="s">
        <v>2322</v>
      </c>
      <c r="I1378" s="21" t="s">
        <v>2557</v>
      </c>
      <c r="J1378" s="21" t="s">
        <v>2599</v>
      </c>
      <c r="K1378" s="24">
        <v>8</v>
      </c>
      <c r="L1378" s="24">
        <v>48</v>
      </c>
      <c r="M1378" s="23">
        <v>2</v>
      </c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>
        <v>4</v>
      </c>
      <c r="Z1378" s="23"/>
      <c r="AA1378" s="23">
        <v>2</v>
      </c>
      <c r="AB1378" s="23"/>
      <c r="AC1378" s="23"/>
      <c r="AD1378" s="23"/>
      <c r="AE1378" s="23"/>
      <c r="AF1378" s="23">
        <v>4</v>
      </c>
      <c r="AG1378" s="23"/>
      <c r="AH1378" s="23"/>
      <c r="AI1378" s="23"/>
      <c r="AJ1378" s="23"/>
      <c r="AK1378" s="23">
        <v>4</v>
      </c>
      <c r="AL1378" s="23"/>
      <c r="AM1378" s="23"/>
      <c r="AN1378" s="23"/>
      <c r="AO1378" s="23">
        <v>1</v>
      </c>
      <c r="AP1378" s="23">
        <v>2</v>
      </c>
      <c r="AQ1378" s="23">
        <v>2</v>
      </c>
      <c r="AR1378" s="23">
        <v>3</v>
      </c>
      <c r="AS1378" s="23"/>
      <c r="AT1378" s="23"/>
      <c r="AU1378" s="14" t="str">
        <f>HYPERLINK("http://www.openstreetmap.org/?mlat=30.4644&amp;mlon=47.8042&amp;zoom=12#map=12/30.4644/47.8042","Maplink1")</f>
        <v>Maplink1</v>
      </c>
      <c r="AV1378" s="14" t="str">
        <f>HYPERLINK("https://www.google.iq/maps/search/+30.4644,47.8042/@30.4644,47.8042,14z?hl=en","Maplink2")</f>
        <v>Maplink2</v>
      </c>
      <c r="AW1378" s="14" t="str">
        <f>HYPERLINK("http://www.bing.com/maps/?lvl=14&amp;sty=h&amp;cp=30.4644~47.8042&amp;sp=point.30.4644_47.8042_Al Qabla -- Hay Al Baladiyat","Maplink3")</f>
        <v>Maplink3</v>
      </c>
    </row>
    <row r="1379" spans="1:49" ht="15" customHeight="1" x14ac:dyDescent="0.25">
      <c r="A1379" s="21">
        <v>24627</v>
      </c>
      <c r="B1379" s="22" t="s">
        <v>12</v>
      </c>
      <c r="C1379" s="22" t="s">
        <v>12</v>
      </c>
      <c r="D1379" s="22" t="s">
        <v>2600</v>
      </c>
      <c r="E1379" s="22" t="s">
        <v>7953</v>
      </c>
      <c r="F1379" s="22">
        <v>30.478294000000002</v>
      </c>
      <c r="G1379" s="22">
        <v>47.816733999999997</v>
      </c>
      <c r="H1379" s="21" t="s">
        <v>2322</v>
      </c>
      <c r="I1379" s="21" t="s">
        <v>2557</v>
      </c>
      <c r="J1379" s="21"/>
      <c r="K1379" s="24">
        <v>4</v>
      </c>
      <c r="L1379" s="24">
        <v>24</v>
      </c>
      <c r="M1379" s="23">
        <v>2</v>
      </c>
      <c r="N1379" s="23">
        <v>1</v>
      </c>
      <c r="O1379" s="23"/>
      <c r="P1379" s="23"/>
      <c r="Q1379" s="23"/>
      <c r="R1379" s="23">
        <v>1</v>
      </c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>
        <v>1</v>
      </c>
      <c r="AG1379" s="23"/>
      <c r="AH1379" s="23"/>
      <c r="AI1379" s="23"/>
      <c r="AJ1379" s="23"/>
      <c r="AK1379" s="23">
        <v>3</v>
      </c>
      <c r="AL1379" s="23"/>
      <c r="AM1379" s="23"/>
      <c r="AN1379" s="23"/>
      <c r="AO1379" s="23">
        <v>1</v>
      </c>
      <c r="AP1379" s="23"/>
      <c r="AQ1379" s="23">
        <v>1</v>
      </c>
      <c r="AR1379" s="23">
        <v>2</v>
      </c>
      <c r="AS1379" s="23"/>
      <c r="AT1379" s="23"/>
      <c r="AU1379" s="14" t="str">
        <f>HYPERLINK("http://www.openstreetmap.org/?mlat=30.4783&amp;mlon=47.8167&amp;zoom=12#map=12/30.4783/47.8167","Maplink1")</f>
        <v>Maplink1</v>
      </c>
      <c r="AV1379" s="14" t="str">
        <f>HYPERLINK("https://www.google.iq/maps/search/+30.4783,47.8167/@30.4783,47.8167,14z?hl=en","Maplink2")</f>
        <v>Maplink2</v>
      </c>
      <c r="AW1379" s="14" t="str">
        <f>HYPERLINK("http://www.bing.com/maps/?lvl=14&amp;sty=h&amp;cp=30.4783~47.8167&amp;sp=point.30.4783_47.8167_Al Qibla-Al Shahid Al Sadir","Maplink3")</f>
        <v>Maplink3</v>
      </c>
    </row>
    <row r="1380" spans="1:49" ht="15" customHeight="1" x14ac:dyDescent="0.25">
      <c r="A1380" s="21">
        <v>21641</v>
      </c>
      <c r="B1380" s="22" t="s">
        <v>12</v>
      </c>
      <c r="C1380" s="22" t="s">
        <v>12</v>
      </c>
      <c r="D1380" s="22" t="s">
        <v>2601</v>
      </c>
      <c r="E1380" s="22" t="s">
        <v>2602</v>
      </c>
      <c r="F1380" s="22">
        <v>30.53916667</v>
      </c>
      <c r="G1380" s="22">
        <v>47.75305556</v>
      </c>
      <c r="H1380" s="21" t="s">
        <v>2322</v>
      </c>
      <c r="I1380" s="21" t="s">
        <v>2557</v>
      </c>
      <c r="J1380" s="21" t="s">
        <v>2603</v>
      </c>
      <c r="K1380" s="24">
        <v>7</v>
      </c>
      <c r="L1380" s="24">
        <v>42</v>
      </c>
      <c r="M1380" s="23">
        <v>1</v>
      </c>
      <c r="N1380" s="23"/>
      <c r="O1380" s="23"/>
      <c r="P1380" s="23"/>
      <c r="Q1380" s="23"/>
      <c r="R1380" s="23"/>
      <c r="S1380" s="23"/>
      <c r="T1380" s="23"/>
      <c r="U1380" s="23">
        <v>3</v>
      </c>
      <c r="V1380" s="23"/>
      <c r="W1380" s="23"/>
      <c r="X1380" s="23"/>
      <c r="Y1380" s="23">
        <v>1</v>
      </c>
      <c r="Z1380" s="23"/>
      <c r="AA1380" s="23">
        <v>2</v>
      </c>
      <c r="AB1380" s="23"/>
      <c r="AC1380" s="23"/>
      <c r="AD1380" s="23"/>
      <c r="AE1380" s="23"/>
      <c r="AF1380" s="23">
        <v>3</v>
      </c>
      <c r="AG1380" s="23"/>
      <c r="AH1380" s="23"/>
      <c r="AI1380" s="23"/>
      <c r="AJ1380" s="23"/>
      <c r="AK1380" s="23">
        <v>4</v>
      </c>
      <c r="AL1380" s="23"/>
      <c r="AM1380" s="23"/>
      <c r="AN1380" s="23"/>
      <c r="AO1380" s="23"/>
      <c r="AP1380" s="23">
        <v>1</v>
      </c>
      <c r="AQ1380" s="23">
        <v>3</v>
      </c>
      <c r="AR1380" s="23">
        <v>2</v>
      </c>
      <c r="AS1380" s="23">
        <v>1</v>
      </c>
      <c r="AT1380" s="23"/>
      <c r="AU1380" s="14" t="str">
        <f>HYPERLINK("http://www.openstreetmap.org/?mlat=30.5392&amp;mlon=47.7531&amp;zoom=12#map=12/30.5392/47.7531","Maplink1")</f>
        <v>Maplink1</v>
      </c>
      <c r="AV1380" s="14" t="str">
        <f>HYPERLINK("https://www.google.iq/maps/search/+30.5392,47.7531/@30.5392,47.7531,14z?hl=en","Maplink2")</f>
        <v>Maplink2</v>
      </c>
      <c r="AW1380" s="14" t="str">
        <f>HYPERLINK("http://www.bing.com/maps/?lvl=14&amp;sty=h&amp;cp=30.5392~47.7531&amp;sp=point.30.5392_47.7531_AL Qiziza","Maplink3")</f>
        <v>Maplink3</v>
      </c>
    </row>
    <row r="1381" spans="1:49" ht="15" customHeight="1" x14ac:dyDescent="0.25">
      <c r="A1381" s="21">
        <v>959</v>
      </c>
      <c r="B1381" s="22" t="s">
        <v>12</v>
      </c>
      <c r="C1381" s="22" t="s">
        <v>12</v>
      </c>
      <c r="D1381" s="22" t="s">
        <v>2604</v>
      </c>
      <c r="E1381" s="22" t="s">
        <v>7954</v>
      </c>
      <c r="F1381" s="22">
        <v>30.5352</v>
      </c>
      <c r="G1381" s="22">
        <v>47.7605</v>
      </c>
      <c r="H1381" s="21" t="s">
        <v>2322</v>
      </c>
      <c r="I1381" s="21" t="s">
        <v>2557</v>
      </c>
      <c r="J1381" s="21" t="s">
        <v>2605</v>
      </c>
      <c r="K1381" s="24">
        <v>1</v>
      </c>
      <c r="L1381" s="24">
        <v>6</v>
      </c>
      <c r="M1381" s="23">
        <v>1</v>
      </c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>
        <v>1</v>
      </c>
      <c r="AI1381" s="23"/>
      <c r="AJ1381" s="23"/>
      <c r="AK1381" s="23"/>
      <c r="AL1381" s="23"/>
      <c r="AM1381" s="23"/>
      <c r="AN1381" s="23"/>
      <c r="AO1381" s="23">
        <v>1</v>
      </c>
      <c r="AP1381" s="23"/>
      <c r="AQ1381" s="23"/>
      <c r="AR1381" s="23"/>
      <c r="AS1381" s="23"/>
      <c r="AT1381" s="23"/>
      <c r="AU1381" s="14" t="str">
        <f>HYPERLINK("http://www.openstreetmap.org/?mlat=30.5352&amp;mlon=47.7605&amp;zoom=12#map=12/30.5352/47.7605","Maplink1")</f>
        <v>Maplink1</v>
      </c>
      <c r="AV1381" s="14" t="str">
        <f>HYPERLINK("https://www.google.iq/maps/search/+30.5352,47.7605/@30.5352,47.7605,14z?hl=en","Maplink2")</f>
        <v>Maplink2</v>
      </c>
      <c r="AW1381" s="14" t="str">
        <f>HYPERLINK("http://www.bing.com/maps/?lvl=14&amp;sty=h&amp;cp=30.5352~47.7605&amp;sp=point.30.5352_47.7605_AL Qiziza Hay AlSalam","Maplink3")</f>
        <v>Maplink3</v>
      </c>
    </row>
    <row r="1382" spans="1:49" ht="15" customHeight="1" x14ac:dyDescent="0.25">
      <c r="A1382" s="21">
        <v>24180</v>
      </c>
      <c r="B1382" s="22" t="s">
        <v>12</v>
      </c>
      <c r="C1382" s="22" t="s">
        <v>12</v>
      </c>
      <c r="D1382" s="22" t="s">
        <v>2606</v>
      </c>
      <c r="E1382" s="22" t="s">
        <v>2607</v>
      </c>
      <c r="F1382" s="22">
        <v>30.523299999999999</v>
      </c>
      <c r="G1382" s="22">
        <v>47.773600000000002</v>
      </c>
      <c r="H1382" s="21" t="s">
        <v>2322</v>
      </c>
      <c r="I1382" s="21" t="s">
        <v>2557</v>
      </c>
      <c r="J1382" s="21" t="s">
        <v>2608</v>
      </c>
      <c r="K1382" s="24">
        <v>10</v>
      </c>
      <c r="L1382" s="24">
        <v>60</v>
      </c>
      <c r="M1382" s="23">
        <v>2</v>
      </c>
      <c r="N1382" s="23"/>
      <c r="O1382" s="23">
        <v>1</v>
      </c>
      <c r="P1382" s="23"/>
      <c r="Q1382" s="23"/>
      <c r="R1382" s="23"/>
      <c r="S1382" s="23"/>
      <c r="T1382" s="23"/>
      <c r="U1382" s="23"/>
      <c r="V1382" s="23"/>
      <c r="W1382" s="23"/>
      <c r="X1382" s="23"/>
      <c r="Y1382" s="23">
        <v>4</v>
      </c>
      <c r="Z1382" s="23"/>
      <c r="AA1382" s="23">
        <v>3</v>
      </c>
      <c r="AB1382" s="23"/>
      <c r="AC1382" s="23"/>
      <c r="AD1382" s="23"/>
      <c r="AE1382" s="23"/>
      <c r="AF1382" s="23">
        <v>1</v>
      </c>
      <c r="AG1382" s="23"/>
      <c r="AH1382" s="23"/>
      <c r="AI1382" s="23"/>
      <c r="AJ1382" s="23"/>
      <c r="AK1382" s="23">
        <v>9</v>
      </c>
      <c r="AL1382" s="23"/>
      <c r="AM1382" s="23"/>
      <c r="AN1382" s="23"/>
      <c r="AO1382" s="23">
        <v>1</v>
      </c>
      <c r="AP1382" s="23">
        <v>2</v>
      </c>
      <c r="AQ1382" s="23"/>
      <c r="AR1382" s="23">
        <v>5</v>
      </c>
      <c r="AS1382" s="23"/>
      <c r="AT1382" s="23">
        <v>2</v>
      </c>
      <c r="AU1382" s="14" t="str">
        <f>HYPERLINK("http://www.openstreetmap.org/?mlat=30.5233&amp;mlon=47.7736&amp;zoom=12#map=12/30.5233/47.7736","Maplink1")</f>
        <v>Maplink1</v>
      </c>
      <c r="AV1382" s="14" t="str">
        <f>HYPERLINK("https://www.google.iq/maps/search/+30.5233,47.7736/@30.5233,47.7736,14z?hl=en","Maplink2")</f>
        <v>Maplink2</v>
      </c>
      <c r="AW1382" s="14" t="str">
        <f>HYPERLINK("http://www.bing.com/maps/?lvl=14&amp;sty=h&amp;cp=30.5233~47.7736&amp;sp=point.30.5233_47.7736_Al Sholah","Maplink3")</f>
        <v>Maplink3</v>
      </c>
    </row>
    <row r="1383" spans="1:49" ht="15" customHeight="1" x14ac:dyDescent="0.25">
      <c r="A1383" s="21">
        <v>1296</v>
      </c>
      <c r="B1383" s="22" t="s">
        <v>12</v>
      </c>
      <c r="C1383" s="22" t="s">
        <v>12</v>
      </c>
      <c r="D1383" s="22" t="s">
        <v>2609</v>
      </c>
      <c r="E1383" s="22" t="s">
        <v>7955</v>
      </c>
      <c r="F1383" s="22">
        <v>30.526944440000001</v>
      </c>
      <c r="G1383" s="22">
        <v>47.829166669999999</v>
      </c>
      <c r="H1383" s="21" t="s">
        <v>2322</v>
      </c>
      <c r="I1383" s="21" t="s">
        <v>2557</v>
      </c>
      <c r="J1383" s="21" t="s">
        <v>2610</v>
      </c>
      <c r="K1383" s="24">
        <v>2</v>
      </c>
      <c r="L1383" s="24">
        <v>12</v>
      </c>
      <c r="M1383" s="23">
        <v>1</v>
      </c>
      <c r="N1383" s="23"/>
      <c r="O1383" s="23"/>
      <c r="P1383" s="23"/>
      <c r="Q1383" s="23"/>
      <c r="R1383" s="23">
        <v>1</v>
      </c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>
        <v>2</v>
      </c>
      <c r="AL1383" s="23"/>
      <c r="AM1383" s="23"/>
      <c r="AN1383" s="23"/>
      <c r="AO1383" s="23"/>
      <c r="AP1383" s="23">
        <v>1</v>
      </c>
      <c r="AQ1383" s="23"/>
      <c r="AR1383" s="23">
        <v>1</v>
      </c>
      <c r="AS1383" s="23"/>
      <c r="AT1383" s="23"/>
      <c r="AU1383" s="14" t="str">
        <f>HYPERLINK("http://www.openstreetmap.org/?mlat=30.5269&amp;mlon=47.8292&amp;zoom=12#map=12/30.5269/47.8292","Maplink1")</f>
        <v>Maplink1</v>
      </c>
      <c r="AV1383" s="14" t="str">
        <f>HYPERLINK("https://www.google.iq/maps/search/+30.5269,47.8292/@30.5269,47.8292,14z?hl=en","Maplink2")</f>
        <v>Maplink2</v>
      </c>
      <c r="AW1383" s="14" t="str">
        <f>HYPERLINK("http://www.bing.com/maps/?lvl=14&amp;sty=h&amp;cp=30.5269~47.8292&amp;sp=point.30.5269_47.8292_Al Tameemiya","Maplink3")</f>
        <v>Maplink3</v>
      </c>
    </row>
    <row r="1384" spans="1:49" ht="15" customHeight="1" x14ac:dyDescent="0.25">
      <c r="A1384" s="21">
        <v>24281</v>
      </c>
      <c r="B1384" s="22" t="s">
        <v>12</v>
      </c>
      <c r="C1384" s="22" t="s">
        <v>12</v>
      </c>
      <c r="D1384" s="22" t="s">
        <v>2611</v>
      </c>
      <c r="E1384" s="22" t="s">
        <v>7956</v>
      </c>
      <c r="F1384" s="22">
        <v>30.552600000000002</v>
      </c>
      <c r="G1384" s="22">
        <v>47.738700000000001</v>
      </c>
      <c r="H1384" s="21" t="s">
        <v>2322</v>
      </c>
      <c r="I1384" s="21" t="s">
        <v>2557</v>
      </c>
      <c r="J1384" s="21" t="s">
        <v>2612</v>
      </c>
      <c r="K1384" s="24">
        <v>2</v>
      </c>
      <c r="L1384" s="24">
        <v>12</v>
      </c>
      <c r="M1384" s="23"/>
      <c r="N1384" s="23"/>
      <c r="O1384" s="23"/>
      <c r="P1384" s="23"/>
      <c r="Q1384" s="23"/>
      <c r="R1384" s="23">
        <v>1</v>
      </c>
      <c r="S1384" s="23"/>
      <c r="T1384" s="23"/>
      <c r="U1384" s="23"/>
      <c r="V1384" s="23"/>
      <c r="W1384" s="23"/>
      <c r="X1384" s="23"/>
      <c r="Y1384" s="23"/>
      <c r="Z1384" s="23"/>
      <c r="AA1384" s="23">
        <v>1</v>
      </c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>
        <v>2</v>
      </c>
      <c r="AL1384" s="23"/>
      <c r="AM1384" s="23"/>
      <c r="AN1384" s="23"/>
      <c r="AO1384" s="23"/>
      <c r="AP1384" s="23">
        <v>2</v>
      </c>
      <c r="AQ1384" s="23"/>
      <c r="AR1384" s="23"/>
      <c r="AS1384" s="23"/>
      <c r="AT1384" s="23"/>
      <c r="AU1384" s="14" t="str">
        <f>HYPERLINK("http://www.openstreetmap.org/?mlat=30.5526&amp;mlon=47.7387&amp;zoom=12#map=12/30.5526/47.7387","Maplink1")</f>
        <v>Maplink1</v>
      </c>
      <c r="AV1384" s="14" t="str">
        <f>HYPERLINK("https://www.google.iq/maps/search/+30.5526,47.7387/@30.5526,47.7387,14z?hl=en","Maplink2")</f>
        <v>Maplink2</v>
      </c>
      <c r="AW1384" s="14" t="str">
        <f>HYPERLINK("http://www.bing.com/maps/?lvl=14&amp;sty=h&amp;cp=30.5526~47.7387&amp;sp=point.30.5526_47.7387_Al Tuba Wa Al Nakhilah","Maplink3")</f>
        <v>Maplink3</v>
      </c>
    </row>
    <row r="1385" spans="1:49" ht="15" customHeight="1" x14ac:dyDescent="0.25">
      <c r="A1385" s="21">
        <v>920</v>
      </c>
      <c r="B1385" s="22" t="s">
        <v>12</v>
      </c>
      <c r="C1385" s="22" t="s">
        <v>12</v>
      </c>
      <c r="D1385" s="22" t="s">
        <v>2613</v>
      </c>
      <c r="E1385" s="22" t="s">
        <v>2614</v>
      </c>
      <c r="F1385" s="22">
        <v>30.51756</v>
      </c>
      <c r="G1385" s="22">
        <v>47.818848000000003</v>
      </c>
      <c r="H1385" s="21" t="s">
        <v>2322</v>
      </c>
      <c r="I1385" s="21" t="s">
        <v>2557</v>
      </c>
      <c r="J1385" s="21" t="s">
        <v>2615</v>
      </c>
      <c r="K1385" s="24">
        <v>7</v>
      </c>
      <c r="L1385" s="24">
        <v>42</v>
      </c>
      <c r="M1385" s="23">
        <v>2</v>
      </c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>
        <v>5</v>
      </c>
      <c r="Z1385" s="23"/>
      <c r="AA1385" s="23"/>
      <c r="AB1385" s="23"/>
      <c r="AC1385" s="23"/>
      <c r="AD1385" s="23"/>
      <c r="AE1385" s="23"/>
      <c r="AF1385" s="23">
        <v>3</v>
      </c>
      <c r="AG1385" s="23"/>
      <c r="AH1385" s="23"/>
      <c r="AI1385" s="23"/>
      <c r="AJ1385" s="23"/>
      <c r="AK1385" s="23">
        <v>4</v>
      </c>
      <c r="AL1385" s="23"/>
      <c r="AM1385" s="23"/>
      <c r="AN1385" s="23"/>
      <c r="AO1385" s="23">
        <v>1</v>
      </c>
      <c r="AP1385" s="23">
        <v>4</v>
      </c>
      <c r="AQ1385" s="23"/>
      <c r="AR1385" s="23">
        <v>2</v>
      </c>
      <c r="AS1385" s="23"/>
      <c r="AT1385" s="23"/>
      <c r="AU1385" s="14" t="str">
        <f>HYPERLINK("http://www.openstreetmap.org/?mlat=30.5176&amp;mlon=47.8188&amp;zoom=12#map=12/30.5176/47.8188","Maplink1")</f>
        <v>Maplink1</v>
      </c>
      <c r="AV1385" s="14" t="str">
        <f>HYPERLINK("https://www.google.iq/maps/search/+30.5176,47.8188/@30.5176,47.8188,14z?hl=en","Maplink2")</f>
        <v>Maplink2</v>
      </c>
      <c r="AW1385" s="14" t="str">
        <f>HYPERLINK("http://www.bing.com/maps/?lvl=14&amp;sty=h&amp;cp=30.5176~47.8188&amp;sp=point.30.5176_47.8188_Al Tuwaysa","Maplink3")</f>
        <v>Maplink3</v>
      </c>
    </row>
    <row r="1386" spans="1:49" ht="15" customHeight="1" x14ac:dyDescent="0.25">
      <c r="A1386" s="21">
        <v>905</v>
      </c>
      <c r="B1386" s="22" t="s">
        <v>12</v>
      </c>
      <c r="C1386" s="22" t="s">
        <v>12</v>
      </c>
      <c r="D1386" s="22" t="s">
        <v>2616</v>
      </c>
      <c r="E1386" s="22" t="s">
        <v>2617</v>
      </c>
      <c r="F1386" s="22">
        <v>30.511389000000001</v>
      </c>
      <c r="G1386" s="22">
        <v>47.791944000000001</v>
      </c>
      <c r="H1386" s="21" t="s">
        <v>2322</v>
      </c>
      <c r="I1386" s="21" t="s">
        <v>2557</v>
      </c>
      <c r="J1386" s="21" t="s">
        <v>2618</v>
      </c>
      <c r="K1386" s="24">
        <v>6</v>
      </c>
      <c r="L1386" s="24">
        <v>36</v>
      </c>
      <c r="M1386" s="23"/>
      <c r="N1386" s="23"/>
      <c r="O1386" s="23">
        <v>2</v>
      </c>
      <c r="P1386" s="23"/>
      <c r="Q1386" s="23"/>
      <c r="R1386" s="23">
        <v>1</v>
      </c>
      <c r="S1386" s="23"/>
      <c r="T1386" s="23"/>
      <c r="U1386" s="23"/>
      <c r="V1386" s="23"/>
      <c r="W1386" s="23"/>
      <c r="X1386" s="23"/>
      <c r="Y1386" s="23">
        <v>1</v>
      </c>
      <c r="Z1386" s="23"/>
      <c r="AA1386" s="23">
        <v>2</v>
      </c>
      <c r="AB1386" s="23"/>
      <c r="AC1386" s="23"/>
      <c r="AD1386" s="23"/>
      <c r="AE1386" s="23"/>
      <c r="AF1386" s="23">
        <v>2</v>
      </c>
      <c r="AG1386" s="23"/>
      <c r="AH1386" s="23"/>
      <c r="AI1386" s="23"/>
      <c r="AJ1386" s="23"/>
      <c r="AK1386" s="23">
        <v>4</v>
      </c>
      <c r="AL1386" s="23"/>
      <c r="AM1386" s="23"/>
      <c r="AN1386" s="23"/>
      <c r="AO1386" s="23">
        <v>3</v>
      </c>
      <c r="AP1386" s="23">
        <v>2</v>
      </c>
      <c r="AQ1386" s="23">
        <v>1</v>
      </c>
      <c r="AR1386" s="23"/>
      <c r="AS1386" s="23"/>
      <c r="AT1386" s="23"/>
      <c r="AU1386" s="14" t="str">
        <f>HYPERLINK("http://www.openstreetmap.org/?mlat=30.5114&amp;mlon=47.7919&amp;zoom=12#map=12/30.5114/47.7919","Maplink1")</f>
        <v>Maplink1</v>
      </c>
      <c r="AV1386" s="14" t="str">
        <f>HYPERLINK("https://www.google.iq/maps/search/+30.5114,47.7919/@30.5114,47.7919,14z?hl=en","Maplink2")</f>
        <v>Maplink2</v>
      </c>
      <c r="AW1386" s="14" t="str">
        <f>HYPERLINK("http://www.bing.com/maps/?lvl=14&amp;sty=h&amp;cp=30.5114~47.7919&amp;sp=point.30.5114_47.7919_Al-asma_i al-jadeed","Maplink3")</f>
        <v>Maplink3</v>
      </c>
    </row>
    <row r="1387" spans="1:49" ht="15" customHeight="1" x14ac:dyDescent="0.25">
      <c r="A1387" s="21">
        <v>1030</v>
      </c>
      <c r="B1387" s="22" t="s">
        <v>12</v>
      </c>
      <c r="C1387" s="22" t="s">
        <v>12</v>
      </c>
      <c r="D1387" s="22" t="s">
        <v>2619</v>
      </c>
      <c r="E1387" s="22" t="s">
        <v>2620</v>
      </c>
      <c r="F1387" s="22">
        <v>30.582222000000002</v>
      </c>
      <c r="G1387" s="22">
        <v>47.764721999999999</v>
      </c>
      <c r="H1387" s="21" t="s">
        <v>2322</v>
      </c>
      <c r="I1387" s="21" t="s">
        <v>2557</v>
      </c>
      <c r="J1387" s="21" t="s">
        <v>2621</v>
      </c>
      <c r="K1387" s="24">
        <v>8</v>
      </c>
      <c r="L1387" s="24">
        <v>48</v>
      </c>
      <c r="M1387" s="23">
        <v>2</v>
      </c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>
        <v>6</v>
      </c>
      <c r="Z1387" s="23"/>
      <c r="AA1387" s="23"/>
      <c r="AB1387" s="23"/>
      <c r="AC1387" s="23"/>
      <c r="AD1387" s="23"/>
      <c r="AE1387" s="23"/>
      <c r="AF1387" s="23">
        <v>5</v>
      </c>
      <c r="AG1387" s="23"/>
      <c r="AH1387" s="23">
        <v>2</v>
      </c>
      <c r="AI1387" s="23"/>
      <c r="AJ1387" s="23"/>
      <c r="AK1387" s="23">
        <v>1</v>
      </c>
      <c r="AL1387" s="23"/>
      <c r="AM1387" s="23"/>
      <c r="AN1387" s="23"/>
      <c r="AO1387" s="23">
        <v>2</v>
      </c>
      <c r="AP1387" s="23">
        <v>6</v>
      </c>
      <c r="AQ1387" s="23"/>
      <c r="AR1387" s="23"/>
      <c r="AS1387" s="23"/>
      <c r="AT1387" s="23"/>
      <c r="AU1387" s="14" t="str">
        <f>HYPERLINK("http://www.openstreetmap.org/?mlat=30.5822&amp;mlon=47.7647&amp;zoom=12#map=12/30.5822/47.7647","Maplink1")</f>
        <v>Maplink1</v>
      </c>
      <c r="AV1387" s="14" t="str">
        <f>HYPERLINK("https://www.google.iq/maps/search/+30.5822,47.7647/@30.5822,47.7647,14z?hl=en","Maplink2")</f>
        <v>Maplink2</v>
      </c>
      <c r="AW1387" s="14" t="str">
        <f>HYPERLINK("http://www.bing.com/maps/?lvl=14&amp;sty=h&amp;cp=30.5822~47.7647&amp;sp=point.30.5822_47.7647_Al-badran","Maplink3")</f>
        <v>Maplink3</v>
      </c>
    </row>
    <row r="1388" spans="1:49" ht="15" customHeight="1" x14ac:dyDescent="0.25">
      <c r="A1388" s="21">
        <v>1308</v>
      </c>
      <c r="B1388" s="22" t="s">
        <v>12</v>
      </c>
      <c r="C1388" s="22" t="s">
        <v>12</v>
      </c>
      <c r="D1388" s="22" t="s">
        <v>2622</v>
      </c>
      <c r="E1388" s="22" t="s">
        <v>2623</v>
      </c>
      <c r="F1388" s="22">
        <v>30.501666669999999</v>
      </c>
      <c r="G1388" s="22">
        <v>47.812777779999998</v>
      </c>
      <c r="H1388" s="21" t="s">
        <v>2322</v>
      </c>
      <c r="I1388" s="21" t="s">
        <v>2557</v>
      </c>
      <c r="J1388" s="21" t="s">
        <v>2624</v>
      </c>
      <c r="K1388" s="24">
        <v>20</v>
      </c>
      <c r="L1388" s="24">
        <v>120</v>
      </c>
      <c r="M1388" s="23">
        <v>4</v>
      </c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>
        <v>6</v>
      </c>
      <c r="Z1388" s="23"/>
      <c r="AA1388" s="23">
        <v>10</v>
      </c>
      <c r="AB1388" s="23"/>
      <c r="AC1388" s="23"/>
      <c r="AD1388" s="23"/>
      <c r="AE1388" s="23"/>
      <c r="AF1388" s="23">
        <v>9</v>
      </c>
      <c r="AG1388" s="23"/>
      <c r="AH1388" s="23"/>
      <c r="AI1388" s="23"/>
      <c r="AJ1388" s="23"/>
      <c r="AK1388" s="23">
        <v>11</v>
      </c>
      <c r="AL1388" s="23"/>
      <c r="AM1388" s="23"/>
      <c r="AN1388" s="23"/>
      <c r="AO1388" s="23">
        <v>2</v>
      </c>
      <c r="AP1388" s="23">
        <v>5</v>
      </c>
      <c r="AQ1388" s="23">
        <v>4</v>
      </c>
      <c r="AR1388" s="23">
        <v>9</v>
      </c>
      <c r="AS1388" s="23"/>
      <c r="AT1388" s="23"/>
      <c r="AU1388" s="14" t="str">
        <f>HYPERLINK("http://www.openstreetmap.org/?mlat=30.5017&amp;mlon=47.8128&amp;zoom=12#map=12/30.5017/47.8128","Maplink1")</f>
        <v>Maplink1</v>
      </c>
      <c r="AV1388" s="14" t="str">
        <f>HYPERLINK("https://www.google.iq/maps/search/+30.5017,47.8128/@30.5017,47.8128,14z?hl=en","Maplink2")</f>
        <v>Maplink2</v>
      </c>
      <c r="AW1388" s="14" t="str">
        <f>HYPERLINK("http://www.bing.com/maps/?lvl=14&amp;sty=h&amp;cp=30.5017~47.8128&amp;sp=point.30.5017_47.8128_Al-Baker &amp; Al-Ahrar","Maplink3")</f>
        <v>Maplink3</v>
      </c>
    </row>
    <row r="1389" spans="1:49" ht="15" customHeight="1" x14ac:dyDescent="0.25">
      <c r="A1389" s="21">
        <v>872</v>
      </c>
      <c r="B1389" s="22" t="s">
        <v>12</v>
      </c>
      <c r="C1389" s="22" t="s">
        <v>12</v>
      </c>
      <c r="D1389" s="22" t="s">
        <v>2625</v>
      </c>
      <c r="E1389" s="22" t="s">
        <v>7957</v>
      </c>
      <c r="F1389" s="22">
        <v>30.498888999999998</v>
      </c>
      <c r="G1389" s="22">
        <v>47.846666999999997</v>
      </c>
      <c r="H1389" s="21" t="s">
        <v>2322</v>
      </c>
      <c r="I1389" s="21" t="s">
        <v>2557</v>
      </c>
      <c r="J1389" s="21" t="s">
        <v>2626</v>
      </c>
      <c r="K1389" s="24">
        <v>10</v>
      </c>
      <c r="L1389" s="24">
        <v>60</v>
      </c>
      <c r="M1389" s="23">
        <v>1</v>
      </c>
      <c r="N1389" s="23"/>
      <c r="O1389" s="23"/>
      <c r="P1389" s="23"/>
      <c r="Q1389" s="23"/>
      <c r="R1389" s="23"/>
      <c r="S1389" s="23"/>
      <c r="T1389" s="23"/>
      <c r="U1389" s="23">
        <v>2</v>
      </c>
      <c r="V1389" s="23"/>
      <c r="W1389" s="23"/>
      <c r="X1389" s="23"/>
      <c r="Y1389" s="23">
        <v>3</v>
      </c>
      <c r="Z1389" s="23"/>
      <c r="AA1389" s="23">
        <v>4</v>
      </c>
      <c r="AB1389" s="23"/>
      <c r="AC1389" s="23"/>
      <c r="AD1389" s="23"/>
      <c r="AE1389" s="23"/>
      <c r="AF1389" s="23">
        <v>7</v>
      </c>
      <c r="AG1389" s="23"/>
      <c r="AH1389" s="23"/>
      <c r="AI1389" s="23"/>
      <c r="AJ1389" s="23"/>
      <c r="AK1389" s="23">
        <v>3</v>
      </c>
      <c r="AL1389" s="23"/>
      <c r="AM1389" s="23"/>
      <c r="AN1389" s="23"/>
      <c r="AO1389" s="23"/>
      <c r="AP1389" s="23">
        <v>5</v>
      </c>
      <c r="AQ1389" s="23"/>
      <c r="AR1389" s="23">
        <v>5</v>
      </c>
      <c r="AS1389" s="23"/>
      <c r="AT1389" s="23"/>
      <c r="AU1389" s="14" t="str">
        <f>HYPERLINK("http://www.openstreetmap.org/?mlat=30.4989&amp;mlon=47.8467&amp;zoom=12#map=12/30.4989/47.8467","Maplink1")</f>
        <v>Maplink1</v>
      </c>
      <c r="AV1389" s="14" t="str">
        <f>HYPERLINK("https://www.google.iq/maps/search/+30.4989,47.8467/@30.4989,47.8467,14z?hl=en","Maplink2")</f>
        <v>Maplink2</v>
      </c>
      <c r="AW1389" s="14" t="str">
        <f>HYPERLINK("http://www.bing.com/maps/?lvl=14&amp;sty=h&amp;cp=30.4989~47.8467&amp;sp=point.30.4989_47.8467_Al-bradhia","Maplink3")</f>
        <v>Maplink3</v>
      </c>
    </row>
    <row r="1390" spans="1:49" ht="15" customHeight="1" x14ac:dyDescent="0.25">
      <c r="A1390" s="21">
        <v>998</v>
      </c>
      <c r="B1390" s="22" t="s">
        <v>12</v>
      </c>
      <c r="C1390" s="22" t="s">
        <v>12</v>
      </c>
      <c r="D1390" s="22" t="s">
        <v>2627</v>
      </c>
      <c r="E1390" s="22" t="s">
        <v>7958</v>
      </c>
      <c r="F1390" s="22">
        <v>30.556111000000001</v>
      </c>
      <c r="G1390" s="22">
        <v>47.791389000000002</v>
      </c>
      <c r="H1390" s="21" t="s">
        <v>2322</v>
      </c>
      <c r="I1390" s="21" t="s">
        <v>2557</v>
      </c>
      <c r="J1390" s="21" t="s">
        <v>2628</v>
      </c>
      <c r="K1390" s="24">
        <v>12</v>
      </c>
      <c r="L1390" s="24">
        <v>72</v>
      </c>
      <c r="M1390" s="23"/>
      <c r="N1390" s="23">
        <v>2</v>
      </c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>
        <v>5</v>
      </c>
      <c r="Z1390" s="23"/>
      <c r="AA1390" s="23">
        <v>5</v>
      </c>
      <c r="AB1390" s="23"/>
      <c r="AC1390" s="23"/>
      <c r="AD1390" s="23"/>
      <c r="AE1390" s="23"/>
      <c r="AF1390" s="23">
        <v>1</v>
      </c>
      <c r="AG1390" s="23"/>
      <c r="AH1390" s="23"/>
      <c r="AI1390" s="23"/>
      <c r="AJ1390" s="23"/>
      <c r="AK1390" s="23">
        <v>11</v>
      </c>
      <c r="AL1390" s="23"/>
      <c r="AM1390" s="23"/>
      <c r="AN1390" s="23"/>
      <c r="AO1390" s="23">
        <v>1</v>
      </c>
      <c r="AP1390" s="23"/>
      <c r="AQ1390" s="23">
        <v>3</v>
      </c>
      <c r="AR1390" s="23">
        <v>8</v>
      </c>
      <c r="AS1390" s="23"/>
      <c r="AT1390" s="23"/>
      <c r="AU1390" s="14" t="str">
        <f>HYPERLINK("http://www.openstreetmap.org/?mlat=30.5561&amp;mlon=47.7914&amp;zoom=12#map=12/30.5561/47.7914","Maplink1")</f>
        <v>Maplink1</v>
      </c>
      <c r="AV1390" s="14" t="str">
        <f>HYPERLINK("https://www.google.iq/maps/search/+30.5561,47.7914/@30.5561,47.7914,14z?hl=en","Maplink2")</f>
        <v>Maplink2</v>
      </c>
      <c r="AW1390" s="14" t="str">
        <f>HYPERLINK("http://www.bing.com/maps/?lvl=14&amp;sty=h&amp;cp=30.5561~47.7914&amp;sp=point.30.5561_47.7914_Al-hakeem","Maplink3")</f>
        <v>Maplink3</v>
      </c>
    </row>
    <row r="1391" spans="1:49" ht="15" customHeight="1" x14ac:dyDescent="0.25">
      <c r="A1391" s="21">
        <v>951</v>
      </c>
      <c r="B1391" s="22" t="s">
        <v>12</v>
      </c>
      <c r="C1391" s="22" t="s">
        <v>12</v>
      </c>
      <c r="D1391" s="22" t="s">
        <v>2629</v>
      </c>
      <c r="E1391" s="22" t="s">
        <v>7959</v>
      </c>
      <c r="F1391" s="22">
        <v>30.534167</v>
      </c>
      <c r="G1391" s="22">
        <v>47.817222000000001</v>
      </c>
      <c r="H1391" s="21" t="s">
        <v>2322</v>
      </c>
      <c r="I1391" s="21" t="s">
        <v>2557</v>
      </c>
      <c r="J1391" s="21" t="s">
        <v>2630</v>
      </c>
      <c r="K1391" s="24">
        <v>10</v>
      </c>
      <c r="L1391" s="24">
        <v>60</v>
      </c>
      <c r="M1391" s="23">
        <v>1</v>
      </c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>
        <v>4</v>
      </c>
      <c r="Z1391" s="23"/>
      <c r="AA1391" s="23">
        <v>5</v>
      </c>
      <c r="AB1391" s="23"/>
      <c r="AC1391" s="23"/>
      <c r="AD1391" s="23"/>
      <c r="AE1391" s="23"/>
      <c r="AF1391" s="23">
        <v>4</v>
      </c>
      <c r="AG1391" s="23"/>
      <c r="AH1391" s="23"/>
      <c r="AI1391" s="23"/>
      <c r="AJ1391" s="23"/>
      <c r="AK1391" s="23">
        <v>6</v>
      </c>
      <c r="AL1391" s="23"/>
      <c r="AM1391" s="23"/>
      <c r="AN1391" s="23"/>
      <c r="AO1391" s="23">
        <v>1</v>
      </c>
      <c r="AP1391" s="23">
        <v>4</v>
      </c>
      <c r="AQ1391" s="23">
        <v>4</v>
      </c>
      <c r="AR1391" s="23"/>
      <c r="AS1391" s="23">
        <v>1</v>
      </c>
      <c r="AT1391" s="23"/>
      <c r="AU1391" s="14" t="str">
        <f>HYPERLINK("http://www.openstreetmap.org/?mlat=30.5342&amp;mlon=47.8172&amp;zoom=12#map=12/30.5342/47.8172","Maplink1")</f>
        <v>Maplink1</v>
      </c>
      <c r="AV1391" s="14" t="str">
        <f>HYPERLINK("https://www.google.iq/maps/search/+30.5342,47.8172/@30.5342,47.8172,14z?hl=en","Maplink2")</f>
        <v>Maplink2</v>
      </c>
      <c r="AW1391" s="14" t="str">
        <f>HYPERLINK("http://www.bing.com/maps/?lvl=14&amp;sty=h&amp;cp=30.5342~47.8172&amp;sp=point.30.5342_47.8172_Al-hakemia","Maplink3")</f>
        <v>Maplink3</v>
      </c>
    </row>
    <row r="1392" spans="1:49" ht="15" customHeight="1" x14ac:dyDescent="0.25">
      <c r="A1392" s="21">
        <v>1022</v>
      </c>
      <c r="B1392" s="22" t="s">
        <v>12</v>
      </c>
      <c r="C1392" s="22" t="s">
        <v>12</v>
      </c>
      <c r="D1392" s="22" t="s">
        <v>2631</v>
      </c>
      <c r="E1392" s="22" t="s">
        <v>2632</v>
      </c>
      <c r="F1392" s="22">
        <v>30.573333000000002</v>
      </c>
      <c r="G1392" s="22">
        <v>47.759300000000003</v>
      </c>
      <c r="H1392" s="21" t="s">
        <v>2322</v>
      </c>
      <c r="I1392" s="21" t="s">
        <v>2557</v>
      </c>
      <c r="J1392" s="21" t="s">
        <v>2633</v>
      </c>
      <c r="K1392" s="24">
        <v>5</v>
      </c>
      <c r="L1392" s="24">
        <v>30</v>
      </c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>
        <v>5</v>
      </c>
      <c r="Z1392" s="23"/>
      <c r="AA1392" s="23"/>
      <c r="AB1392" s="23"/>
      <c r="AC1392" s="23"/>
      <c r="AD1392" s="23"/>
      <c r="AE1392" s="23"/>
      <c r="AF1392" s="23">
        <v>5</v>
      </c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>
        <v>5</v>
      </c>
      <c r="AR1392" s="23"/>
      <c r="AS1392" s="23"/>
      <c r="AT1392" s="23"/>
      <c r="AU1392" s="14" t="str">
        <f>HYPERLINK("http://www.openstreetmap.org/?mlat=30.5733&amp;mlon=47.7593&amp;zoom=12#map=12/30.5733/47.7593","Maplink1")</f>
        <v>Maplink1</v>
      </c>
      <c r="AV1392" s="14" t="str">
        <f>HYPERLINK("https://www.google.iq/maps/search/+30.5733,47.7593/@30.5733,47.7593,14z?hl=en","Maplink2")</f>
        <v>Maplink2</v>
      </c>
      <c r="AW1392" s="14" t="str">
        <f>HYPERLINK("http://www.bing.com/maps/?lvl=14&amp;sty=h&amp;cp=30.5733~47.7593&amp;sp=point.30.5733_47.7593_Al-Hartha-Al-Ali","Maplink3")</f>
        <v>Maplink3</v>
      </c>
    </row>
    <row r="1393" spans="1:49" ht="15" customHeight="1" x14ac:dyDescent="0.25">
      <c r="A1393" s="21">
        <v>1275</v>
      </c>
      <c r="B1393" s="22" t="s">
        <v>12</v>
      </c>
      <c r="C1393" s="22" t="s">
        <v>12</v>
      </c>
      <c r="D1393" s="22" t="s">
        <v>2634</v>
      </c>
      <c r="E1393" s="22" t="s">
        <v>2635</v>
      </c>
      <c r="F1393" s="22">
        <v>30.539559000000001</v>
      </c>
      <c r="G1393" s="22">
        <v>47.795079999999999</v>
      </c>
      <c r="H1393" s="21" t="s">
        <v>2322</v>
      </c>
      <c r="I1393" s="21" t="s">
        <v>2557</v>
      </c>
      <c r="J1393" s="21" t="s">
        <v>2636</v>
      </c>
      <c r="K1393" s="24">
        <v>12</v>
      </c>
      <c r="L1393" s="24">
        <v>72</v>
      </c>
      <c r="M1393" s="23">
        <v>5</v>
      </c>
      <c r="N1393" s="23"/>
      <c r="O1393" s="23"/>
      <c r="P1393" s="23"/>
      <c r="Q1393" s="23"/>
      <c r="R1393" s="23">
        <v>1</v>
      </c>
      <c r="S1393" s="23"/>
      <c r="T1393" s="23"/>
      <c r="U1393" s="23"/>
      <c r="V1393" s="23"/>
      <c r="W1393" s="23"/>
      <c r="X1393" s="23"/>
      <c r="Y1393" s="23">
        <v>4</v>
      </c>
      <c r="Z1393" s="23"/>
      <c r="AA1393" s="23">
        <v>2</v>
      </c>
      <c r="AB1393" s="23"/>
      <c r="AC1393" s="23"/>
      <c r="AD1393" s="23"/>
      <c r="AE1393" s="23"/>
      <c r="AF1393" s="23">
        <v>6</v>
      </c>
      <c r="AG1393" s="23"/>
      <c r="AH1393" s="23"/>
      <c r="AI1393" s="23"/>
      <c r="AJ1393" s="23"/>
      <c r="AK1393" s="23">
        <v>6</v>
      </c>
      <c r="AL1393" s="23"/>
      <c r="AM1393" s="23"/>
      <c r="AN1393" s="23"/>
      <c r="AO1393" s="23">
        <v>1</v>
      </c>
      <c r="AP1393" s="23">
        <v>2</v>
      </c>
      <c r="AQ1393" s="23">
        <v>3</v>
      </c>
      <c r="AR1393" s="23">
        <v>6</v>
      </c>
      <c r="AS1393" s="23"/>
      <c r="AT1393" s="23"/>
      <c r="AU1393" s="14" t="str">
        <f>HYPERLINK("http://www.openstreetmap.org/?mlat=30.5522&amp;mlon=47.8&amp;zoom=12#map=12/30.5522/47.8","Maplink1")</f>
        <v>Maplink1</v>
      </c>
      <c r="AV1393" s="14" t="str">
        <f>HYPERLINK("https://www.google.iq/maps/search/+30.5522,47.8/@30.5522,47.8,14z?hl=en","Maplink2")</f>
        <v>Maplink2</v>
      </c>
      <c r="AW1393" s="14" t="str">
        <f>HYPERLINK("http://www.bing.com/maps/?lvl=14&amp;sty=h&amp;cp=30.5522~47.8&amp;sp=point.30.5522_47.8_Al-Jnaina","Maplink3")</f>
        <v>Maplink3</v>
      </c>
    </row>
    <row r="1394" spans="1:49" ht="15" customHeight="1" x14ac:dyDescent="0.25">
      <c r="A1394" s="21">
        <v>986</v>
      </c>
      <c r="B1394" s="22" t="s">
        <v>12</v>
      </c>
      <c r="C1394" s="22" t="s">
        <v>12</v>
      </c>
      <c r="D1394" s="22" t="s">
        <v>2637</v>
      </c>
      <c r="E1394" s="22" t="s">
        <v>2638</v>
      </c>
      <c r="F1394" s="22">
        <v>30.548055999999999</v>
      </c>
      <c r="G1394" s="22">
        <v>47.810023999999999</v>
      </c>
      <c r="H1394" s="21" t="s">
        <v>2322</v>
      </c>
      <c r="I1394" s="21" t="s">
        <v>2557</v>
      </c>
      <c r="J1394" s="21" t="s">
        <v>2639</v>
      </c>
      <c r="K1394" s="24">
        <v>8</v>
      </c>
      <c r="L1394" s="24">
        <v>48</v>
      </c>
      <c r="M1394" s="23">
        <v>2</v>
      </c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>
        <v>3</v>
      </c>
      <c r="Z1394" s="23"/>
      <c r="AA1394" s="23">
        <v>3</v>
      </c>
      <c r="AB1394" s="23"/>
      <c r="AC1394" s="23"/>
      <c r="AD1394" s="23"/>
      <c r="AE1394" s="23"/>
      <c r="AF1394" s="23">
        <v>4</v>
      </c>
      <c r="AG1394" s="23"/>
      <c r="AH1394" s="23"/>
      <c r="AI1394" s="23"/>
      <c r="AJ1394" s="23"/>
      <c r="AK1394" s="23">
        <v>4</v>
      </c>
      <c r="AL1394" s="23"/>
      <c r="AM1394" s="23"/>
      <c r="AN1394" s="23"/>
      <c r="AO1394" s="23">
        <v>3</v>
      </c>
      <c r="AP1394" s="23">
        <v>1</v>
      </c>
      <c r="AQ1394" s="23"/>
      <c r="AR1394" s="23">
        <v>2</v>
      </c>
      <c r="AS1394" s="23">
        <v>2</v>
      </c>
      <c r="AT1394" s="23"/>
      <c r="AU1394" s="14" t="str">
        <f>HYPERLINK("http://www.openstreetmap.org/?mlat=30.5481&amp;mlon=47.81&amp;zoom=12#map=12/30.5481/47.81","Maplink1")</f>
        <v>Maplink1</v>
      </c>
      <c r="AV1394" s="14" t="str">
        <f>HYPERLINK("https://www.google.iq/maps/search/+30.5481,47.81/@30.5481,47.81,14z?hl=en","Maplink2")</f>
        <v>Maplink2</v>
      </c>
      <c r="AW1394" s="14" t="str">
        <f>HYPERLINK("http://www.bing.com/maps/?lvl=14&amp;sty=h&amp;cp=30.5481~47.81&amp;sp=point.30.5481_47.81_Al-jubaila_","Maplink3")</f>
        <v>Maplink3</v>
      </c>
    </row>
    <row r="1395" spans="1:49" ht="15" customHeight="1" x14ac:dyDescent="0.25">
      <c r="A1395" s="21">
        <v>862</v>
      </c>
      <c r="B1395" s="22" t="s">
        <v>12</v>
      </c>
      <c r="C1395" s="22" t="s">
        <v>12</v>
      </c>
      <c r="D1395" s="22" t="s">
        <v>2640</v>
      </c>
      <c r="E1395" s="22" t="s">
        <v>2641</v>
      </c>
      <c r="F1395" s="22">
        <v>30.495833000000001</v>
      </c>
      <c r="G1395" s="22">
        <v>47.821666999999998</v>
      </c>
      <c r="H1395" s="21" t="s">
        <v>2322</v>
      </c>
      <c r="I1395" s="21" t="s">
        <v>2557</v>
      </c>
      <c r="J1395" s="21" t="s">
        <v>2642</v>
      </c>
      <c r="K1395" s="24">
        <v>5</v>
      </c>
      <c r="L1395" s="24">
        <v>30</v>
      </c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>
        <v>5</v>
      </c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>
        <v>5</v>
      </c>
      <c r="AL1395" s="23"/>
      <c r="AM1395" s="23"/>
      <c r="AN1395" s="23"/>
      <c r="AO1395" s="23"/>
      <c r="AP1395" s="23"/>
      <c r="AQ1395" s="23">
        <v>3</v>
      </c>
      <c r="AR1395" s="23">
        <v>2</v>
      </c>
      <c r="AS1395" s="23"/>
      <c r="AT1395" s="23"/>
      <c r="AU1395" s="14" t="str">
        <f>HYPERLINK("http://www.openstreetmap.org/?mlat=30.4958&amp;mlon=47.8217&amp;zoom=12#map=12/30.4958/47.8217","Maplink1")</f>
        <v>Maplink1</v>
      </c>
      <c r="AV1395" s="14" t="str">
        <f>HYPERLINK("https://www.google.iq/maps/search/+30.4958,47.8217/@30.4958,47.8217,14z?hl=en","Maplink2")</f>
        <v>Maplink2</v>
      </c>
      <c r="AW1395" s="14" t="str">
        <f>HYPERLINK("http://www.bing.com/maps/?lvl=14&amp;sty=h&amp;cp=30.4958~47.8217&amp;sp=point.30.4958_47.8217_Al-khaleeliya-2","Maplink3")</f>
        <v>Maplink3</v>
      </c>
    </row>
    <row r="1396" spans="1:49" ht="15" customHeight="1" x14ac:dyDescent="0.25">
      <c r="A1396" s="21">
        <v>847</v>
      </c>
      <c r="B1396" s="22" t="s">
        <v>12</v>
      </c>
      <c r="C1396" s="22" t="s">
        <v>12</v>
      </c>
      <c r="D1396" s="22" t="s">
        <v>2643</v>
      </c>
      <c r="E1396" s="22" t="s">
        <v>2644</v>
      </c>
      <c r="F1396" s="22">
        <v>30.490832999999999</v>
      </c>
      <c r="G1396" s="22">
        <v>47.822221999999996</v>
      </c>
      <c r="H1396" s="21" t="s">
        <v>2322</v>
      </c>
      <c r="I1396" s="21" t="s">
        <v>2557</v>
      </c>
      <c r="J1396" s="21" t="s">
        <v>2645</v>
      </c>
      <c r="K1396" s="24">
        <v>14</v>
      </c>
      <c r="L1396" s="24">
        <v>84</v>
      </c>
      <c r="M1396" s="23">
        <v>4</v>
      </c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>
        <v>5</v>
      </c>
      <c r="Z1396" s="23"/>
      <c r="AA1396" s="23">
        <v>5</v>
      </c>
      <c r="AB1396" s="23"/>
      <c r="AC1396" s="23"/>
      <c r="AD1396" s="23"/>
      <c r="AE1396" s="23"/>
      <c r="AF1396" s="23">
        <v>6</v>
      </c>
      <c r="AG1396" s="23"/>
      <c r="AH1396" s="23"/>
      <c r="AI1396" s="23"/>
      <c r="AJ1396" s="23"/>
      <c r="AK1396" s="23">
        <v>8</v>
      </c>
      <c r="AL1396" s="23"/>
      <c r="AM1396" s="23"/>
      <c r="AN1396" s="23"/>
      <c r="AO1396" s="23"/>
      <c r="AP1396" s="23">
        <v>8</v>
      </c>
      <c r="AQ1396" s="23">
        <v>2</v>
      </c>
      <c r="AR1396" s="23">
        <v>3</v>
      </c>
      <c r="AS1396" s="23">
        <v>1</v>
      </c>
      <c r="AT1396" s="23"/>
      <c r="AU1396" s="14" t="str">
        <f>HYPERLINK("http://www.openstreetmap.org/?mlat=30.4908&amp;mlon=47.8222&amp;zoom=12#map=12/30.4908/47.8222","Maplink1")</f>
        <v>Maplink1</v>
      </c>
      <c r="AV1396" s="14" t="str">
        <f>HYPERLINK("https://www.google.iq/maps/search/+30.4908,47.8222/@30.4908,47.8222,14z?hl=en","Maplink2")</f>
        <v>Maplink2</v>
      </c>
      <c r="AW1396" s="14" t="str">
        <f>HYPERLINK("http://www.bing.com/maps/?lvl=14&amp;sty=h&amp;cp=30.4908~47.8222&amp;sp=point.30.4908_47.8222_Al-meshraq al-qadeem","Maplink3")</f>
        <v>Maplink3</v>
      </c>
    </row>
    <row r="1397" spans="1:49" ht="15" customHeight="1" x14ac:dyDescent="0.25">
      <c r="A1397" s="21">
        <v>1306</v>
      </c>
      <c r="B1397" s="22" t="s">
        <v>12</v>
      </c>
      <c r="C1397" s="22" t="s">
        <v>12</v>
      </c>
      <c r="D1397" s="22" t="s">
        <v>2646</v>
      </c>
      <c r="E1397" s="22" t="s">
        <v>7960</v>
      </c>
      <c r="F1397" s="22">
        <v>30.484722219999998</v>
      </c>
      <c r="G1397" s="22">
        <v>47.812777779999998</v>
      </c>
      <c r="H1397" s="21" t="s">
        <v>2322</v>
      </c>
      <c r="I1397" s="21" t="s">
        <v>2557</v>
      </c>
      <c r="J1397" s="21" t="s">
        <v>2647</v>
      </c>
      <c r="K1397" s="24">
        <v>19</v>
      </c>
      <c r="L1397" s="24">
        <v>114</v>
      </c>
      <c r="M1397" s="23">
        <v>6</v>
      </c>
      <c r="N1397" s="23"/>
      <c r="O1397" s="23"/>
      <c r="P1397" s="23"/>
      <c r="Q1397" s="23"/>
      <c r="R1397" s="23">
        <v>1</v>
      </c>
      <c r="S1397" s="23"/>
      <c r="T1397" s="23"/>
      <c r="U1397" s="23"/>
      <c r="V1397" s="23"/>
      <c r="W1397" s="23"/>
      <c r="X1397" s="23"/>
      <c r="Y1397" s="23">
        <v>10</v>
      </c>
      <c r="Z1397" s="23"/>
      <c r="AA1397" s="23">
        <v>2</v>
      </c>
      <c r="AB1397" s="23"/>
      <c r="AC1397" s="23"/>
      <c r="AD1397" s="23"/>
      <c r="AE1397" s="23"/>
      <c r="AF1397" s="23">
        <v>2</v>
      </c>
      <c r="AG1397" s="23"/>
      <c r="AH1397" s="23"/>
      <c r="AI1397" s="23"/>
      <c r="AJ1397" s="23"/>
      <c r="AK1397" s="23">
        <v>17</v>
      </c>
      <c r="AL1397" s="23"/>
      <c r="AM1397" s="23"/>
      <c r="AN1397" s="23"/>
      <c r="AO1397" s="23">
        <v>2</v>
      </c>
      <c r="AP1397" s="23">
        <v>7</v>
      </c>
      <c r="AQ1397" s="23">
        <v>2</v>
      </c>
      <c r="AR1397" s="23">
        <v>2</v>
      </c>
      <c r="AS1397" s="23">
        <v>6</v>
      </c>
      <c r="AT1397" s="23"/>
      <c r="AU1397" s="14" t="str">
        <f>HYPERLINK("http://www.openstreetmap.org/?mlat=30.4847&amp;mlon=47.8128&amp;zoom=12#map=12/30.4847/47.8128","Maplink1")</f>
        <v>Maplink1</v>
      </c>
      <c r="AV1397" s="14" t="str">
        <f>HYPERLINK("https://www.google.iq/maps/search/+30.4847,47.8128/@30.4847,47.8128,14z?hl=en","Maplink2")</f>
        <v>Maplink2</v>
      </c>
      <c r="AW1397" s="14" t="str">
        <f>HYPERLINK("http://www.bing.com/maps/?lvl=14&amp;sty=h&amp;cp=30.4847~47.8128&amp;sp=point.30.4847_47.8128_Al-Mishraq Al-Jadeed","Maplink3")</f>
        <v>Maplink3</v>
      </c>
    </row>
    <row r="1398" spans="1:49" ht="15" customHeight="1" x14ac:dyDescent="0.25">
      <c r="A1398" s="21">
        <v>849</v>
      </c>
      <c r="B1398" s="22" t="s">
        <v>12</v>
      </c>
      <c r="C1398" s="22" t="s">
        <v>12</v>
      </c>
      <c r="D1398" s="22" t="s">
        <v>2648</v>
      </c>
      <c r="E1398" s="22" t="s">
        <v>2649</v>
      </c>
      <c r="F1398" s="22">
        <v>30.491667</v>
      </c>
      <c r="G1398" s="22">
        <v>47.829444000000002</v>
      </c>
      <c r="H1398" s="21" t="s">
        <v>2322</v>
      </c>
      <c r="I1398" s="21" t="s">
        <v>2557</v>
      </c>
      <c r="J1398" s="21" t="s">
        <v>2650</v>
      </c>
      <c r="K1398" s="24">
        <v>19</v>
      </c>
      <c r="L1398" s="24">
        <v>114</v>
      </c>
      <c r="M1398" s="23">
        <v>3</v>
      </c>
      <c r="N1398" s="23">
        <v>1</v>
      </c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>
        <v>11</v>
      </c>
      <c r="Z1398" s="23"/>
      <c r="AA1398" s="23">
        <v>4</v>
      </c>
      <c r="AB1398" s="23"/>
      <c r="AC1398" s="23"/>
      <c r="AD1398" s="23"/>
      <c r="AE1398" s="23"/>
      <c r="AF1398" s="23">
        <v>8</v>
      </c>
      <c r="AG1398" s="23"/>
      <c r="AH1398" s="23"/>
      <c r="AI1398" s="23"/>
      <c r="AJ1398" s="23"/>
      <c r="AK1398" s="23">
        <v>11</v>
      </c>
      <c r="AL1398" s="23"/>
      <c r="AM1398" s="23"/>
      <c r="AN1398" s="23"/>
      <c r="AO1398" s="23">
        <v>7</v>
      </c>
      <c r="AP1398" s="23">
        <v>3</v>
      </c>
      <c r="AQ1398" s="23">
        <v>4</v>
      </c>
      <c r="AR1398" s="23">
        <v>3</v>
      </c>
      <c r="AS1398" s="23">
        <v>2</v>
      </c>
      <c r="AT1398" s="23"/>
      <c r="AU1398" s="14" t="str">
        <f>HYPERLINK("http://www.openstreetmap.org/?mlat=30.4917&amp;mlon=47.8294&amp;zoom=12#map=12/30.4917/47.8294","Maplink1")</f>
        <v>Maplink1</v>
      </c>
      <c r="AV1398" s="14" t="str">
        <f>HYPERLINK("https://www.google.iq/maps/search/+30.4917,47.8294/@30.4917,47.8294,14z?hl=en","Maplink2")</f>
        <v>Maplink2</v>
      </c>
      <c r="AW1398" s="14" t="str">
        <f>HYPERLINK("http://www.bing.com/maps/?lvl=14&amp;sty=h&amp;cp=30.4917~47.8294&amp;sp=point.30.4917_47.8294_Al-mutaiha","Maplink3")</f>
        <v>Maplink3</v>
      </c>
    </row>
    <row r="1399" spans="1:49" ht="15" customHeight="1" x14ac:dyDescent="0.25">
      <c r="A1399" s="21">
        <v>935</v>
      </c>
      <c r="B1399" s="22" t="s">
        <v>12</v>
      </c>
      <c r="C1399" s="22" t="s">
        <v>12</v>
      </c>
      <c r="D1399" s="22" t="s">
        <v>2651</v>
      </c>
      <c r="E1399" s="22" t="s">
        <v>2652</v>
      </c>
      <c r="F1399" s="22">
        <v>30.526111</v>
      </c>
      <c r="G1399" s="22">
        <v>47.834721999999999</v>
      </c>
      <c r="H1399" s="21" t="s">
        <v>2322</v>
      </c>
      <c r="I1399" s="21" t="s">
        <v>2557</v>
      </c>
      <c r="J1399" s="21" t="s">
        <v>2653</v>
      </c>
      <c r="K1399" s="24">
        <v>2</v>
      </c>
      <c r="L1399" s="24">
        <v>12</v>
      </c>
      <c r="M1399" s="23">
        <v>1</v>
      </c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>
        <v>1</v>
      </c>
      <c r="Z1399" s="23"/>
      <c r="AA1399" s="23"/>
      <c r="AB1399" s="23"/>
      <c r="AC1399" s="23"/>
      <c r="AD1399" s="23"/>
      <c r="AE1399" s="23"/>
      <c r="AF1399" s="23">
        <v>1</v>
      </c>
      <c r="AG1399" s="23"/>
      <c r="AH1399" s="23"/>
      <c r="AI1399" s="23"/>
      <c r="AJ1399" s="23"/>
      <c r="AK1399" s="23">
        <v>1</v>
      </c>
      <c r="AL1399" s="23"/>
      <c r="AM1399" s="23"/>
      <c r="AN1399" s="23"/>
      <c r="AO1399" s="23"/>
      <c r="AP1399" s="23">
        <v>2</v>
      </c>
      <c r="AQ1399" s="23"/>
      <c r="AR1399" s="23"/>
      <c r="AS1399" s="23"/>
      <c r="AT1399" s="23"/>
      <c r="AU1399" s="14" t="str">
        <f>HYPERLINK("http://www.openstreetmap.org/?mlat=30.5261&amp;mlon=47.8347&amp;zoom=12#map=12/30.5261/47.8347","Maplink1")</f>
        <v>Maplink1</v>
      </c>
      <c r="AV1399" s="14" t="str">
        <f>HYPERLINK("https://www.google.iq/maps/search/+30.5261,47.8347/@30.5261,47.8347,14z?hl=en","Maplink2")</f>
        <v>Maplink2</v>
      </c>
      <c r="AW1399" s="14" t="str">
        <f>HYPERLINK("http://www.bing.com/maps/?lvl=14&amp;sty=h&amp;cp=30.5261~47.8347&amp;sp=point.30.5261_47.8347_Al-qeshla","Maplink3")</f>
        <v>Maplink3</v>
      </c>
    </row>
    <row r="1400" spans="1:49" ht="15" customHeight="1" x14ac:dyDescent="0.25">
      <c r="A1400" s="21">
        <v>941</v>
      </c>
      <c r="B1400" s="22" t="s">
        <v>12</v>
      </c>
      <c r="C1400" s="22" t="s">
        <v>12</v>
      </c>
      <c r="D1400" s="22" t="s">
        <v>2654</v>
      </c>
      <c r="E1400" s="22" t="s">
        <v>7961</v>
      </c>
      <c r="F1400" s="22">
        <v>30.5289</v>
      </c>
      <c r="G1400" s="22">
        <v>47.825699999999998</v>
      </c>
      <c r="H1400" s="21" t="s">
        <v>2322</v>
      </c>
      <c r="I1400" s="21" t="s">
        <v>2557</v>
      </c>
      <c r="J1400" s="21" t="s">
        <v>2655</v>
      </c>
      <c r="K1400" s="24">
        <v>4</v>
      </c>
      <c r="L1400" s="24">
        <v>24</v>
      </c>
      <c r="M1400" s="23"/>
      <c r="N1400" s="23"/>
      <c r="O1400" s="23"/>
      <c r="P1400" s="23"/>
      <c r="Q1400" s="23"/>
      <c r="R1400" s="23">
        <v>2</v>
      </c>
      <c r="S1400" s="23"/>
      <c r="T1400" s="23"/>
      <c r="U1400" s="23"/>
      <c r="V1400" s="23"/>
      <c r="W1400" s="23"/>
      <c r="X1400" s="23"/>
      <c r="Y1400" s="23">
        <v>1</v>
      </c>
      <c r="Z1400" s="23"/>
      <c r="AA1400" s="23">
        <v>1</v>
      </c>
      <c r="AB1400" s="23"/>
      <c r="AC1400" s="23"/>
      <c r="AD1400" s="23"/>
      <c r="AE1400" s="23"/>
      <c r="AF1400" s="23">
        <v>2</v>
      </c>
      <c r="AG1400" s="23"/>
      <c r="AH1400" s="23"/>
      <c r="AI1400" s="23"/>
      <c r="AJ1400" s="23"/>
      <c r="AK1400" s="23">
        <v>2</v>
      </c>
      <c r="AL1400" s="23"/>
      <c r="AM1400" s="23"/>
      <c r="AN1400" s="23"/>
      <c r="AO1400" s="23"/>
      <c r="AP1400" s="23">
        <v>2</v>
      </c>
      <c r="AQ1400" s="23">
        <v>2</v>
      </c>
      <c r="AR1400" s="23"/>
      <c r="AS1400" s="23"/>
      <c r="AT1400" s="23"/>
      <c r="AU1400" s="14" t="str">
        <f>HYPERLINK("http://www.openstreetmap.org/?mlat=30.5289&amp;mlon=47.8257&amp;zoom=12#map=12/30.5289/47.8257","Maplink1")</f>
        <v>Maplink1</v>
      </c>
      <c r="AV1400" s="14" t="str">
        <f>HYPERLINK("https://www.google.iq/maps/search/+30.5289,47.8257/@30.5289,47.8257,14z?hl=en","Maplink2")</f>
        <v>Maplink2</v>
      </c>
      <c r="AW1400" s="14" t="str">
        <f>HYPERLINK("http://www.bing.com/maps/?lvl=14&amp;sty=h&amp;cp=30.5289~47.8257&amp;sp=point.30.5289_47.8257","Maplink3")</f>
        <v>Maplink3</v>
      </c>
    </row>
    <row r="1401" spans="1:49" ht="15" customHeight="1" x14ac:dyDescent="0.25">
      <c r="A1401" s="21">
        <v>24674</v>
      </c>
      <c r="B1401" s="22" t="s">
        <v>12</v>
      </c>
      <c r="C1401" s="22" t="s">
        <v>12</v>
      </c>
      <c r="D1401" s="22" t="s">
        <v>8614</v>
      </c>
      <c r="E1401" s="22" t="s">
        <v>8615</v>
      </c>
      <c r="F1401" s="22">
        <v>30.528400000000001</v>
      </c>
      <c r="G1401" s="22">
        <v>47.831400000000002</v>
      </c>
      <c r="H1401" s="21" t="s">
        <v>2322</v>
      </c>
      <c r="I1401" s="21" t="s">
        <v>2557</v>
      </c>
      <c r="J1401" s="21"/>
      <c r="K1401" s="24">
        <v>2</v>
      </c>
      <c r="L1401" s="24">
        <v>12</v>
      </c>
      <c r="M1401" s="23"/>
      <c r="N1401" s="23"/>
      <c r="O1401" s="23"/>
      <c r="P1401" s="23"/>
      <c r="Q1401" s="23"/>
      <c r="R1401" s="23"/>
      <c r="S1401" s="23"/>
      <c r="T1401" s="23"/>
      <c r="U1401" s="23">
        <v>2</v>
      </c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>
        <v>2</v>
      </c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23">
        <v>2</v>
      </c>
      <c r="AS1401" s="23"/>
      <c r="AT1401" s="23"/>
      <c r="AU1401" s="14" t="str">
        <f>HYPERLINK("http://www.openstreetmap.org/?mlat=30.5284&amp;mlon=47.8314&amp;zoom=12#map=12/30.5284/47.8314","Maplink1")</f>
        <v>Maplink1</v>
      </c>
      <c r="AV1401" s="14" t="str">
        <f>HYPERLINK("https://www.google.iq/maps/search/+30.5284,47.8314/@30.5284,47.8314,14z?hl=en","Maplink2")</f>
        <v>Maplink2</v>
      </c>
      <c r="AW1401" s="14" t="str">
        <f>HYPERLINK("http://www.bing.com/maps/?lvl=14&amp;sty=h&amp;cp=30.5284~47.8314&amp;sp=point.30.5284_47.8314_Al-Rubat Al Saghir","Maplink3")</f>
        <v>Maplink3</v>
      </c>
    </row>
    <row r="1402" spans="1:49" ht="15" customHeight="1" x14ac:dyDescent="0.25">
      <c r="A1402" s="21">
        <v>1313</v>
      </c>
      <c r="B1402" s="22" t="s">
        <v>12</v>
      </c>
      <c r="C1402" s="22" t="s">
        <v>12</v>
      </c>
      <c r="D1402" s="22" t="s">
        <v>2656</v>
      </c>
      <c r="E1402" s="22" t="s">
        <v>2657</v>
      </c>
      <c r="F1402" s="22">
        <v>30.503499999999999</v>
      </c>
      <c r="G1402" s="22">
        <v>47.817599999999999</v>
      </c>
      <c r="H1402" s="21" t="s">
        <v>2322</v>
      </c>
      <c r="I1402" s="21" t="s">
        <v>2557</v>
      </c>
      <c r="J1402" s="21" t="s">
        <v>2658</v>
      </c>
      <c r="K1402" s="24">
        <v>3</v>
      </c>
      <c r="L1402" s="24">
        <v>18</v>
      </c>
      <c r="M1402" s="23">
        <v>1</v>
      </c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>
        <v>1</v>
      </c>
      <c r="Z1402" s="23"/>
      <c r="AA1402" s="23">
        <v>1</v>
      </c>
      <c r="AB1402" s="23"/>
      <c r="AC1402" s="23"/>
      <c r="AD1402" s="23"/>
      <c r="AE1402" s="23"/>
      <c r="AF1402" s="23"/>
      <c r="AG1402" s="23"/>
      <c r="AH1402" s="23">
        <v>1</v>
      </c>
      <c r="AI1402" s="23"/>
      <c r="AJ1402" s="23"/>
      <c r="AK1402" s="23">
        <v>2</v>
      </c>
      <c r="AL1402" s="23"/>
      <c r="AM1402" s="23"/>
      <c r="AN1402" s="23"/>
      <c r="AO1402" s="23"/>
      <c r="AP1402" s="23">
        <v>1</v>
      </c>
      <c r="AQ1402" s="23"/>
      <c r="AR1402" s="23">
        <v>2</v>
      </c>
      <c r="AS1402" s="23"/>
      <c r="AT1402" s="23"/>
      <c r="AU1402" s="14" t="str">
        <f>HYPERLINK("http://www.openstreetmap.org/?mlat=30.5035&amp;mlon=47.8176&amp;zoom=12#map=12/30.5035/47.8176","Maplink1")</f>
        <v>Maplink1</v>
      </c>
      <c r="AV1402" s="14" t="str">
        <f>HYPERLINK("https://www.google.iq/maps/search/+30.5035,47.8176/@30.5035,47.8176,14z?hl=en","Maplink2")</f>
        <v>Maplink2</v>
      </c>
      <c r="AW1402" s="14" t="str">
        <f>HYPERLINK("http://www.bing.com/maps/?lvl=14&amp;sty=h&amp;cp=30.5035~47.8176&amp;sp=point.30.5035_47.8176_Al Angaa","Maplink3")</f>
        <v>Maplink3</v>
      </c>
    </row>
    <row r="1403" spans="1:49" ht="15" customHeight="1" x14ac:dyDescent="0.25">
      <c r="A1403" s="21">
        <v>28457</v>
      </c>
      <c r="B1403" s="22" t="s">
        <v>12</v>
      </c>
      <c r="C1403" s="22" t="s">
        <v>12</v>
      </c>
      <c r="D1403" s="22" t="s">
        <v>2659</v>
      </c>
      <c r="E1403" s="22" t="s">
        <v>2660</v>
      </c>
      <c r="F1403" s="22">
        <v>30.502400000000002</v>
      </c>
      <c r="G1403" s="22">
        <v>47.814900000000002</v>
      </c>
      <c r="H1403" s="21" t="s">
        <v>2322</v>
      </c>
      <c r="I1403" s="21" t="s">
        <v>2557</v>
      </c>
      <c r="J1403" s="21"/>
      <c r="K1403" s="24">
        <v>1</v>
      </c>
      <c r="L1403" s="24">
        <v>6</v>
      </c>
      <c r="M1403" s="23"/>
      <c r="N1403" s="23"/>
      <c r="O1403" s="23"/>
      <c r="P1403" s="23"/>
      <c r="Q1403" s="23"/>
      <c r="R1403" s="23"/>
      <c r="S1403" s="23"/>
      <c r="T1403" s="23"/>
      <c r="U1403" s="23">
        <v>1</v>
      </c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>
        <v>1</v>
      </c>
      <c r="AL1403" s="23"/>
      <c r="AM1403" s="23"/>
      <c r="AN1403" s="23"/>
      <c r="AO1403" s="23"/>
      <c r="AP1403" s="23"/>
      <c r="AQ1403" s="23"/>
      <c r="AR1403" s="23"/>
      <c r="AS1403" s="23">
        <v>1</v>
      </c>
      <c r="AT1403" s="23"/>
      <c r="AU1403" s="14" t="str">
        <f>HYPERLINK("http://www.openstreetmap.org/?mlat=30.5024&amp;mlon=47.8149&amp;zoom=12#map=12/30.5024/47.8149","Maplink1")</f>
        <v>Maplink1</v>
      </c>
      <c r="AV1403" s="14" t="str">
        <f>HYPERLINK("https://www.google.iq/maps/search/+30.5024,47.8149/@30.5024,47.8149,14z?hl=en","Maplink2")</f>
        <v>Maplink2</v>
      </c>
      <c r="AW1403" s="14" t="str">
        <f>HYPERLINK("http://www.bing.com/maps/?lvl=14&amp;sty=h&amp;cp=30.5024~47.8149&amp;sp=point.30.5024_47.8149_Al Angaa","Maplink3")</f>
        <v>Maplink3</v>
      </c>
    </row>
    <row r="1404" spans="1:49" ht="15" customHeight="1" x14ac:dyDescent="0.25">
      <c r="A1404" s="21">
        <v>896</v>
      </c>
      <c r="B1404" s="22" t="s">
        <v>12</v>
      </c>
      <c r="C1404" s="22" t="s">
        <v>12</v>
      </c>
      <c r="D1404" s="22" t="s">
        <v>2661</v>
      </c>
      <c r="E1404" s="22" t="s">
        <v>2662</v>
      </c>
      <c r="F1404" s="22">
        <v>30.506944000000001</v>
      </c>
      <c r="G1404" s="22">
        <v>47.821111000000002</v>
      </c>
      <c r="H1404" s="21" t="s">
        <v>2322</v>
      </c>
      <c r="I1404" s="21" t="s">
        <v>2557</v>
      </c>
      <c r="J1404" s="21" t="s">
        <v>2663</v>
      </c>
      <c r="K1404" s="24">
        <v>1</v>
      </c>
      <c r="L1404" s="24">
        <v>6</v>
      </c>
      <c r="M1404" s="23">
        <v>1</v>
      </c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>
        <v>1</v>
      </c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23">
        <v>1</v>
      </c>
      <c r="AS1404" s="23"/>
      <c r="AT1404" s="23"/>
      <c r="AU1404" s="14" t="str">
        <f>HYPERLINK("http://www.openstreetmap.org/?mlat=30.5069&amp;mlon=47.8211&amp;zoom=12#map=12/30.5069/47.8211","Maplink1")</f>
        <v>Maplink1</v>
      </c>
      <c r="AV1404" s="14" t="str">
        <f>HYPERLINK("https://www.google.iq/maps/search/+30.5069,47.8211/@30.5069,47.8211,14z?hl=en","Maplink2")</f>
        <v>Maplink2</v>
      </c>
      <c r="AW1404" s="14" t="str">
        <f>HYPERLINK("http://www.bing.com/maps/?lvl=14&amp;sty=h&amp;cp=30.5069~47.8211&amp;sp=point.30.5069_47.8211_Al-tahseeniya al-qadeema","Maplink3")</f>
        <v>Maplink3</v>
      </c>
    </row>
    <row r="1405" spans="1:49" ht="15" customHeight="1" x14ac:dyDescent="0.25">
      <c r="A1405" s="21">
        <v>926</v>
      </c>
      <c r="B1405" s="22" t="s">
        <v>12</v>
      </c>
      <c r="C1405" s="22" t="s">
        <v>12</v>
      </c>
      <c r="D1405" s="22" t="s">
        <v>2664</v>
      </c>
      <c r="E1405" s="22" t="s">
        <v>2665</v>
      </c>
      <c r="F1405" s="22">
        <v>30.521388999999999</v>
      </c>
      <c r="G1405" s="22">
        <v>47.802778000000004</v>
      </c>
      <c r="H1405" s="21" t="s">
        <v>2322</v>
      </c>
      <c r="I1405" s="21" t="s">
        <v>2557</v>
      </c>
      <c r="J1405" s="21" t="s">
        <v>2666</v>
      </c>
      <c r="K1405" s="24">
        <v>2</v>
      </c>
      <c r="L1405" s="24">
        <v>12</v>
      </c>
      <c r="M1405" s="23"/>
      <c r="N1405" s="23"/>
      <c r="O1405" s="23"/>
      <c r="P1405" s="23"/>
      <c r="Q1405" s="23"/>
      <c r="R1405" s="23"/>
      <c r="S1405" s="23"/>
      <c r="T1405" s="23"/>
      <c r="U1405" s="23">
        <v>2</v>
      </c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>
        <v>2</v>
      </c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>
        <v>2</v>
      </c>
      <c r="AQ1405" s="23"/>
      <c r="AR1405" s="23"/>
      <c r="AS1405" s="23"/>
      <c r="AT1405" s="23"/>
      <c r="AU1405" s="14" t="str">
        <f>HYPERLINK("http://www.openstreetmap.org/?mlat=30.5214&amp;mlon=47.8028&amp;zoom=12#map=12/30.5214/47.8028","Maplink1")</f>
        <v>Maplink1</v>
      </c>
      <c r="AV1405" s="14" t="str">
        <f>HYPERLINK("https://www.google.iq/maps/search/+30.5214,47.8028/@30.5214,47.8028,14z?hl=en","Maplink2")</f>
        <v>Maplink2</v>
      </c>
      <c r="AW1405" s="14" t="str">
        <f>HYPERLINK("http://www.bing.com/maps/?lvl=14&amp;sty=h&amp;cp=30.5214~47.8028&amp;sp=point.30.5214_47.8028_Ar-rafedain","Maplink3")</f>
        <v>Maplink3</v>
      </c>
    </row>
    <row r="1406" spans="1:49" ht="15" customHeight="1" x14ac:dyDescent="0.25">
      <c r="A1406" s="21">
        <v>857</v>
      </c>
      <c r="B1406" s="22" t="s">
        <v>12</v>
      </c>
      <c r="C1406" s="22" t="s">
        <v>12</v>
      </c>
      <c r="D1406" s="22" t="s">
        <v>2667</v>
      </c>
      <c r="E1406" s="22" t="s">
        <v>7962</v>
      </c>
      <c r="F1406" s="22">
        <v>30.494444000000001</v>
      </c>
      <c r="G1406" s="22">
        <v>47.817777999999997</v>
      </c>
      <c r="H1406" s="21" t="s">
        <v>2322</v>
      </c>
      <c r="I1406" s="21" t="s">
        <v>2557</v>
      </c>
      <c r="J1406" s="21" t="s">
        <v>2668</v>
      </c>
      <c r="K1406" s="24">
        <v>8</v>
      </c>
      <c r="L1406" s="24">
        <v>48</v>
      </c>
      <c r="M1406" s="23">
        <v>7</v>
      </c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>
        <v>1</v>
      </c>
      <c r="AB1406" s="23"/>
      <c r="AC1406" s="23"/>
      <c r="AD1406" s="23"/>
      <c r="AE1406" s="23"/>
      <c r="AF1406" s="23">
        <v>6</v>
      </c>
      <c r="AG1406" s="23"/>
      <c r="AH1406" s="23"/>
      <c r="AI1406" s="23"/>
      <c r="AJ1406" s="23"/>
      <c r="AK1406" s="23">
        <v>2</v>
      </c>
      <c r="AL1406" s="23"/>
      <c r="AM1406" s="23"/>
      <c r="AN1406" s="23"/>
      <c r="AO1406" s="23">
        <v>7</v>
      </c>
      <c r="AP1406" s="23"/>
      <c r="AQ1406" s="23"/>
      <c r="AR1406" s="23">
        <v>1</v>
      </c>
      <c r="AS1406" s="23"/>
      <c r="AT1406" s="23"/>
      <c r="AU1406" s="14" t="str">
        <f>HYPERLINK("http://www.openstreetmap.org/?mlat=30.4944&amp;mlon=47.8178&amp;zoom=12#map=12/30.4944/47.8178","Maplink1")</f>
        <v>Maplink1</v>
      </c>
      <c r="AV1406" s="14" t="str">
        <f>HYPERLINK("https://www.google.iq/maps/search/+30.4944,47.8178/@30.4944,47.8178,14z?hl=en","Maplink2")</f>
        <v>Maplink2</v>
      </c>
      <c r="AW1406" s="14" t="str">
        <f>HYPERLINK("http://www.bing.com/maps/?lvl=14&amp;sty=h&amp;cp=30.4944~47.8178&amp;sp=point.30.4944_47.8178_As-safat-Al Qadima","Maplink3")</f>
        <v>Maplink3</v>
      </c>
    </row>
    <row r="1407" spans="1:49" ht="15" customHeight="1" x14ac:dyDescent="0.25">
      <c r="A1407" s="21">
        <v>880</v>
      </c>
      <c r="B1407" s="22" t="s">
        <v>12</v>
      </c>
      <c r="C1407" s="22" t="s">
        <v>12</v>
      </c>
      <c r="D1407" s="22" t="s">
        <v>2669</v>
      </c>
      <c r="E1407" s="22" t="s">
        <v>2670</v>
      </c>
      <c r="F1407" s="22">
        <v>30.501389</v>
      </c>
      <c r="G1407" s="22">
        <v>47.820278000000002</v>
      </c>
      <c r="H1407" s="21" t="s">
        <v>2322</v>
      </c>
      <c r="I1407" s="21" t="s">
        <v>2557</v>
      </c>
      <c r="J1407" s="21" t="s">
        <v>2671</v>
      </c>
      <c r="K1407" s="24">
        <v>2</v>
      </c>
      <c r="L1407" s="24">
        <v>12</v>
      </c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>
        <v>1</v>
      </c>
      <c r="Z1407" s="23"/>
      <c r="AA1407" s="23">
        <v>1</v>
      </c>
      <c r="AB1407" s="23"/>
      <c r="AC1407" s="23"/>
      <c r="AD1407" s="23"/>
      <c r="AE1407" s="23"/>
      <c r="AF1407" s="23">
        <v>1</v>
      </c>
      <c r="AG1407" s="23"/>
      <c r="AH1407" s="23"/>
      <c r="AI1407" s="23"/>
      <c r="AJ1407" s="23"/>
      <c r="AK1407" s="23">
        <v>1</v>
      </c>
      <c r="AL1407" s="23"/>
      <c r="AM1407" s="23"/>
      <c r="AN1407" s="23"/>
      <c r="AO1407" s="23"/>
      <c r="AP1407" s="23"/>
      <c r="AQ1407" s="23">
        <v>1</v>
      </c>
      <c r="AR1407" s="23">
        <v>1</v>
      </c>
      <c r="AS1407" s="23"/>
      <c r="AT1407" s="23"/>
      <c r="AU1407" s="14" t="str">
        <f>HYPERLINK("http://www.openstreetmap.org/?mlat=30.5014&amp;mlon=47.8203&amp;zoom=12#map=12/30.5014/47.8203","Maplink1")</f>
        <v>Maplink1</v>
      </c>
      <c r="AV1407" s="14" t="str">
        <f>HYPERLINK("https://www.google.iq/maps/search/+30.5014,47.8203/@30.5014,47.8203,14z?hl=en","Maplink2")</f>
        <v>Maplink2</v>
      </c>
      <c r="AW1407" s="14" t="str">
        <f>HYPERLINK("http://www.bing.com/maps/?lvl=14&amp;sty=h&amp;cp=30.5014~47.8203&amp;sp=point.30.5014_47.8203_As-saimar","Maplink3")</f>
        <v>Maplink3</v>
      </c>
    </row>
    <row r="1408" spans="1:49" ht="15" customHeight="1" x14ac:dyDescent="0.25">
      <c r="A1408" s="21">
        <v>903</v>
      </c>
      <c r="B1408" s="22" t="s">
        <v>12</v>
      </c>
      <c r="C1408" s="22" t="s">
        <v>12</v>
      </c>
      <c r="D1408" s="22" t="s">
        <v>2672</v>
      </c>
      <c r="E1408" s="22" t="s">
        <v>7963</v>
      </c>
      <c r="F1408" s="22">
        <v>30.510833000000002</v>
      </c>
      <c r="G1408" s="22">
        <v>47.825555999999999</v>
      </c>
      <c r="H1408" s="21" t="s">
        <v>2322</v>
      </c>
      <c r="I1408" s="21" t="s">
        <v>2557</v>
      </c>
      <c r="J1408" s="21" t="s">
        <v>2673</v>
      </c>
      <c r="K1408" s="24">
        <v>3</v>
      </c>
      <c r="L1408" s="24">
        <v>18</v>
      </c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>
        <v>3</v>
      </c>
      <c r="AB1408" s="23"/>
      <c r="AC1408" s="23"/>
      <c r="AD1408" s="23"/>
      <c r="AE1408" s="23"/>
      <c r="AF1408" s="23">
        <v>1</v>
      </c>
      <c r="AG1408" s="23"/>
      <c r="AH1408" s="23"/>
      <c r="AI1408" s="23"/>
      <c r="AJ1408" s="23"/>
      <c r="AK1408" s="23">
        <v>2</v>
      </c>
      <c r="AL1408" s="23"/>
      <c r="AM1408" s="23"/>
      <c r="AN1408" s="23"/>
      <c r="AO1408" s="23">
        <v>1</v>
      </c>
      <c r="AP1408" s="23"/>
      <c r="AQ1408" s="23"/>
      <c r="AR1408" s="23">
        <v>2</v>
      </c>
      <c r="AS1408" s="23"/>
      <c r="AT1408" s="23"/>
      <c r="AU1408" s="14" t="str">
        <f>HYPERLINK("http://www.openstreetmap.org/?mlat=30.5108&amp;mlon=47.8256&amp;zoom=12#map=12/30.5108/47.8256","Maplink1")</f>
        <v>Maplink1</v>
      </c>
      <c r="AV1408" s="14" t="str">
        <f>HYPERLINK("https://www.google.iq/maps/search/+30.5108,47.8256/@30.5108,47.8256,14z?hl=en","Maplink2")</f>
        <v>Maplink2</v>
      </c>
      <c r="AW1408" s="14" t="str">
        <f>HYPERLINK("http://www.bing.com/maps/?lvl=14&amp;sty=h&amp;cp=30.5108~47.8256&amp;sp=point.30.5108_47.8256_At-tahseeniya al-jadeda","Maplink3")</f>
        <v>Maplink3</v>
      </c>
    </row>
    <row r="1409" spans="1:49" ht="15" customHeight="1" x14ac:dyDescent="0.25">
      <c r="A1409" s="21">
        <v>24624</v>
      </c>
      <c r="B1409" s="22" t="s">
        <v>12</v>
      </c>
      <c r="C1409" s="22" t="s">
        <v>12</v>
      </c>
      <c r="D1409" s="22" t="s">
        <v>2674</v>
      </c>
      <c r="E1409" s="22" t="s">
        <v>7964</v>
      </c>
      <c r="F1409" s="22">
        <v>30.589210000000001</v>
      </c>
      <c r="G1409" s="22">
        <v>47.752400000000002</v>
      </c>
      <c r="H1409" s="21" t="s">
        <v>2322</v>
      </c>
      <c r="I1409" s="21" t="s">
        <v>2557</v>
      </c>
      <c r="J1409" s="21"/>
      <c r="K1409" s="24">
        <v>7</v>
      </c>
      <c r="L1409" s="24">
        <v>42</v>
      </c>
      <c r="M1409" s="23">
        <v>2</v>
      </c>
      <c r="N1409" s="23"/>
      <c r="O1409" s="23"/>
      <c r="P1409" s="23"/>
      <c r="Q1409" s="23"/>
      <c r="R1409" s="23">
        <v>2</v>
      </c>
      <c r="S1409" s="23"/>
      <c r="T1409" s="23"/>
      <c r="U1409" s="23">
        <v>1</v>
      </c>
      <c r="V1409" s="23"/>
      <c r="W1409" s="23"/>
      <c r="X1409" s="23"/>
      <c r="Y1409" s="23">
        <v>2</v>
      </c>
      <c r="Z1409" s="23"/>
      <c r="AA1409" s="23"/>
      <c r="AB1409" s="23"/>
      <c r="AC1409" s="23"/>
      <c r="AD1409" s="23"/>
      <c r="AE1409" s="23"/>
      <c r="AF1409" s="23">
        <v>3</v>
      </c>
      <c r="AG1409" s="23"/>
      <c r="AH1409" s="23"/>
      <c r="AI1409" s="23"/>
      <c r="AJ1409" s="23"/>
      <c r="AK1409" s="23">
        <v>4</v>
      </c>
      <c r="AL1409" s="23"/>
      <c r="AM1409" s="23"/>
      <c r="AN1409" s="23"/>
      <c r="AO1409" s="23">
        <v>2</v>
      </c>
      <c r="AP1409" s="23">
        <v>2</v>
      </c>
      <c r="AQ1409" s="23">
        <v>2</v>
      </c>
      <c r="AR1409" s="23">
        <v>1</v>
      </c>
      <c r="AS1409" s="23"/>
      <c r="AT1409" s="23"/>
      <c r="AU1409" s="14" t="str">
        <f>HYPERLINK("http://www.openstreetmap.org/?mlat=30.5892&amp;mlon=47.7524&amp;zoom=12#map=12/30.5892/47.7524","Maplink1")</f>
        <v>Maplink1</v>
      </c>
      <c r="AV1409" s="14" t="str">
        <f>HYPERLINK("https://www.google.iq/maps/search/+30.5892,47.7524/@30.5892,47.7524,14z?hl=en","Maplink2")</f>
        <v>Maplink2</v>
      </c>
      <c r="AW1409" s="14" t="str">
        <f>HYPERLINK("http://www.bing.com/maps/?lvl=14&amp;sty=h&amp;cp=30.5892~47.7524&amp;sp=point.30.5892_47.7524_Basra al qadima-Al Sadoniyah","Maplink3")</f>
        <v>Maplink3</v>
      </c>
    </row>
    <row r="1410" spans="1:49" ht="15" customHeight="1" x14ac:dyDescent="0.25">
      <c r="A1410" s="21">
        <v>907</v>
      </c>
      <c r="B1410" s="22" t="s">
        <v>12</v>
      </c>
      <c r="C1410" s="22" t="s">
        <v>12</v>
      </c>
      <c r="D1410" s="22" t="s">
        <v>2675</v>
      </c>
      <c r="E1410" s="22" t="s">
        <v>2676</v>
      </c>
      <c r="F1410" s="22">
        <v>30.511666999999999</v>
      </c>
      <c r="G1410" s="22">
        <v>47.842500000000001</v>
      </c>
      <c r="H1410" s="21" t="s">
        <v>2322</v>
      </c>
      <c r="I1410" s="21" t="s">
        <v>2557</v>
      </c>
      <c r="J1410" s="21" t="s">
        <v>2677</v>
      </c>
      <c r="K1410" s="24">
        <v>18</v>
      </c>
      <c r="L1410" s="24">
        <v>108</v>
      </c>
      <c r="M1410" s="23">
        <v>3</v>
      </c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>
        <v>15</v>
      </c>
      <c r="Z1410" s="23"/>
      <c r="AA1410" s="23"/>
      <c r="AB1410" s="23"/>
      <c r="AC1410" s="23"/>
      <c r="AD1410" s="23"/>
      <c r="AE1410" s="23"/>
      <c r="AF1410" s="23">
        <v>13</v>
      </c>
      <c r="AG1410" s="23"/>
      <c r="AH1410" s="23"/>
      <c r="AI1410" s="23"/>
      <c r="AJ1410" s="23"/>
      <c r="AK1410" s="23">
        <v>5</v>
      </c>
      <c r="AL1410" s="23"/>
      <c r="AM1410" s="23"/>
      <c r="AN1410" s="23"/>
      <c r="AO1410" s="23">
        <v>1</v>
      </c>
      <c r="AP1410" s="23">
        <v>3</v>
      </c>
      <c r="AQ1410" s="23">
        <v>14</v>
      </c>
      <c r="AR1410" s="23"/>
      <c r="AS1410" s="23"/>
      <c r="AT1410" s="23"/>
      <c r="AU1410" s="14" t="str">
        <f>HYPERLINK("http://www.openstreetmap.org/?mlat=30.5117&amp;mlon=47.8425&amp;zoom=12#map=12/30.5117/47.8425","Maplink1")</f>
        <v>Maplink1</v>
      </c>
      <c r="AV1410" s="14" t="str">
        <f>HYPERLINK("https://www.google.iq/maps/search/+30.5117,47.8425/@30.5117,47.8425,14z?hl=en","Maplink2")</f>
        <v>Maplink2</v>
      </c>
      <c r="AW1410" s="14" t="str">
        <f>HYPERLINK("http://www.bing.com/maps/?lvl=14&amp;sty=h&amp;cp=30.5117~47.8425&amp;sp=point.30.5117_47.8425_Braiha","Maplink3")</f>
        <v>Maplink3</v>
      </c>
    </row>
    <row r="1411" spans="1:49" ht="15" customHeight="1" x14ac:dyDescent="0.25">
      <c r="A1411" s="21">
        <v>24182</v>
      </c>
      <c r="B1411" s="22" t="s">
        <v>12</v>
      </c>
      <c r="C1411" s="22" t="s">
        <v>12</v>
      </c>
      <c r="D1411" s="22" t="s">
        <v>2678</v>
      </c>
      <c r="E1411" s="22" t="s">
        <v>2679</v>
      </c>
      <c r="F1411" s="22">
        <v>30.508600000000001</v>
      </c>
      <c r="G1411" s="22">
        <v>47.810099999999998</v>
      </c>
      <c r="H1411" s="21" t="s">
        <v>2322</v>
      </c>
      <c r="I1411" s="21" t="s">
        <v>2557</v>
      </c>
      <c r="J1411" s="21" t="s">
        <v>2680</v>
      </c>
      <c r="K1411" s="24">
        <v>37</v>
      </c>
      <c r="L1411" s="24">
        <v>222</v>
      </c>
      <c r="M1411" s="23"/>
      <c r="N1411" s="23"/>
      <c r="O1411" s="23"/>
      <c r="P1411" s="23"/>
      <c r="Q1411" s="23"/>
      <c r="R1411" s="23">
        <v>3</v>
      </c>
      <c r="S1411" s="23"/>
      <c r="T1411" s="23"/>
      <c r="U1411" s="23"/>
      <c r="V1411" s="23"/>
      <c r="W1411" s="23"/>
      <c r="X1411" s="23"/>
      <c r="Y1411" s="23">
        <v>32</v>
      </c>
      <c r="Z1411" s="23"/>
      <c r="AA1411" s="23">
        <v>2</v>
      </c>
      <c r="AB1411" s="23"/>
      <c r="AC1411" s="23"/>
      <c r="AD1411" s="23"/>
      <c r="AE1411" s="23"/>
      <c r="AF1411" s="23"/>
      <c r="AG1411" s="23"/>
      <c r="AH1411" s="23">
        <v>37</v>
      </c>
      <c r="AI1411" s="23"/>
      <c r="AJ1411" s="23"/>
      <c r="AK1411" s="23"/>
      <c r="AL1411" s="23"/>
      <c r="AM1411" s="23"/>
      <c r="AN1411" s="23"/>
      <c r="AO1411" s="23"/>
      <c r="AP1411" s="23">
        <v>37</v>
      </c>
      <c r="AQ1411" s="23"/>
      <c r="AR1411" s="23"/>
      <c r="AS1411" s="23"/>
      <c r="AT1411" s="23"/>
      <c r="AU1411" s="14" t="str">
        <f>HYPERLINK("http://www.openstreetmap.org/?mlat=30.5086&amp;mlon=47.8101&amp;zoom=12#map=12/30.5086/47.8101","Maplink1")</f>
        <v>Maplink1</v>
      </c>
      <c r="AV1411" s="14" t="str">
        <f>HYPERLINK("https://www.google.iq/maps/search/+30.5086,47.8101/@30.5086,47.8101,14z?hl=en","Maplink2")</f>
        <v>Maplink2</v>
      </c>
      <c r="AW1411" s="14" t="str">
        <f>HYPERLINK("http://www.bing.com/maps/?lvl=14&amp;sty=h&amp;cp=30.5086~47.8101&amp;sp=point.30.5086_47.8101_Casino Lebnan","Maplink3")</f>
        <v>Maplink3</v>
      </c>
    </row>
    <row r="1412" spans="1:49" ht="15" customHeight="1" x14ac:dyDescent="0.25">
      <c r="A1412" s="21">
        <v>24798</v>
      </c>
      <c r="B1412" s="22" t="s">
        <v>12</v>
      </c>
      <c r="C1412" s="22" t="s">
        <v>12</v>
      </c>
      <c r="D1412" s="22" t="s">
        <v>8616</v>
      </c>
      <c r="E1412" s="22" t="s">
        <v>8617</v>
      </c>
      <c r="F1412" s="22">
        <v>30.549099999999999</v>
      </c>
      <c r="G1412" s="22">
        <v>47.758299999999998</v>
      </c>
      <c r="H1412" s="21" t="s">
        <v>2322</v>
      </c>
      <c r="I1412" s="21" t="s">
        <v>2557</v>
      </c>
      <c r="J1412" s="21"/>
      <c r="K1412" s="24">
        <v>37</v>
      </c>
      <c r="L1412" s="24">
        <v>222</v>
      </c>
      <c r="M1412" s="23">
        <v>17</v>
      </c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>
        <v>11</v>
      </c>
      <c r="Z1412" s="23"/>
      <c r="AA1412" s="23">
        <v>9</v>
      </c>
      <c r="AB1412" s="23"/>
      <c r="AC1412" s="23"/>
      <c r="AD1412" s="23"/>
      <c r="AE1412" s="23">
        <v>37</v>
      </c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>
        <v>3</v>
      </c>
      <c r="AQ1412" s="23">
        <v>7</v>
      </c>
      <c r="AR1412" s="23">
        <v>8</v>
      </c>
      <c r="AS1412" s="23">
        <v>12</v>
      </c>
      <c r="AT1412" s="23">
        <v>7</v>
      </c>
      <c r="AU1412" s="14" t="str">
        <f>HYPERLINK("http://www.openstreetmap.org/?mlat=30.5491&amp;mlon=47.7583&amp;zoom=12#map=12/30.5491/47.7583","Maplink1")</f>
        <v>Maplink1</v>
      </c>
      <c r="AV1412" s="14" t="str">
        <f>HYPERLINK("https://www.google.iq/maps/search/+30.5491,47.7583/@30.5491,47.7583,14z?hl=en","Maplink2")</f>
        <v>Maplink2</v>
      </c>
      <c r="AW1412" s="14" t="str">
        <f>HYPERLINK("http://www.bing.com/maps/?lvl=14&amp;sty=h&amp;cp=30.5491~47.7583&amp;sp=point.30.5491_47.7583_Al Assry Camp (5 Miles Markets)","Maplink3")</f>
        <v>Maplink3</v>
      </c>
    </row>
    <row r="1413" spans="1:49" ht="15" customHeight="1" x14ac:dyDescent="0.25">
      <c r="A1413" s="21">
        <v>1295</v>
      </c>
      <c r="B1413" s="22" t="s">
        <v>12</v>
      </c>
      <c r="C1413" s="22" t="s">
        <v>12</v>
      </c>
      <c r="D1413" s="22" t="s">
        <v>2504</v>
      </c>
      <c r="E1413" s="22" t="s">
        <v>2505</v>
      </c>
      <c r="F1413" s="22">
        <v>30.536388890000001</v>
      </c>
      <c r="G1413" s="22">
        <v>47.78916667</v>
      </c>
      <c r="H1413" s="21" t="s">
        <v>2322</v>
      </c>
      <c r="I1413" s="21" t="s">
        <v>2557</v>
      </c>
      <c r="J1413" s="21" t="s">
        <v>2681</v>
      </c>
      <c r="K1413" s="24">
        <v>13</v>
      </c>
      <c r="L1413" s="24">
        <v>78</v>
      </c>
      <c r="M1413" s="23">
        <v>4</v>
      </c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>
        <v>3</v>
      </c>
      <c r="Z1413" s="23"/>
      <c r="AA1413" s="23">
        <v>6</v>
      </c>
      <c r="AB1413" s="23"/>
      <c r="AC1413" s="23"/>
      <c r="AD1413" s="23"/>
      <c r="AE1413" s="23"/>
      <c r="AF1413" s="23">
        <v>2</v>
      </c>
      <c r="AG1413" s="23"/>
      <c r="AH1413" s="23"/>
      <c r="AI1413" s="23"/>
      <c r="AJ1413" s="23"/>
      <c r="AK1413" s="23">
        <v>11</v>
      </c>
      <c r="AL1413" s="23"/>
      <c r="AM1413" s="23"/>
      <c r="AN1413" s="23"/>
      <c r="AO1413" s="23">
        <v>1</v>
      </c>
      <c r="AP1413" s="23">
        <v>6</v>
      </c>
      <c r="AQ1413" s="23">
        <v>2</v>
      </c>
      <c r="AR1413" s="23">
        <v>2</v>
      </c>
      <c r="AS1413" s="23">
        <v>2</v>
      </c>
      <c r="AT1413" s="23"/>
      <c r="AU1413" s="14" t="str">
        <f>HYPERLINK("http://www.openstreetmap.org/?mlat=30.5364&amp;mlon=47.7892&amp;zoom=12#map=12/30.5364/47.7892","Maplink1")</f>
        <v>Maplink1</v>
      </c>
      <c r="AV1413" s="14" t="str">
        <f>HYPERLINK("https://www.google.iq/maps/search/+30.5364,47.7892/@30.5364,47.7892,14z?hl=en","Maplink2")</f>
        <v>Maplink2</v>
      </c>
      <c r="AW1413" s="14" t="str">
        <f>HYPERLINK("http://www.bing.com/maps/?lvl=14&amp;sty=h&amp;cp=30.5364~47.7892&amp;sp=point.30.5364_47.7892_Door Al Dubbat","Maplink3")</f>
        <v>Maplink3</v>
      </c>
    </row>
    <row r="1414" spans="1:49" ht="15" customHeight="1" x14ac:dyDescent="0.25">
      <c r="A1414" s="21">
        <v>983</v>
      </c>
      <c r="B1414" s="22" t="s">
        <v>12</v>
      </c>
      <c r="C1414" s="22" t="s">
        <v>12</v>
      </c>
      <c r="D1414" s="22" t="s">
        <v>7479</v>
      </c>
      <c r="E1414" s="22" t="s">
        <v>7480</v>
      </c>
      <c r="F1414" s="22">
        <v>30.546389000000001</v>
      </c>
      <c r="G1414" s="22">
        <v>47.791111000000001</v>
      </c>
      <c r="H1414" s="21" t="s">
        <v>2322</v>
      </c>
      <c r="I1414" s="21" t="s">
        <v>2557</v>
      </c>
      <c r="J1414" s="21" t="s">
        <v>7481</v>
      </c>
      <c r="K1414" s="24">
        <v>6</v>
      </c>
      <c r="L1414" s="24">
        <v>36</v>
      </c>
      <c r="M1414" s="23"/>
      <c r="N1414" s="23"/>
      <c r="O1414" s="23"/>
      <c r="P1414" s="23"/>
      <c r="Q1414" s="23"/>
      <c r="R1414" s="23"/>
      <c r="S1414" s="23"/>
      <c r="T1414" s="23"/>
      <c r="U1414" s="23">
        <v>3</v>
      </c>
      <c r="V1414" s="23"/>
      <c r="W1414" s="23"/>
      <c r="X1414" s="23"/>
      <c r="Y1414" s="23"/>
      <c r="Z1414" s="23"/>
      <c r="AA1414" s="23">
        <v>3</v>
      </c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>
        <v>6</v>
      </c>
      <c r="AL1414" s="23"/>
      <c r="AM1414" s="23"/>
      <c r="AN1414" s="23"/>
      <c r="AO1414" s="23">
        <v>2</v>
      </c>
      <c r="AP1414" s="23"/>
      <c r="AQ1414" s="23">
        <v>1</v>
      </c>
      <c r="AR1414" s="23">
        <v>3</v>
      </c>
      <c r="AS1414" s="23"/>
      <c r="AT1414" s="23"/>
      <c r="AU1414" s="14" t="str">
        <f>HYPERLINK("http://www.openstreetmap.org/?mlat=30.5464&amp;mlon=47.7911&amp;zoom=12#map=12/30.5464/47.7911","Maplink1")</f>
        <v>Maplink1</v>
      </c>
      <c r="AV1414" s="14" t="str">
        <f>HYPERLINK("https://www.google.iq/maps/search/+30.5464,47.7911/@30.5464,47.7911,14z?hl=en","Maplink2")</f>
        <v>Maplink2</v>
      </c>
      <c r="AW1414" s="14" t="str">
        <f>HYPERLINK("http://www.bing.com/maps/?lvl=14&amp;sty=h&amp;cp=30.5464~47.7911&amp;sp=point.30.5464_47.7911_Door al-hendiya","Maplink3")</f>
        <v>Maplink3</v>
      </c>
    </row>
    <row r="1415" spans="1:49" ht="15" customHeight="1" x14ac:dyDescent="0.25">
      <c r="A1415" s="21">
        <v>1284</v>
      </c>
      <c r="B1415" s="22" t="s">
        <v>12</v>
      </c>
      <c r="C1415" s="22" t="s">
        <v>12</v>
      </c>
      <c r="D1415" s="22" t="s">
        <v>2682</v>
      </c>
      <c r="E1415" s="22" t="s">
        <v>2683</v>
      </c>
      <c r="F1415" s="22">
        <v>30.494166</v>
      </c>
      <c r="G1415" s="22">
        <v>47.810276999999999</v>
      </c>
      <c r="H1415" s="21" t="s">
        <v>2322</v>
      </c>
      <c r="I1415" s="21" t="s">
        <v>2557</v>
      </c>
      <c r="J1415" s="21" t="s">
        <v>2684</v>
      </c>
      <c r="K1415" s="24">
        <v>2</v>
      </c>
      <c r="L1415" s="24">
        <v>12</v>
      </c>
      <c r="M1415" s="23">
        <v>2</v>
      </c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>
        <v>1</v>
      </c>
      <c r="AG1415" s="23"/>
      <c r="AH1415" s="23"/>
      <c r="AI1415" s="23"/>
      <c r="AJ1415" s="23"/>
      <c r="AK1415" s="23">
        <v>1</v>
      </c>
      <c r="AL1415" s="23"/>
      <c r="AM1415" s="23"/>
      <c r="AN1415" s="23"/>
      <c r="AO1415" s="23"/>
      <c r="AP1415" s="23"/>
      <c r="AQ1415" s="23">
        <v>1</v>
      </c>
      <c r="AR1415" s="23">
        <v>1</v>
      </c>
      <c r="AS1415" s="23"/>
      <c r="AT1415" s="23"/>
      <c r="AU1415" s="14" t="str">
        <f>HYPERLINK("http://www.openstreetmap.org/?mlat=30.4942&amp;mlon=47.8103&amp;zoom=12#map=12/30.4942/47.8103","Maplink1")</f>
        <v>Maplink1</v>
      </c>
      <c r="AV1415" s="14" t="str">
        <f>HYPERLINK("https://www.google.iq/maps/search/+30.4942,47.8103/@30.4942,47.8103,14z?hl=en","Maplink2")</f>
        <v>Maplink2</v>
      </c>
      <c r="AW1415" s="14" t="str">
        <f>HYPERLINK("http://www.bing.com/maps/?lvl=14&amp;sty=h&amp;cp=30.4942~47.8103&amp;sp=point.30.4942_47.8103_Door Al-Shooen","Maplink3")</f>
        <v>Maplink3</v>
      </c>
    </row>
    <row r="1416" spans="1:49" ht="15" customHeight="1" x14ac:dyDescent="0.25">
      <c r="A1416" s="21">
        <v>966</v>
      </c>
      <c r="B1416" s="22" t="s">
        <v>12</v>
      </c>
      <c r="C1416" s="22" t="s">
        <v>12</v>
      </c>
      <c r="D1416" s="22" t="s">
        <v>2685</v>
      </c>
      <c r="E1416" s="22" t="s">
        <v>2686</v>
      </c>
      <c r="F1416" s="22">
        <v>30.543333000000001</v>
      </c>
      <c r="G1416" s="22">
        <v>47.817500000000003</v>
      </c>
      <c r="H1416" s="21" t="s">
        <v>2322</v>
      </c>
      <c r="I1416" s="21" t="s">
        <v>2557</v>
      </c>
      <c r="J1416" s="21" t="s">
        <v>2687</v>
      </c>
      <c r="K1416" s="24">
        <v>8</v>
      </c>
      <c r="L1416" s="24">
        <v>48</v>
      </c>
      <c r="M1416" s="23">
        <v>1</v>
      </c>
      <c r="N1416" s="23"/>
      <c r="O1416" s="23"/>
      <c r="P1416" s="23"/>
      <c r="Q1416" s="23"/>
      <c r="R1416" s="23">
        <v>1</v>
      </c>
      <c r="S1416" s="23"/>
      <c r="T1416" s="23"/>
      <c r="U1416" s="23">
        <v>1</v>
      </c>
      <c r="V1416" s="23"/>
      <c r="W1416" s="23"/>
      <c r="X1416" s="23"/>
      <c r="Y1416" s="23">
        <v>5</v>
      </c>
      <c r="Z1416" s="23"/>
      <c r="AA1416" s="23"/>
      <c r="AB1416" s="23"/>
      <c r="AC1416" s="23"/>
      <c r="AD1416" s="23"/>
      <c r="AE1416" s="23"/>
      <c r="AF1416" s="23">
        <v>8</v>
      </c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>
        <v>1</v>
      </c>
      <c r="AQ1416" s="23">
        <v>3</v>
      </c>
      <c r="AR1416" s="23">
        <v>4</v>
      </c>
      <c r="AS1416" s="23"/>
      <c r="AT1416" s="23"/>
      <c r="AU1416" s="14" t="str">
        <f>HYPERLINK("http://www.openstreetmap.org/?mlat=30.5433&amp;mlon=47.8175&amp;zoom=12#map=12/30.5433/47.8175","Maplink1")</f>
        <v>Maplink1</v>
      </c>
      <c r="AV1416" s="14" t="str">
        <f>HYPERLINK("https://www.google.iq/maps/search/+30.5433,47.8175/@30.5433,47.8175,14z?hl=en","Maplink2")</f>
        <v>Maplink2</v>
      </c>
      <c r="AW1416" s="14" t="str">
        <f>HYPERLINK("http://www.bing.com/maps/?lvl=14&amp;sty=h&amp;cp=30.5433~47.8175&amp;sp=point.30.5433_47.8175_Door as-sailo_","Maplink3")</f>
        <v>Maplink3</v>
      </c>
    </row>
    <row r="1417" spans="1:49" ht="15" customHeight="1" x14ac:dyDescent="0.25">
      <c r="A1417" s="21">
        <v>934</v>
      </c>
      <c r="B1417" s="22" t="s">
        <v>12</v>
      </c>
      <c r="C1417" s="22" t="s">
        <v>12</v>
      </c>
      <c r="D1417" s="22" t="s">
        <v>2688</v>
      </c>
      <c r="E1417" s="22" t="s">
        <v>7965</v>
      </c>
      <c r="F1417" s="22">
        <v>30.526098000000001</v>
      </c>
      <c r="G1417" s="22">
        <v>47.790971999999996</v>
      </c>
      <c r="H1417" s="21" t="s">
        <v>2322</v>
      </c>
      <c r="I1417" s="21" t="s">
        <v>2557</v>
      </c>
      <c r="J1417" s="21" t="s">
        <v>2689</v>
      </c>
      <c r="K1417" s="24">
        <v>8</v>
      </c>
      <c r="L1417" s="24">
        <v>48</v>
      </c>
      <c r="M1417" s="23">
        <v>3</v>
      </c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>
        <v>4</v>
      </c>
      <c r="Z1417" s="23"/>
      <c r="AA1417" s="23">
        <v>1</v>
      </c>
      <c r="AB1417" s="23"/>
      <c r="AC1417" s="23"/>
      <c r="AD1417" s="23"/>
      <c r="AE1417" s="23"/>
      <c r="AF1417" s="23">
        <v>1</v>
      </c>
      <c r="AG1417" s="23"/>
      <c r="AH1417" s="23"/>
      <c r="AI1417" s="23"/>
      <c r="AJ1417" s="23"/>
      <c r="AK1417" s="23">
        <v>7</v>
      </c>
      <c r="AL1417" s="23"/>
      <c r="AM1417" s="23"/>
      <c r="AN1417" s="23"/>
      <c r="AO1417" s="23"/>
      <c r="AP1417" s="23">
        <v>8</v>
      </c>
      <c r="AQ1417" s="23"/>
      <c r="AR1417" s="23"/>
      <c r="AS1417" s="23"/>
      <c r="AT1417" s="23"/>
      <c r="AU1417" s="14" t="str">
        <f>HYPERLINK("http://www.openstreetmap.org/?mlat=30.5261&amp;mlon=47.791&amp;zoom=12#map=12/30.5261/47.791","Maplink1")</f>
        <v>Maplink1</v>
      </c>
      <c r="AV1417" s="14" t="str">
        <f>HYPERLINK("https://www.google.iq/maps/search/+30.5261,47.791/@30.5261,47.791,14z?hl=en","Maplink2")</f>
        <v>Maplink2</v>
      </c>
      <c r="AW1417" s="14" t="str">
        <f>HYPERLINK("http://www.bing.com/maps/?lvl=14&amp;sty=h&amp;cp=30.5261~47.791&amp;sp=point.30.5261_47.791_Durr Al Naaft","Maplink3")</f>
        <v>Maplink3</v>
      </c>
    </row>
    <row r="1418" spans="1:49" ht="15" customHeight="1" x14ac:dyDescent="0.25">
      <c r="A1418" s="21">
        <v>28473</v>
      </c>
      <c r="B1418" s="22" t="s">
        <v>12</v>
      </c>
      <c r="C1418" s="22" t="s">
        <v>12</v>
      </c>
      <c r="D1418" s="22" t="s">
        <v>2690</v>
      </c>
      <c r="E1418" s="22" t="s">
        <v>2691</v>
      </c>
      <c r="F1418" s="22">
        <v>30.485099999999999</v>
      </c>
      <c r="G1418" s="22">
        <v>47.822299999999998</v>
      </c>
      <c r="H1418" s="21" t="s">
        <v>2322</v>
      </c>
      <c r="I1418" s="21" t="s">
        <v>2557</v>
      </c>
      <c r="J1418" s="21"/>
      <c r="K1418" s="24">
        <v>1</v>
      </c>
      <c r="L1418" s="24">
        <v>6</v>
      </c>
      <c r="M1418" s="23">
        <v>1</v>
      </c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>
        <v>1</v>
      </c>
      <c r="AL1418" s="23"/>
      <c r="AM1418" s="23"/>
      <c r="AN1418" s="23"/>
      <c r="AO1418" s="23"/>
      <c r="AP1418" s="23"/>
      <c r="AQ1418" s="23"/>
      <c r="AR1418" s="23">
        <v>1</v>
      </c>
      <c r="AS1418" s="23"/>
      <c r="AT1418" s="23"/>
      <c r="AU1418" s="14" t="str">
        <f>HYPERLINK("http://www.openstreetmap.org/?mlat=30.4851&amp;mlon=47.8223&amp;zoom=12#map=12/30.4851/47.8223","Maplink1")</f>
        <v>Maplink1</v>
      </c>
      <c r="AV1418" s="14" t="str">
        <f>HYPERLINK("https://www.google.iq/maps/search/+30.4851,47.8223/@30.4851,47.8223,14z?hl=en","Maplink2")</f>
        <v>Maplink2</v>
      </c>
      <c r="AW1418" s="14" t="str">
        <f>HYPERLINK("http://www.bing.com/maps/?lvl=14&amp;sty=h&amp;cp=30.4851~47.8223&amp;sp=point.30.4851_47.8223_Al Angaa","Maplink3")</f>
        <v>Maplink3</v>
      </c>
    </row>
    <row r="1419" spans="1:49" ht="15" customHeight="1" x14ac:dyDescent="0.25">
      <c r="A1419" s="21">
        <v>987</v>
      </c>
      <c r="B1419" s="22" t="s">
        <v>12</v>
      </c>
      <c r="C1419" s="22" t="s">
        <v>12</v>
      </c>
      <c r="D1419" s="22" t="s">
        <v>2692</v>
      </c>
      <c r="E1419" s="22" t="s">
        <v>2693</v>
      </c>
      <c r="F1419" s="22">
        <v>30.548888999999999</v>
      </c>
      <c r="G1419" s="22">
        <v>47.783889000000002</v>
      </c>
      <c r="H1419" s="21" t="s">
        <v>2322</v>
      </c>
      <c r="I1419" s="21" t="s">
        <v>2557</v>
      </c>
      <c r="J1419" s="21" t="s">
        <v>2694</v>
      </c>
      <c r="K1419" s="24">
        <v>3</v>
      </c>
      <c r="L1419" s="24">
        <v>18</v>
      </c>
      <c r="M1419" s="23">
        <v>2</v>
      </c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>
        <v>1</v>
      </c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>
        <v>3</v>
      </c>
      <c r="AL1419" s="23"/>
      <c r="AM1419" s="23"/>
      <c r="AN1419" s="23"/>
      <c r="AO1419" s="23"/>
      <c r="AP1419" s="23">
        <v>2</v>
      </c>
      <c r="AQ1419" s="23"/>
      <c r="AR1419" s="23">
        <v>1</v>
      </c>
      <c r="AS1419" s="23"/>
      <c r="AT1419" s="23"/>
      <c r="AU1419" s="14" t="str">
        <f>HYPERLINK("http://www.openstreetmap.org/?mlat=30.5489&amp;mlon=47.7839&amp;zoom=12#map=12/30.5489/47.7839","Maplink1")</f>
        <v>Maplink1</v>
      </c>
      <c r="AV1419" s="14" t="str">
        <f>HYPERLINK("https://www.google.iq/maps/search/+30.5489,47.7839/@30.5489,47.7839,14z?hl=en","Maplink2")</f>
        <v>Maplink2</v>
      </c>
      <c r="AW1419" s="14" t="str">
        <f>HYPERLINK("http://www.bing.com/maps/?lvl=14&amp;sty=h&amp;cp=30.5489~47.7839&amp;sp=point.30.5489_47.7839_Eskan al-mawanie","Maplink3")</f>
        <v>Maplink3</v>
      </c>
    </row>
    <row r="1420" spans="1:49" ht="15" customHeight="1" x14ac:dyDescent="0.25">
      <c r="A1420" s="21">
        <v>954</v>
      </c>
      <c r="B1420" s="22" t="s">
        <v>12</v>
      </c>
      <c r="C1420" s="22" t="s">
        <v>12</v>
      </c>
      <c r="D1420" s="22" t="s">
        <v>2695</v>
      </c>
      <c r="E1420" s="22" t="s">
        <v>2696</v>
      </c>
      <c r="F1420" s="22">
        <v>30.536389</v>
      </c>
      <c r="G1420" s="22">
        <v>47.781388999999997</v>
      </c>
      <c r="H1420" s="21" t="s">
        <v>2322</v>
      </c>
      <c r="I1420" s="21" t="s">
        <v>2557</v>
      </c>
      <c r="J1420" s="21" t="s">
        <v>2697</v>
      </c>
      <c r="K1420" s="24">
        <v>2</v>
      </c>
      <c r="L1420" s="24">
        <v>12</v>
      </c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>
        <v>1</v>
      </c>
      <c r="Z1420" s="23"/>
      <c r="AA1420" s="23">
        <v>1</v>
      </c>
      <c r="AB1420" s="23"/>
      <c r="AC1420" s="23"/>
      <c r="AD1420" s="23"/>
      <c r="AE1420" s="23"/>
      <c r="AF1420" s="23">
        <v>2</v>
      </c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>
        <v>1</v>
      </c>
      <c r="AQ1420" s="23"/>
      <c r="AR1420" s="23"/>
      <c r="AS1420" s="23">
        <v>1</v>
      </c>
      <c r="AT1420" s="23"/>
      <c r="AU1420" s="14" t="str">
        <f>HYPERLINK("http://www.openstreetmap.org/?mlat=30.5364&amp;mlon=47.7814&amp;zoom=12#map=12/30.5364/47.7814","Maplink1")</f>
        <v>Maplink1</v>
      </c>
      <c r="AV1420" s="14" t="str">
        <f>HYPERLINK("https://www.google.iq/maps/search/+30.5364,47.7814/@30.5364,47.7814,14z?hl=en","Maplink2")</f>
        <v>Maplink2</v>
      </c>
      <c r="AW1420" s="14" t="str">
        <f>HYPERLINK("http://www.bing.com/maps/?lvl=14&amp;sty=h&amp;cp=30.5364~47.7814&amp;sp=point.30.5364_47.7814_Hai al-bato_l","Maplink3")</f>
        <v>Maplink3</v>
      </c>
    </row>
    <row r="1421" spans="1:49" ht="15" customHeight="1" x14ac:dyDescent="0.25">
      <c r="A1421" s="21">
        <v>24124</v>
      </c>
      <c r="B1421" s="22" t="s">
        <v>12</v>
      </c>
      <c r="C1421" s="22" t="s">
        <v>12</v>
      </c>
      <c r="D1421" s="22" t="s">
        <v>7509</v>
      </c>
      <c r="E1421" s="22" t="s">
        <v>7966</v>
      </c>
      <c r="F1421" s="22">
        <v>30.502804000000001</v>
      </c>
      <c r="G1421" s="22">
        <v>47.776781</v>
      </c>
      <c r="H1421" s="21" t="s">
        <v>2322</v>
      </c>
      <c r="I1421" s="21" t="s">
        <v>2557</v>
      </c>
      <c r="J1421" s="21" t="s">
        <v>7510</v>
      </c>
      <c r="K1421" s="24">
        <v>3</v>
      </c>
      <c r="L1421" s="24">
        <v>18</v>
      </c>
      <c r="M1421" s="23">
        <v>1</v>
      </c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>
        <v>2</v>
      </c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>
        <v>1</v>
      </c>
      <c r="AK1421" s="23">
        <v>2</v>
      </c>
      <c r="AL1421" s="23"/>
      <c r="AM1421" s="23"/>
      <c r="AN1421" s="23"/>
      <c r="AO1421" s="23">
        <v>1</v>
      </c>
      <c r="AP1421" s="23"/>
      <c r="AQ1421" s="23">
        <v>1</v>
      </c>
      <c r="AR1421" s="23">
        <v>1</v>
      </c>
      <c r="AS1421" s="23"/>
      <c r="AT1421" s="23"/>
      <c r="AU1421" s="14" t="str">
        <f>HYPERLINK("http://www.openstreetmap.org/?mlat=30.5028&amp;mlon=47.7768&amp;zoom=12#map=12/30.5028/47.7768","Maplink1")</f>
        <v>Maplink1</v>
      </c>
      <c r="AV1421" s="14" t="str">
        <f>HYPERLINK("https://www.google.iq/maps/search/+30.5028,47.7768/@30.5028,47.7768,14z?hl=en","Maplink2")</f>
        <v>Maplink2</v>
      </c>
      <c r="AW1421" s="14" t="str">
        <f>HYPERLINK("http://www.bing.com/maps/?lvl=14&amp;sty=h&amp;cp=30.5028~47.7768&amp;sp=point.30.5028_47.7768","Maplink3")</f>
        <v>Maplink3</v>
      </c>
    </row>
    <row r="1422" spans="1:49" ht="15" customHeight="1" x14ac:dyDescent="0.25">
      <c r="A1422" s="21">
        <v>869</v>
      </c>
      <c r="B1422" s="22" t="s">
        <v>12</v>
      </c>
      <c r="C1422" s="22" t="s">
        <v>12</v>
      </c>
      <c r="D1422" s="22" t="s">
        <v>2698</v>
      </c>
      <c r="E1422" s="22" t="s">
        <v>7967</v>
      </c>
      <c r="F1422" s="22">
        <v>30.498055999999998</v>
      </c>
      <c r="G1422" s="22">
        <v>47.779722</v>
      </c>
      <c r="H1422" s="21" t="s">
        <v>2322</v>
      </c>
      <c r="I1422" s="21" t="s">
        <v>2557</v>
      </c>
      <c r="J1422" s="21" t="s">
        <v>2699</v>
      </c>
      <c r="K1422" s="24">
        <v>6</v>
      </c>
      <c r="L1422" s="24">
        <v>36</v>
      </c>
      <c r="M1422" s="23">
        <v>4</v>
      </c>
      <c r="N1422" s="23"/>
      <c r="O1422" s="23"/>
      <c r="P1422" s="23"/>
      <c r="Q1422" s="23"/>
      <c r="R1422" s="23"/>
      <c r="S1422" s="23"/>
      <c r="T1422" s="23"/>
      <c r="U1422" s="23">
        <v>2</v>
      </c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>
        <v>1</v>
      </c>
      <c r="AG1422" s="23"/>
      <c r="AH1422" s="23"/>
      <c r="AI1422" s="23"/>
      <c r="AJ1422" s="23"/>
      <c r="AK1422" s="23">
        <v>5</v>
      </c>
      <c r="AL1422" s="23"/>
      <c r="AM1422" s="23"/>
      <c r="AN1422" s="23"/>
      <c r="AO1422" s="23"/>
      <c r="AP1422" s="23">
        <v>5</v>
      </c>
      <c r="AQ1422" s="23"/>
      <c r="AR1422" s="23"/>
      <c r="AS1422" s="23">
        <v>1</v>
      </c>
      <c r="AT1422" s="23"/>
      <c r="AU1422" s="14" t="str">
        <f>HYPERLINK("http://www.openstreetmap.org/?mlat=30.4981&amp;mlon=47.7797&amp;zoom=12#map=12/30.4981/47.7797","Maplink1")</f>
        <v>Maplink1</v>
      </c>
      <c r="AV1422" s="14" t="str">
        <f>HYPERLINK("https://www.google.iq/maps/search/+30.4981,47.7797/@30.4981,47.7797,14z?hl=en","Maplink2")</f>
        <v>Maplink2</v>
      </c>
      <c r="AW1422" s="14" t="str">
        <f>HYPERLINK("http://www.bing.com/maps/?lvl=14&amp;sty=h&amp;cp=30.4981~47.7797&amp;sp=point.30.4981_47.7797_Hai al-hussain-2","Maplink3")</f>
        <v>Maplink3</v>
      </c>
    </row>
    <row r="1423" spans="1:49" ht="15" customHeight="1" x14ac:dyDescent="0.25">
      <c r="A1423" s="21">
        <v>854</v>
      </c>
      <c r="B1423" s="22" t="s">
        <v>12</v>
      </c>
      <c r="C1423" s="22" t="s">
        <v>12</v>
      </c>
      <c r="D1423" s="22" t="s">
        <v>2700</v>
      </c>
      <c r="E1423" s="22" t="s">
        <v>7968</v>
      </c>
      <c r="F1423" s="22">
        <v>30.493333</v>
      </c>
      <c r="G1423" s="22">
        <v>47.797778000000001</v>
      </c>
      <c r="H1423" s="21" t="s">
        <v>2322</v>
      </c>
      <c r="I1423" s="21" t="s">
        <v>2557</v>
      </c>
      <c r="J1423" s="21" t="s">
        <v>2701</v>
      </c>
      <c r="K1423" s="24">
        <v>6</v>
      </c>
      <c r="L1423" s="24">
        <v>36</v>
      </c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>
        <v>5</v>
      </c>
      <c r="Z1423" s="23"/>
      <c r="AA1423" s="23">
        <v>1</v>
      </c>
      <c r="AB1423" s="23"/>
      <c r="AC1423" s="23"/>
      <c r="AD1423" s="23"/>
      <c r="AE1423" s="23"/>
      <c r="AF1423" s="23">
        <v>2</v>
      </c>
      <c r="AG1423" s="23"/>
      <c r="AH1423" s="23"/>
      <c r="AI1423" s="23"/>
      <c r="AJ1423" s="23"/>
      <c r="AK1423" s="23">
        <v>4</v>
      </c>
      <c r="AL1423" s="23"/>
      <c r="AM1423" s="23"/>
      <c r="AN1423" s="23"/>
      <c r="AO1423" s="23"/>
      <c r="AP1423" s="23">
        <v>4</v>
      </c>
      <c r="AQ1423" s="23"/>
      <c r="AR1423" s="23">
        <v>2</v>
      </c>
      <c r="AS1423" s="23"/>
      <c r="AT1423" s="23"/>
      <c r="AU1423" s="14" t="str">
        <f>HYPERLINK("http://www.openstreetmap.org/?mlat=30.4933&amp;mlon=47.7978&amp;zoom=12#map=12/30.4933/47.7978","Maplink1")</f>
        <v>Maplink1</v>
      </c>
      <c r="AV1423" s="14" t="str">
        <f>HYPERLINK("https://www.google.iq/maps/search/+30.4933,47.7978/@30.4933,47.7978,14z?hl=en","Maplink2")</f>
        <v>Maplink2</v>
      </c>
      <c r="AW1423" s="14" t="str">
        <f>HYPERLINK("http://www.bing.com/maps/?lvl=14&amp;sty=h&amp;cp=30.4933~47.7978&amp;sp=point.30.4933_47.7978_Hai al-kafa_at","Maplink3")</f>
        <v>Maplink3</v>
      </c>
    </row>
    <row r="1424" spans="1:49" ht="15" customHeight="1" x14ac:dyDescent="0.25">
      <c r="A1424" s="21">
        <v>933</v>
      </c>
      <c r="B1424" s="22" t="s">
        <v>12</v>
      </c>
      <c r="C1424" s="22" t="s">
        <v>12</v>
      </c>
      <c r="D1424" s="22" t="s">
        <v>7312</v>
      </c>
      <c r="E1424" s="22" t="s">
        <v>2702</v>
      </c>
      <c r="F1424" s="22">
        <v>30.525556000000002</v>
      </c>
      <c r="G1424" s="22">
        <v>47.816943999999999</v>
      </c>
      <c r="H1424" s="21" t="s">
        <v>2322</v>
      </c>
      <c r="I1424" s="21" t="s">
        <v>2557</v>
      </c>
      <c r="J1424" s="21" t="s">
        <v>2703</v>
      </c>
      <c r="K1424" s="24">
        <v>2</v>
      </c>
      <c r="L1424" s="24">
        <v>12</v>
      </c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>
        <v>1</v>
      </c>
      <c r="Z1424" s="23"/>
      <c r="AA1424" s="23">
        <v>1</v>
      </c>
      <c r="AB1424" s="23"/>
      <c r="AC1424" s="23"/>
      <c r="AD1424" s="23"/>
      <c r="AE1424" s="23"/>
      <c r="AF1424" s="23">
        <v>1</v>
      </c>
      <c r="AG1424" s="23"/>
      <c r="AH1424" s="23"/>
      <c r="AI1424" s="23"/>
      <c r="AJ1424" s="23"/>
      <c r="AK1424" s="23">
        <v>1</v>
      </c>
      <c r="AL1424" s="23"/>
      <c r="AM1424" s="23"/>
      <c r="AN1424" s="23"/>
      <c r="AO1424" s="23"/>
      <c r="AP1424" s="23">
        <v>2</v>
      </c>
      <c r="AQ1424" s="23"/>
      <c r="AR1424" s="23"/>
      <c r="AS1424" s="23"/>
      <c r="AT1424" s="23"/>
      <c r="AU1424" s="14" t="str">
        <f>HYPERLINK("http://www.openstreetmap.org/?mlat=30.5256&amp;mlon=47.8169&amp;zoom=12#map=12/30.5256/47.8169","Maplink1")</f>
        <v>Maplink1</v>
      </c>
      <c r="AV1424" s="14" t="str">
        <f>HYPERLINK("https://www.google.iq/maps/search/+30.5256,47.8169/@30.5256,47.8169,14z?hl=en","Maplink2")</f>
        <v>Maplink2</v>
      </c>
      <c r="AW1424" s="14" t="str">
        <f>HYPERLINK("http://www.bing.com/maps/?lvl=14&amp;sty=h&amp;cp=30.5256~47.8169&amp;sp=point.30.5256_47.8169_Hai al-khadhra_a","Maplink3")</f>
        <v>Maplink3</v>
      </c>
    </row>
    <row r="1425" spans="1:49" ht="15" customHeight="1" x14ac:dyDescent="0.25">
      <c r="A1425" s="21">
        <v>852</v>
      </c>
      <c r="B1425" s="22" t="s">
        <v>12</v>
      </c>
      <c r="C1425" s="22" t="s">
        <v>12</v>
      </c>
      <c r="D1425" s="22" t="s">
        <v>2705</v>
      </c>
      <c r="E1425" s="22" t="s">
        <v>7969</v>
      </c>
      <c r="F1425" s="22">
        <v>30.492778000000001</v>
      </c>
      <c r="G1425" s="22">
        <v>47.792777999999998</v>
      </c>
      <c r="H1425" s="21" t="s">
        <v>2322</v>
      </c>
      <c r="I1425" s="21" t="s">
        <v>2557</v>
      </c>
      <c r="J1425" s="21" t="s">
        <v>2706</v>
      </c>
      <c r="K1425" s="24">
        <v>1</v>
      </c>
      <c r="L1425" s="24">
        <v>6</v>
      </c>
      <c r="M1425" s="23">
        <v>1</v>
      </c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>
        <v>1</v>
      </c>
      <c r="AG1425" s="23"/>
      <c r="AH1425" s="23"/>
      <c r="AI1425" s="23"/>
      <c r="AJ1425" s="23"/>
      <c r="AK1425" s="23"/>
      <c r="AL1425" s="23"/>
      <c r="AM1425" s="23"/>
      <c r="AN1425" s="23"/>
      <c r="AO1425" s="23">
        <v>1</v>
      </c>
      <c r="AP1425" s="23"/>
      <c r="AQ1425" s="23"/>
      <c r="AR1425" s="23"/>
      <c r="AS1425" s="23"/>
      <c r="AT1425" s="23"/>
      <c r="AU1425" s="14" t="str">
        <f>HYPERLINK("http://www.openstreetmap.org/?mlat=30.4928&amp;mlon=47.7928&amp;zoom=12#map=12/30.4928/47.7928","Maplink1")</f>
        <v>Maplink1</v>
      </c>
      <c r="AV1425" s="14" t="str">
        <f>HYPERLINK("https://www.google.iq/maps/search/+30.4928,47.7928/@30.4928,47.7928,14z?hl=en","Maplink2")</f>
        <v>Maplink2</v>
      </c>
      <c r="AW1425" s="14" t="str">
        <f>HYPERLINK("http://www.bing.com/maps/?lvl=14&amp;sty=h&amp;cp=30.4928~47.7928&amp;sp=point.30.4928_47.7928_Hai al-khaleej-3","Maplink3")</f>
        <v>Maplink3</v>
      </c>
    </row>
    <row r="1426" spans="1:49" ht="15" customHeight="1" x14ac:dyDescent="0.25">
      <c r="A1426" s="21">
        <v>602</v>
      </c>
      <c r="B1426" s="22" t="s">
        <v>12</v>
      </c>
      <c r="C1426" s="22" t="s">
        <v>12</v>
      </c>
      <c r="D1426" s="22" t="s">
        <v>2707</v>
      </c>
      <c r="E1426" s="22" t="s">
        <v>7970</v>
      </c>
      <c r="F1426" s="22">
        <v>30.463056000000002</v>
      </c>
      <c r="G1426" s="22">
        <v>47.808889000000001</v>
      </c>
      <c r="H1426" s="21" t="s">
        <v>2322</v>
      </c>
      <c r="I1426" s="21" t="s">
        <v>2557</v>
      </c>
      <c r="J1426" s="21" t="s">
        <v>2708</v>
      </c>
      <c r="K1426" s="24">
        <v>61</v>
      </c>
      <c r="L1426" s="24">
        <v>366</v>
      </c>
      <c r="M1426" s="23">
        <v>10</v>
      </c>
      <c r="N1426" s="23">
        <v>1</v>
      </c>
      <c r="O1426" s="23">
        <v>2</v>
      </c>
      <c r="P1426" s="23"/>
      <c r="Q1426" s="23"/>
      <c r="R1426" s="23">
        <v>2</v>
      </c>
      <c r="S1426" s="23"/>
      <c r="T1426" s="23"/>
      <c r="U1426" s="23"/>
      <c r="V1426" s="23"/>
      <c r="W1426" s="23"/>
      <c r="X1426" s="23"/>
      <c r="Y1426" s="23">
        <v>36</v>
      </c>
      <c r="Z1426" s="23"/>
      <c r="AA1426" s="23">
        <v>10</v>
      </c>
      <c r="AB1426" s="23"/>
      <c r="AC1426" s="23"/>
      <c r="AD1426" s="23"/>
      <c r="AE1426" s="23"/>
      <c r="AF1426" s="23">
        <v>11</v>
      </c>
      <c r="AG1426" s="23"/>
      <c r="AH1426" s="23">
        <v>5</v>
      </c>
      <c r="AI1426" s="23"/>
      <c r="AJ1426" s="23"/>
      <c r="AK1426" s="23">
        <v>45</v>
      </c>
      <c r="AL1426" s="23"/>
      <c r="AM1426" s="23"/>
      <c r="AN1426" s="23"/>
      <c r="AO1426" s="23">
        <v>3</v>
      </c>
      <c r="AP1426" s="23">
        <v>46</v>
      </c>
      <c r="AQ1426" s="23">
        <v>1</v>
      </c>
      <c r="AR1426" s="23">
        <v>11</v>
      </c>
      <c r="AS1426" s="23"/>
      <c r="AT1426" s="23"/>
      <c r="AU1426" s="14" t="str">
        <f>HYPERLINK("http://www.openstreetmap.org/?mlat=30.4631&amp;mlon=47.8089&amp;zoom=12#map=12/30.4631/47.8089","Maplink1")</f>
        <v>Maplink1</v>
      </c>
      <c r="AV1426" s="14" t="str">
        <f>HYPERLINK("https://www.google.iq/maps/search/+30.4631,47.8089/@30.4631,47.8089,14z?hl=en","Maplink2")</f>
        <v>Maplink2</v>
      </c>
      <c r="AW1426" s="14" t="str">
        <f>HYPERLINK("http://www.bing.com/maps/?lvl=14&amp;sty=h&amp;cp=30.4631~47.8089&amp;sp=point.30.4631_47.8089_Hai al-mohandesin","Maplink3")</f>
        <v>Maplink3</v>
      </c>
    </row>
    <row r="1427" spans="1:49" ht="15" customHeight="1" x14ac:dyDescent="0.25">
      <c r="A1427" s="21">
        <v>874</v>
      </c>
      <c r="B1427" s="22" t="s">
        <v>12</v>
      </c>
      <c r="C1427" s="22" t="s">
        <v>12</v>
      </c>
      <c r="D1427" s="22" t="s">
        <v>2709</v>
      </c>
      <c r="E1427" s="22" t="s">
        <v>7971</v>
      </c>
      <c r="F1427" s="22">
        <v>30.499721999999998</v>
      </c>
      <c r="G1427" s="22">
        <v>47.810555999999998</v>
      </c>
      <c r="H1427" s="21" t="s">
        <v>2322</v>
      </c>
      <c r="I1427" s="21" t="s">
        <v>2557</v>
      </c>
      <c r="J1427" s="21" t="s">
        <v>2710</v>
      </c>
      <c r="K1427" s="24">
        <v>1</v>
      </c>
      <c r="L1427" s="24">
        <v>6</v>
      </c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>
        <v>1</v>
      </c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>
        <v>1</v>
      </c>
      <c r="AL1427" s="23"/>
      <c r="AM1427" s="23"/>
      <c r="AN1427" s="23"/>
      <c r="AO1427" s="23"/>
      <c r="AP1427" s="23">
        <v>1</v>
      </c>
      <c r="AQ1427" s="23"/>
      <c r="AR1427" s="23"/>
      <c r="AS1427" s="23"/>
      <c r="AT1427" s="23"/>
      <c r="AU1427" s="14" t="str">
        <f>HYPERLINK("http://www.openstreetmap.org/?mlat=30.4997&amp;mlon=47.8106&amp;zoom=12#map=12/30.4997/47.8106","Maplink1")</f>
        <v>Maplink1</v>
      </c>
      <c r="AV1427" s="14" t="str">
        <f>HYPERLINK("https://www.google.iq/maps/search/+30.4997,47.8106/@30.4997,47.8106,14z?hl=en","Maplink2")</f>
        <v>Maplink2</v>
      </c>
      <c r="AW1427" s="14" t="str">
        <f>HYPERLINK("http://www.bing.com/maps/?lvl=14&amp;sty=h&amp;cp=30.4997~47.8106&amp;sp=point.30.4997_47.8106_Hai al-mu_alemin","Maplink3")</f>
        <v>Maplink3</v>
      </c>
    </row>
    <row r="1428" spans="1:49" ht="15" customHeight="1" x14ac:dyDescent="0.25">
      <c r="A1428" s="21">
        <v>937</v>
      </c>
      <c r="B1428" s="22" t="s">
        <v>12</v>
      </c>
      <c r="C1428" s="22" t="s">
        <v>12</v>
      </c>
      <c r="D1428" s="22" t="s">
        <v>2711</v>
      </c>
      <c r="E1428" s="22" t="s">
        <v>7972</v>
      </c>
      <c r="F1428" s="22">
        <v>30.527778000000001</v>
      </c>
      <c r="G1428" s="22">
        <v>47.814722000000003</v>
      </c>
      <c r="H1428" s="21" t="s">
        <v>2322</v>
      </c>
      <c r="I1428" s="21" t="s">
        <v>2557</v>
      </c>
      <c r="J1428" s="21" t="s">
        <v>2712</v>
      </c>
      <c r="K1428" s="24">
        <v>2</v>
      </c>
      <c r="L1428" s="24">
        <v>12</v>
      </c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>
        <v>2</v>
      </c>
      <c r="AB1428" s="23"/>
      <c r="AC1428" s="23"/>
      <c r="AD1428" s="23"/>
      <c r="AE1428" s="23"/>
      <c r="AF1428" s="23">
        <v>1</v>
      </c>
      <c r="AG1428" s="23"/>
      <c r="AH1428" s="23"/>
      <c r="AI1428" s="23"/>
      <c r="AJ1428" s="23"/>
      <c r="AK1428" s="23">
        <v>1</v>
      </c>
      <c r="AL1428" s="23"/>
      <c r="AM1428" s="23"/>
      <c r="AN1428" s="23"/>
      <c r="AO1428" s="23"/>
      <c r="AP1428" s="23">
        <v>2</v>
      </c>
      <c r="AQ1428" s="23"/>
      <c r="AR1428" s="23"/>
      <c r="AS1428" s="23"/>
      <c r="AT1428" s="23"/>
      <c r="AU1428" s="14" t="str">
        <f>HYPERLINK("http://www.openstreetmap.org/?mlat=30.5278&amp;mlon=47.8147&amp;zoom=12#map=12/30.5278/47.8147","Maplink1")</f>
        <v>Maplink1</v>
      </c>
      <c r="AV1428" s="14" t="str">
        <f>HYPERLINK("https://www.google.iq/maps/search/+30.5278,47.8147/@30.5278,47.8147,14z?hl=en","Maplink2")</f>
        <v>Maplink2</v>
      </c>
      <c r="AW1428" s="14" t="str">
        <f>HYPERLINK("http://www.bing.com/maps/?lvl=14&amp;sty=h&amp;cp=30.5278~47.8147&amp;sp=point.30.5278_47.8147_Hai az-zahra_a","Maplink3")</f>
        <v>Maplink3</v>
      </c>
    </row>
    <row r="1429" spans="1:49" ht="15" customHeight="1" x14ac:dyDescent="0.25">
      <c r="A1429" s="21">
        <v>21099</v>
      </c>
      <c r="B1429" s="22" t="s">
        <v>12</v>
      </c>
      <c r="C1429" s="22" t="s">
        <v>12</v>
      </c>
      <c r="D1429" s="22" t="s">
        <v>2713</v>
      </c>
      <c r="E1429" s="22" t="s">
        <v>2714</v>
      </c>
      <c r="F1429" s="22">
        <v>30.482222220000001</v>
      </c>
      <c r="G1429" s="22">
        <v>47.785277780000001</v>
      </c>
      <c r="H1429" s="21" t="s">
        <v>2322</v>
      </c>
      <c r="I1429" s="21" t="s">
        <v>2557</v>
      </c>
      <c r="J1429" s="21" t="s">
        <v>2715</v>
      </c>
      <c r="K1429" s="24">
        <v>5</v>
      </c>
      <c r="L1429" s="24">
        <v>30</v>
      </c>
      <c r="M1429" s="23">
        <v>1</v>
      </c>
      <c r="N1429" s="23"/>
      <c r="O1429" s="23"/>
      <c r="P1429" s="23"/>
      <c r="Q1429" s="23"/>
      <c r="R1429" s="23"/>
      <c r="S1429" s="23"/>
      <c r="T1429" s="23"/>
      <c r="U1429" s="23">
        <v>3</v>
      </c>
      <c r="V1429" s="23"/>
      <c r="W1429" s="23"/>
      <c r="X1429" s="23"/>
      <c r="Y1429" s="23"/>
      <c r="Z1429" s="23"/>
      <c r="AA1429" s="23">
        <v>1</v>
      </c>
      <c r="AB1429" s="23"/>
      <c r="AC1429" s="23"/>
      <c r="AD1429" s="23"/>
      <c r="AE1429" s="23"/>
      <c r="AF1429" s="23">
        <v>3</v>
      </c>
      <c r="AG1429" s="23"/>
      <c r="AH1429" s="23"/>
      <c r="AI1429" s="23"/>
      <c r="AJ1429" s="23"/>
      <c r="AK1429" s="23">
        <v>2</v>
      </c>
      <c r="AL1429" s="23"/>
      <c r="AM1429" s="23"/>
      <c r="AN1429" s="23"/>
      <c r="AO1429" s="23"/>
      <c r="AP1429" s="23">
        <v>2</v>
      </c>
      <c r="AQ1429" s="23">
        <v>2</v>
      </c>
      <c r="AR1429" s="23">
        <v>1</v>
      </c>
      <c r="AS1429" s="23"/>
      <c r="AT1429" s="23"/>
      <c r="AU1429" s="14" t="str">
        <f>HYPERLINK("http://www.openstreetmap.org/?mlat=30.4822&amp;mlon=47.7853&amp;zoom=12#map=12/30.4822/47.7853","Maplink1")</f>
        <v>Maplink1</v>
      </c>
      <c r="AV1429" s="14" t="str">
        <f>HYPERLINK("https://www.google.iq/maps/search/+30.4822,47.7853/@30.4822,47.7853,14z?hl=en","Maplink2")</f>
        <v>Maplink2</v>
      </c>
      <c r="AW1429" s="14" t="str">
        <f>HYPERLINK("http://www.bing.com/maps/?lvl=14&amp;sty=h&amp;cp=30.4822~47.7853&amp;sp=point.30.4822_47.7853_Hay Al Hussain 4","Maplink3")</f>
        <v>Maplink3</v>
      </c>
    </row>
    <row r="1430" spans="1:49" ht="15" customHeight="1" x14ac:dyDescent="0.25">
      <c r="A1430" s="21">
        <v>23897</v>
      </c>
      <c r="B1430" s="22" t="s">
        <v>12</v>
      </c>
      <c r="C1430" s="22" t="s">
        <v>12</v>
      </c>
      <c r="D1430" s="22" t="s">
        <v>2716</v>
      </c>
      <c r="E1430" s="22" t="s">
        <v>7973</v>
      </c>
      <c r="F1430" s="22">
        <v>30.482700000000001</v>
      </c>
      <c r="G1430" s="22">
        <v>47.822499999999998</v>
      </c>
      <c r="H1430" s="21" t="s">
        <v>2322</v>
      </c>
      <c r="I1430" s="21" t="s">
        <v>2557</v>
      </c>
      <c r="J1430" s="21" t="s">
        <v>2717</v>
      </c>
      <c r="K1430" s="24">
        <v>7</v>
      </c>
      <c r="L1430" s="24">
        <v>42</v>
      </c>
      <c r="M1430" s="23">
        <v>7</v>
      </c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>
        <v>5</v>
      </c>
      <c r="AI1430" s="23"/>
      <c r="AJ1430" s="23"/>
      <c r="AK1430" s="23">
        <v>2</v>
      </c>
      <c r="AL1430" s="23"/>
      <c r="AM1430" s="23"/>
      <c r="AN1430" s="23"/>
      <c r="AO1430" s="23">
        <v>1</v>
      </c>
      <c r="AP1430" s="23">
        <v>6</v>
      </c>
      <c r="AQ1430" s="23"/>
      <c r="AR1430" s="23"/>
      <c r="AS1430" s="23"/>
      <c r="AT1430" s="23"/>
      <c r="AU1430" s="14" t="str">
        <f>HYPERLINK("http://www.openstreetmap.org/?mlat=30.4827&amp;mlon=47.8225&amp;zoom=12#map=12/30.4827/47.8225","Maplink1")</f>
        <v>Maplink1</v>
      </c>
      <c r="AV1430" s="14" t="str">
        <f>HYPERLINK("https://www.google.iq/maps/search/+30.4827,47.8225/@30.4827,47.8225,14z?hl=en","Maplink2")</f>
        <v>Maplink2</v>
      </c>
      <c r="AW1430" s="14" t="str">
        <f>HYPERLINK("http://www.bing.com/maps/?lvl=14&amp;sty=h&amp;cp=30.4827~47.8225&amp;sp=point.30.4827_47.8225_Hay AL Hussainyia","Maplink3")</f>
        <v>Maplink3</v>
      </c>
    </row>
    <row r="1431" spans="1:49" ht="15" customHeight="1" x14ac:dyDescent="0.25">
      <c r="A1431" s="21">
        <v>24126</v>
      </c>
      <c r="B1431" s="22" t="s">
        <v>12</v>
      </c>
      <c r="C1431" s="22" t="s">
        <v>12</v>
      </c>
      <c r="D1431" s="22" t="s">
        <v>2718</v>
      </c>
      <c r="E1431" s="22" t="s">
        <v>7974</v>
      </c>
      <c r="F1431" s="22">
        <v>30.4742</v>
      </c>
      <c r="G1431" s="22">
        <v>47.802300000000002</v>
      </c>
      <c r="H1431" s="21" t="s">
        <v>2322</v>
      </c>
      <c r="I1431" s="21" t="s">
        <v>2557</v>
      </c>
      <c r="J1431" s="21" t="s">
        <v>2719</v>
      </c>
      <c r="K1431" s="24">
        <v>16</v>
      </c>
      <c r="L1431" s="24">
        <v>96</v>
      </c>
      <c r="M1431" s="23">
        <v>2</v>
      </c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10</v>
      </c>
      <c r="Z1431" s="23"/>
      <c r="AA1431" s="23">
        <v>4</v>
      </c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>
        <v>16</v>
      </c>
      <c r="AL1431" s="23"/>
      <c r="AM1431" s="23"/>
      <c r="AN1431" s="23"/>
      <c r="AO1431" s="23">
        <v>5</v>
      </c>
      <c r="AP1431" s="23">
        <v>1</v>
      </c>
      <c r="AQ1431" s="23">
        <v>1</v>
      </c>
      <c r="AR1431" s="23">
        <v>8</v>
      </c>
      <c r="AS1431" s="23">
        <v>1</v>
      </c>
      <c r="AT1431" s="23"/>
      <c r="AU1431" s="14" t="str">
        <f>HYPERLINK("http://www.openstreetmap.org/?mlat=30.4742&amp;mlon=47.8023&amp;zoom=12#map=12/30.4742/47.8023","Maplink1")</f>
        <v>Maplink1</v>
      </c>
      <c r="AV1431" s="14" t="str">
        <f>HYPERLINK("https://www.google.iq/maps/search/+30.4742,47.8023/@30.4742,47.8023,14z?hl=en","Maplink2")</f>
        <v>Maplink2</v>
      </c>
      <c r="AW1431" s="14" t="str">
        <f>HYPERLINK("http://www.bing.com/maps/?lvl=14&amp;sty=h&amp;cp=30.4742~47.8023&amp;sp=point.30.4742_47.8023_Hay Al Jamiah","Maplink3")</f>
        <v>Maplink3</v>
      </c>
    </row>
    <row r="1432" spans="1:49" ht="15" customHeight="1" x14ac:dyDescent="0.25">
      <c r="A1432" s="21">
        <v>21096</v>
      </c>
      <c r="B1432" s="22" t="s">
        <v>12</v>
      </c>
      <c r="C1432" s="22" t="s">
        <v>12</v>
      </c>
      <c r="D1432" s="22" t="s">
        <v>2720</v>
      </c>
      <c r="E1432" s="22" t="s">
        <v>2721</v>
      </c>
      <c r="F1432" s="22">
        <v>30.4772</v>
      </c>
      <c r="G1432" s="22">
        <v>47.817399999999999</v>
      </c>
      <c r="H1432" s="21" t="s">
        <v>2322</v>
      </c>
      <c r="I1432" s="21" t="s">
        <v>2557</v>
      </c>
      <c r="J1432" s="21" t="s">
        <v>2722</v>
      </c>
      <c r="K1432" s="24">
        <v>4</v>
      </c>
      <c r="L1432" s="24">
        <v>24</v>
      </c>
      <c r="M1432" s="23">
        <v>2</v>
      </c>
      <c r="N1432" s="23"/>
      <c r="O1432" s="23"/>
      <c r="P1432" s="23"/>
      <c r="Q1432" s="23"/>
      <c r="R1432" s="23"/>
      <c r="S1432" s="23"/>
      <c r="T1432" s="23"/>
      <c r="U1432" s="23">
        <v>1</v>
      </c>
      <c r="V1432" s="23"/>
      <c r="W1432" s="23"/>
      <c r="X1432" s="23"/>
      <c r="Y1432" s="23">
        <v>1</v>
      </c>
      <c r="Z1432" s="23"/>
      <c r="AA1432" s="23"/>
      <c r="AB1432" s="23"/>
      <c r="AC1432" s="23"/>
      <c r="AD1432" s="23"/>
      <c r="AE1432" s="23"/>
      <c r="AF1432" s="23">
        <v>1</v>
      </c>
      <c r="AG1432" s="23"/>
      <c r="AH1432" s="23">
        <v>2</v>
      </c>
      <c r="AI1432" s="23"/>
      <c r="AJ1432" s="23"/>
      <c r="AK1432" s="23">
        <v>1</v>
      </c>
      <c r="AL1432" s="23"/>
      <c r="AM1432" s="23"/>
      <c r="AN1432" s="23"/>
      <c r="AO1432" s="23">
        <v>2</v>
      </c>
      <c r="AP1432" s="23"/>
      <c r="AQ1432" s="23">
        <v>2</v>
      </c>
      <c r="AR1432" s="23"/>
      <c r="AS1432" s="23"/>
      <c r="AT1432" s="23"/>
      <c r="AU1432" s="14" t="str">
        <f>HYPERLINK("http://www.openstreetmap.org/?mlat=30.4772&amp;mlon=47.8174&amp;zoom=12#map=12/30.4772/47.8174","Maplink1")</f>
        <v>Maplink1</v>
      </c>
      <c r="AV1432" s="14" t="str">
        <f>HYPERLINK("https://www.google.iq/maps/search/+30.4772,47.8174/@30.4772,47.8174,14z?hl=en","Maplink2")</f>
        <v>Maplink2</v>
      </c>
      <c r="AW1432" s="14" t="str">
        <f>HYPERLINK("http://www.bing.com/maps/?lvl=14&amp;sty=h&amp;cp=30.4772~47.8174&amp;sp=point.30.4772_47.8174_Hay Al Qaim 2","Maplink3")</f>
        <v>Maplink3</v>
      </c>
    </row>
    <row r="1433" spans="1:49" ht="15" customHeight="1" x14ac:dyDescent="0.25">
      <c r="A1433" s="21">
        <v>22095</v>
      </c>
      <c r="B1433" s="22" t="s">
        <v>12</v>
      </c>
      <c r="C1433" s="22" t="s">
        <v>12</v>
      </c>
      <c r="D1433" s="22" t="s">
        <v>2723</v>
      </c>
      <c r="E1433" s="22" t="s">
        <v>7975</v>
      </c>
      <c r="F1433" s="22">
        <v>30.477789000000001</v>
      </c>
      <c r="G1433" s="22">
        <v>47.817383999999997</v>
      </c>
      <c r="H1433" s="21" t="s">
        <v>2322</v>
      </c>
      <c r="I1433" s="21" t="s">
        <v>2557</v>
      </c>
      <c r="J1433" s="21" t="s">
        <v>2724</v>
      </c>
      <c r="K1433" s="24">
        <v>3</v>
      </c>
      <c r="L1433" s="24">
        <v>18</v>
      </c>
      <c r="M1433" s="23"/>
      <c r="N1433" s="23"/>
      <c r="O1433" s="23">
        <v>1</v>
      </c>
      <c r="P1433" s="23"/>
      <c r="Q1433" s="23"/>
      <c r="R1433" s="23">
        <v>1</v>
      </c>
      <c r="S1433" s="23"/>
      <c r="T1433" s="23"/>
      <c r="U1433" s="23">
        <v>1</v>
      </c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>
        <v>2</v>
      </c>
      <c r="AG1433" s="23"/>
      <c r="AH1433" s="23">
        <v>1</v>
      </c>
      <c r="AI1433" s="23"/>
      <c r="AJ1433" s="23"/>
      <c r="AK1433" s="23"/>
      <c r="AL1433" s="23"/>
      <c r="AM1433" s="23"/>
      <c r="AN1433" s="23"/>
      <c r="AO1433" s="23">
        <v>1</v>
      </c>
      <c r="AP1433" s="23"/>
      <c r="AQ1433" s="23">
        <v>2</v>
      </c>
      <c r="AR1433" s="23"/>
      <c r="AS1433" s="23"/>
      <c r="AT1433" s="23"/>
      <c r="AU1433" s="14" t="str">
        <f>HYPERLINK("http://www.openstreetmap.org/?mlat=30.4778&amp;mlon=47.8174&amp;zoom=12#map=12/30.4778/47.8174","Maplink1")</f>
        <v>Maplink1</v>
      </c>
      <c r="AV1433" s="14" t="str">
        <f>HYPERLINK("https://www.google.iq/maps/search/+30.4778,47.8174/@30.4778,47.8174,14z?hl=en","Maplink2")</f>
        <v>Maplink2</v>
      </c>
      <c r="AW1433" s="14" t="str">
        <f>HYPERLINK("http://www.bing.com/maps/?lvl=14&amp;sty=h&amp;cp=30.4778~47.8174&amp;sp=point.30.4778_47.8174_Hay Al Rasheed","Maplink3")</f>
        <v>Maplink3</v>
      </c>
    </row>
    <row r="1434" spans="1:49" ht="15" customHeight="1" x14ac:dyDescent="0.25">
      <c r="A1434" s="21">
        <v>860</v>
      </c>
      <c r="B1434" s="22" t="s">
        <v>12</v>
      </c>
      <c r="C1434" s="22" t="s">
        <v>12</v>
      </c>
      <c r="D1434" s="22" t="s">
        <v>2725</v>
      </c>
      <c r="E1434" s="22" t="s">
        <v>7976</v>
      </c>
      <c r="F1434" s="22">
        <v>30.495418000000001</v>
      </c>
      <c r="G1434" s="22">
        <v>47.800798</v>
      </c>
      <c r="H1434" s="21" t="s">
        <v>2322</v>
      </c>
      <c r="I1434" s="21" t="s">
        <v>2557</v>
      </c>
      <c r="J1434" s="21" t="s">
        <v>2726</v>
      </c>
      <c r="K1434" s="24">
        <v>20</v>
      </c>
      <c r="L1434" s="24">
        <v>120</v>
      </c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>
        <v>17</v>
      </c>
      <c r="Z1434" s="23"/>
      <c r="AA1434" s="23">
        <v>3</v>
      </c>
      <c r="AB1434" s="23"/>
      <c r="AC1434" s="23"/>
      <c r="AD1434" s="23"/>
      <c r="AE1434" s="23"/>
      <c r="AF1434" s="23">
        <v>2</v>
      </c>
      <c r="AG1434" s="23"/>
      <c r="AH1434" s="23">
        <v>11</v>
      </c>
      <c r="AI1434" s="23"/>
      <c r="AJ1434" s="23"/>
      <c r="AK1434" s="23">
        <v>7</v>
      </c>
      <c r="AL1434" s="23"/>
      <c r="AM1434" s="23"/>
      <c r="AN1434" s="23"/>
      <c r="AO1434" s="23">
        <v>2</v>
      </c>
      <c r="AP1434" s="23">
        <v>13</v>
      </c>
      <c r="AQ1434" s="23"/>
      <c r="AR1434" s="23">
        <v>5</v>
      </c>
      <c r="AS1434" s="23"/>
      <c r="AT1434" s="23"/>
      <c r="AU1434" s="14" t="str">
        <f>HYPERLINK("http://www.openstreetmap.org/?mlat=30.4954&amp;mlon=47.8008&amp;zoom=12#map=12/30.4954/47.8008","Maplink1")</f>
        <v>Maplink1</v>
      </c>
      <c r="AV1434" s="14" t="str">
        <f>HYPERLINK("https://www.google.iq/maps/search/+30.4954,47.8008/@30.4954,47.8008,14z?hl=en","Maplink2")</f>
        <v>Maplink2</v>
      </c>
      <c r="AW1434" s="14" t="str">
        <f>HYPERLINK("http://www.bing.com/maps/?lvl=14&amp;sty=h&amp;cp=30.4954~47.8008&amp;sp=point.30.4954_47.8008_Hay Al Risalah","Maplink3")</f>
        <v>Maplink3</v>
      </c>
    </row>
    <row r="1435" spans="1:49" ht="15" customHeight="1" x14ac:dyDescent="0.25">
      <c r="A1435" s="21">
        <v>24479</v>
      </c>
      <c r="B1435" s="22" t="s">
        <v>12</v>
      </c>
      <c r="C1435" s="22" t="s">
        <v>12</v>
      </c>
      <c r="D1435" s="22" t="s">
        <v>128</v>
      </c>
      <c r="E1435" s="22" t="s">
        <v>7977</v>
      </c>
      <c r="F1435" s="22">
        <v>30.4483</v>
      </c>
      <c r="G1435" s="22">
        <v>47.812100000000001</v>
      </c>
      <c r="H1435" s="21" t="s">
        <v>2322</v>
      </c>
      <c r="I1435" s="21" t="s">
        <v>2557</v>
      </c>
      <c r="J1435" s="21"/>
      <c r="K1435" s="24">
        <v>8</v>
      </c>
      <c r="L1435" s="24">
        <v>48</v>
      </c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>
        <v>6</v>
      </c>
      <c r="Z1435" s="23"/>
      <c r="AA1435" s="23">
        <v>2</v>
      </c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>
        <v>8</v>
      </c>
      <c r="AL1435" s="23"/>
      <c r="AM1435" s="23"/>
      <c r="AN1435" s="23"/>
      <c r="AO1435" s="23">
        <v>4</v>
      </c>
      <c r="AP1435" s="23">
        <v>1</v>
      </c>
      <c r="AQ1435" s="23"/>
      <c r="AR1435" s="23">
        <v>2</v>
      </c>
      <c r="AS1435" s="23"/>
      <c r="AT1435" s="23">
        <v>1</v>
      </c>
      <c r="AU1435" s="14" t="str">
        <f>HYPERLINK("http://www.openstreetmap.org/?mlat=30.4483&amp;mlon=47.8121&amp;zoom=12#map=12/30.4483/47.8121","Maplink1")</f>
        <v>Maplink1</v>
      </c>
      <c r="AV1435" s="14" t="str">
        <f>HYPERLINK("https://www.google.iq/maps/search/+30.4483,47.8121/@30.4483,47.8121,14z?hl=en","Maplink2")</f>
        <v>Maplink2</v>
      </c>
      <c r="AW1435" s="14" t="str">
        <f>HYPERLINK("http://www.bing.com/maps/?lvl=14&amp;sty=h&amp;cp=30.4483~47.8121&amp;sp=point.30.4483_47.8121_Hay Al Shuhadaa","Maplink3")</f>
        <v>Maplink3</v>
      </c>
    </row>
    <row r="1436" spans="1:49" ht="15" customHeight="1" x14ac:dyDescent="0.25">
      <c r="A1436" s="21">
        <v>24482</v>
      </c>
      <c r="B1436" s="22" t="s">
        <v>12</v>
      </c>
      <c r="C1436" s="22" t="s">
        <v>12</v>
      </c>
      <c r="D1436" s="22" t="s">
        <v>2727</v>
      </c>
      <c r="E1436" s="22" t="s">
        <v>2728</v>
      </c>
      <c r="F1436" s="22">
        <v>30.498899999999999</v>
      </c>
      <c r="G1436" s="22">
        <v>47.7742</v>
      </c>
      <c r="H1436" s="21" t="s">
        <v>2322</v>
      </c>
      <c r="I1436" s="21" t="s">
        <v>2557</v>
      </c>
      <c r="J1436" s="21"/>
      <c r="K1436" s="24">
        <v>5</v>
      </c>
      <c r="L1436" s="24">
        <v>30</v>
      </c>
      <c r="M1436" s="23">
        <v>1</v>
      </c>
      <c r="N1436" s="23"/>
      <c r="O1436" s="23"/>
      <c r="P1436" s="23"/>
      <c r="Q1436" s="23"/>
      <c r="R1436" s="23"/>
      <c r="S1436" s="23"/>
      <c r="T1436" s="23"/>
      <c r="U1436" s="23">
        <v>3</v>
      </c>
      <c r="V1436" s="23"/>
      <c r="W1436" s="23"/>
      <c r="X1436" s="23"/>
      <c r="Y1436" s="23">
        <v>1</v>
      </c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>
        <v>1</v>
      </c>
      <c r="AK1436" s="23">
        <v>4</v>
      </c>
      <c r="AL1436" s="23"/>
      <c r="AM1436" s="23"/>
      <c r="AN1436" s="23"/>
      <c r="AO1436" s="23"/>
      <c r="AP1436" s="23">
        <v>5</v>
      </c>
      <c r="AQ1436" s="23"/>
      <c r="AR1436" s="23"/>
      <c r="AS1436" s="23"/>
      <c r="AT1436" s="23"/>
      <c r="AU1436" s="14" t="str">
        <f>HYPERLINK("http://www.openstreetmap.org/?mlat=30.4989&amp;mlon=47.7742&amp;zoom=12#map=12/30.4989/47.7742","Maplink1")</f>
        <v>Maplink1</v>
      </c>
      <c r="AV1436" s="14" t="str">
        <f>HYPERLINK("https://www.google.iq/maps/search/+30.4989,47.7742/@30.4989,47.7742,14z?hl=en","Maplink2")</f>
        <v>Maplink2</v>
      </c>
      <c r="AW1436" s="14" t="str">
        <f>HYPERLINK("http://www.bing.com/maps/?lvl=14&amp;sty=h&amp;cp=30.4989~47.7742&amp;sp=point.30.4989_47.7742_Hay Al Tamim","Maplink3")</f>
        <v>Maplink3</v>
      </c>
    </row>
    <row r="1437" spans="1:49" ht="15" customHeight="1" x14ac:dyDescent="0.25">
      <c r="A1437" s="21">
        <v>24595</v>
      </c>
      <c r="B1437" s="22" t="s">
        <v>12</v>
      </c>
      <c r="C1437" s="22" t="s">
        <v>12</v>
      </c>
      <c r="D1437" s="22" t="s">
        <v>2729</v>
      </c>
      <c r="E1437" s="22" t="s">
        <v>2260</v>
      </c>
      <c r="F1437" s="22">
        <v>30.4756</v>
      </c>
      <c r="G1437" s="22">
        <v>47.8264</v>
      </c>
      <c r="H1437" s="21" t="s">
        <v>2322</v>
      </c>
      <c r="I1437" s="21" t="s">
        <v>2557</v>
      </c>
      <c r="J1437" s="21"/>
      <c r="K1437" s="24">
        <v>2</v>
      </c>
      <c r="L1437" s="24">
        <v>12</v>
      </c>
      <c r="M1437" s="23">
        <v>1</v>
      </c>
      <c r="N1437" s="23"/>
      <c r="O1437" s="23"/>
      <c r="P1437" s="23"/>
      <c r="Q1437" s="23"/>
      <c r="R1437" s="23">
        <v>1</v>
      </c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>
        <v>1</v>
      </c>
      <c r="AI1437" s="23"/>
      <c r="AJ1437" s="23"/>
      <c r="AK1437" s="23">
        <v>1</v>
      </c>
      <c r="AL1437" s="23"/>
      <c r="AM1437" s="23"/>
      <c r="AN1437" s="23"/>
      <c r="AO1437" s="23"/>
      <c r="AP1437" s="23">
        <v>1</v>
      </c>
      <c r="AQ1437" s="23"/>
      <c r="AR1437" s="23"/>
      <c r="AS1437" s="23">
        <v>1</v>
      </c>
      <c r="AT1437" s="23"/>
      <c r="AU1437" s="14" t="str">
        <f>HYPERLINK("http://www.openstreetmap.org/?mlat=30.4756&amp;mlon=47.8264&amp;zoom=12#map=12/30.4756/47.8264","Maplink1")</f>
        <v>Maplink1</v>
      </c>
      <c r="AV1437" s="14" t="str">
        <f>HYPERLINK("https://www.google.iq/maps/search/+30.4756,47.8264/@30.4756,47.8264,14z?hl=en","Maplink2")</f>
        <v>Maplink2</v>
      </c>
      <c r="AW1437" s="14" t="str">
        <f>HYPERLINK("http://www.bing.com/maps/?lvl=14&amp;sty=h&amp;cp=30.4756~47.8264&amp;sp=point.30.4756_47.8264_Hay Al Zaiton","Maplink3")</f>
        <v>Maplink3</v>
      </c>
    </row>
    <row r="1438" spans="1:49" ht="15" customHeight="1" x14ac:dyDescent="0.25">
      <c r="A1438" s="21">
        <v>1272</v>
      </c>
      <c r="B1438" s="22" t="s">
        <v>12</v>
      </c>
      <c r="C1438" s="22" t="s">
        <v>12</v>
      </c>
      <c r="D1438" s="22" t="s">
        <v>2730</v>
      </c>
      <c r="E1438" s="22" t="s">
        <v>2731</v>
      </c>
      <c r="F1438" s="22">
        <v>30.524999999999999</v>
      </c>
      <c r="G1438" s="22">
        <v>47.777700000000003</v>
      </c>
      <c r="H1438" s="21" t="s">
        <v>2322</v>
      </c>
      <c r="I1438" s="21" t="s">
        <v>2557</v>
      </c>
      <c r="J1438" s="21" t="s">
        <v>2732</v>
      </c>
      <c r="K1438" s="24">
        <v>11</v>
      </c>
      <c r="L1438" s="24">
        <v>66</v>
      </c>
      <c r="M1438" s="23">
        <v>1</v>
      </c>
      <c r="N1438" s="23"/>
      <c r="O1438" s="23"/>
      <c r="P1438" s="23"/>
      <c r="Q1438" s="23"/>
      <c r="R1438" s="23"/>
      <c r="S1438" s="23"/>
      <c r="T1438" s="23"/>
      <c r="U1438" s="23">
        <v>4</v>
      </c>
      <c r="V1438" s="23"/>
      <c r="W1438" s="23"/>
      <c r="X1438" s="23"/>
      <c r="Y1438" s="23">
        <v>6</v>
      </c>
      <c r="Z1438" s="23"/>
      <c r="AA1438" s="23"/>
      <c r="AB1438" s="23"/>
      <c r="AC1438" s="23"/>
      <c r="AD1438" s="23"/>
      <c r="AE1438" s="23"/>
      <c r="AF1438" s="23">
        <v>1</v>
      </c>
      <c r="AG1438" s="23"/>
      <c r="AH1438" s="23">
        <v>2</v>
      </c>
      <c r="AI1438" s="23"/>
      <c r="AJ1438" s="23"/>
      <c r="AK1438" s="23">
        <v>8</v>
      </c>
      <c r="AL1438" s="23"/>
      <c r="AM1438" s="23"/>
      <c r="AN1438" s="23"/>
      <c r="AO1438" s="23">
        <v>5</v>
      </c>
      <c r="AP1438" s="23">
        <v>1</v>
      </c>
      <c r="AQ1438" s="23">
        <v>4</v>
      </c>
      <c r="AR1438" s="23"/>
      <c r="AS1438" s="23">
        <v>1</v>
      </c>
      <c r="AT1438" s="23"/>
      <c r="AU1438" s="14" t="str">
        <f>HYPERLINK("http://www.openstreetmap.org/?mlat=30.525&amp;mlon=47.7777&amp;zoom=12#map=12/30.525/47.7777","Maplink1")</f>
        <v>Maplink1</v>
      </c>
      <c r="AV1438" s="14" t="str">
        <f>HYPERLINK("https://www.google.iq/maps/search/+30.525,47.7777/@30.525,47.7777,14z?hl=en","Maplink2")</f>
        <v>Maplink2</v>
      </c>
      <c r="AW1438" s="14" t="str">
        <f>HYPERLINK("http://www.bing.com/maps/?lvl=14&amp;sty=h&amp;cp=30.525~47.7777&amp;sp=point.30.525_47.7777_Hay Al-Asdiqaa","Maplink3")</f>
        <v>Maplink3</v>
      </c>
    </row>
    <row r="1439" spans="1:49" ht="15" customHeight="1" x14ac:dyDescent="0.25">
      <c r="A1439" s="21">
        <v>21311</v>
      </c>
      <c r="B1439" s="22" t="s">
        <v>12</v>
      </c>
      <c r="C1439" s="22" t="s">
        <v>12</v>
      </c>
      <c r="D1439" s="22" t="s">
        <v>2733</v>
      </c>
      <c r="E1439" s="22" t="s">
        <v>2734</v>
      </c>
      <c r="F1439" s="22">
        <v>30.503611110000001</v>
      </c>
      <c r="G1439" s="22">
        <v>47.797777779999997</v>
      </c>
      <c r="H1439" s="21" t="s">
        <v>2322</v>
      </c>
      <c r="I1439" s="21" t="s">
        <v>2557</v>
      </c>
      <c r="J1439" s="21" t="s">
        <v>2735</v>
      </c>
      <c r="K1439" s="24">
        <v>3</v>
      </c>
      <c r="L1439" s="24">
        <v>18</v>
      </c>
      <c r="M1439" s="23">
        <v>1</v>
      </c>
      <c r="N1439" s="23"/>
      <c r="O1439" s="23"/>
      <c r="P1439" s="23"/>
      <c r="Q1439" s="23"/>
      <c r="R1439" s="23"/>
      <c r="S1439" s="23"/>
      <c r="T1439" s="23"/>
      <c r="U1439" s="23">
        <v>1</v>
      </c>
      <c r="V1439" s="23"/>
      <c r="W1439" s="23"/>
      <c r="X1439" s="23"/>
      <c r="Y1439" s="23"/>
      <c r="Z1439" s="23"/>
      <c r="AA1439" s="23">
        <v>1</v>
      </c>
      <c r="AB1439" s="23"/>
      <c r="AC1439" s="23"/>
      <c r="AD1439" s="23"/>
      <c r="AE1439" s="23"/>
      <c r="AF1439" s="23">
        <v>3</v>
      </c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>
        <v>2</v>
      </c>
      <c r="AQ1439" s="23"/>
      <c r="AR1439" s="23">
        <v>1</v>
      </c>
      <c r="AS1439" s="23"/>
      <c r="AT1439" s="23"/>
      <c r="AU1439" s="14" t="str">
        <f>HYPERLINK("http://www.openstreetmap.org/?mlat=30.5036&amp;mlon=47.7978&amp;zoom=12#map=12/30.5036/47.7978","Maplink1")</f>
        <v>Maplink1</v>
      </c>
      <c r="AV1439" s="14" t="str">
        <f>HYPERLINK("https://www.google.iq/maps/search/+30.5036,47.7978/@30.5036,47.7978,14z?hl=en","Maplink2")</f>
        <v>Maplink2</v>
      </c>
      <c r="AW1439" s="14" t="str">
        <f>HYPERLINK("http://www.bing.com/maps/?lvl=14&amp;sty=h&amp;cp=30.5036~47.7978&amp;sp=point.30.5036_47.7978_Hay Al-Asmae Al-Qadeem","Maplink3")</f>
        <v>Maplink3</v>
      </c>
    </row>
    <row r="1440" spans="1:49" ht="15" customHeight="1" x14ac:dyDescent="0.25">
      <c r="A1440" s="21">
        <v>1271</v>
      </c>
      <c r="B1440" s="22" t="s">
        <v>12</v>
      </c>
      <c r="C1440" s="22" t="s">
        <v>12</v>
      </c>
      <c r="D1440" s="22" t="s">
        <v>2736</v>
      </c>
      <c r="E1440" s="22" t="s">
        <v>2737</v>
      </c>
      <c r="F1440" s="22">
        <v>30.493600000000001</v>
      </c>
      <c r="G1440" s="22">
        <v>47.787999999999997</v>
      </c>
      <c r="H1440" s="21" t="s">
        <v>2322</v>
      </c>
      <c r="I1440" s="21" t="s">
        <v>2557</v>
      </c>
      <c r="J1440" s="21" t="s">
        <v>2738</v>
      </c>
      <c r="K1440" s="24">
        <v>6</v>
      </c>
      <c r="L1440" s="24">
        <v>36</v>
      </c>
      <c r="M1440" s="23"/>
      <c r="N1440" s="23"/>
      <c r="O1440" s="23"/>
      <c r="P1440" s="23"/>
      <c r="Q1440" s="23"/>
      <c r="R1440" s="23"/>
      <c r="S1440" s="23"/>
      <c r="T1440" s="23"/>
      <c r="U1440" s="23">
        <v>6</v>
      </c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>
        <v>5</v>
      </c>
      <c r="AG1440" s="23"/>
      <c r="AH1440" s="23"/>
      <c r="AI1440" s="23"/>
      <c r="AJ1440" s="23"/>
      <c r="AK1440" s="23">
        <v>1</v>
      </c>
      <c r="AL1440" s="23"/>
      <c r="AM1440" s="23"/>
      <c r="AN1440" s="23"/>
      <c r="AO1440" s="23"/>
      <c r="AP1440" s="23"/>
      <c r="AQ1440" s="23">
        <v>6</v>
      </c>
      <c r="AR1440" s="23"/>
      <c r="AS1440" s="23"/>
      <c r="AT1440" s="23"/>
      <c r="AU1440" s="14" t="str">
        <f>HYPERLINK("http://www.openstreetmap.org/?mlat=30.4936&amp;mlon=47.788&amp;zoom=12#map=12/30.4936/47.788","Maplink1")</f>
        <v>Maplink1</v>
      </c>
      <c r="AV1440" s="14" t="str">
        <f>HYPERLINK("https://www.google.iq/maps/search/+30.4936,47.788/@30.4936,47.788,14z?hl=en","Maplink2")</f>
        <v>Maplink2</v>
      </c>
      <c r="AW1440" s="14" t="str">
        <f>HYPERLINK("http://www.bing.com/maps/?lvl=14&amp;sty=h&amp;cp=30.4936~47.788&amp;sp=point.30.4936_47.788_Hay Al-Husain 3","Maplink3")</f>
        <v>Maplink3</v>
      </c>
    </row>
    <row r="1441" spans="1:49" ht="15" customHeight="1" x14ac:dyDescent="0.25">
      <c r="A1441" s="21">
        <v>911</v>
      </c>
      <c r="B1441" s="22" t="s">
        <v>12</v>
      </c>
      <c r="C1441" s="22" t="s">
        <v>12</v>
      </c>
      <c r="D1441" s="22" t="s">
        <v>2739</v>
      </c>
      <c r="E1441" s="22" t="s">
        <v>7978</v>
      </c>
      <c r="F1441" s="22">
        <v>30.513055999999999</v>
      </c>
      <c r="G1441" s="22">
        <v>47.845556000000002</v>
      </c>
      <c r="H1441" s="21" t="s">
        <v>2322</v>
      </c>
      <c r="I1441" s="21" t="s">
        <v>2557</v>
      </c>
      <c r="J1441" s="21" t="s">
        <v>2740</v>
      </c>
      <c r="K1441" s="24">
        <v>7</v>
      </c>
      <c r="L1441" s="24">
        <v>42</v>
      </c>
      <c r="M1441" s="23">
        <v>1</v>
      </c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>
        <v>4</v>
      </c>
      <c r="Z1441" s="23"/>
      <c r="AA1441" s="23">
        <v>2</v>
      </c>
      <c r="AB1441" s="23"/>
      <c r="AC1441" s="23"/>
      <c r="AD1441" s="23"/>
      <c r="AE1441" s="23"/>
      <c r="AF1441" s="23">
        <v>3</v>
      </c>
      <c r="AG1441" s="23"/>
      <c r="AH1441" s="23"/>
      <c r="AI1441" s="23"/>
      <c r="AJ1441" s="23">
        <v>3</v>
      </c>
      <c r="AK1441" s="23">
        <v>1</v>
      </c>
      <c r="AL1441" s="23"/>
      <c r="AM1441" s="23"/>
      <c r="AN1441" s="23"/>
      <c r="AO1441" s="23"/>
      <c r="AP1441" s="23">
        <v>5</v>
      </c>
      <c r="AQ1441" s="23"/>
      <c r="AR1441" s="23">
        <v>1</v>
      </c>
      <c r="AS1441" s="23">
        <v>1</v>
      </c>
      <c r="AT1441" s="23"/>
      <c r="AU1441" s="14" t="str">
        <f>HYPERLINK("http://www.openstreetmap.org/?mlat=30.5131&amp;mlon=47.8456&amp;zoom=12#map=12/30.5131/47.8456","Maplink1")</f>
        <v>Maplink1</v>
      </c>
      <c r="AV1441" s="14" t="str">
        <f>HYPERLINK("https://www.google.iq/maps/search/+30.5131,47.8456/@30.5131,47.8456,14z?hl=en","Maplink2")</f>
        <v>Maplink2</v>
      </c>
      <c r="AW1441" s="14" t="str">
        <f>HYPERLINK("http://www.bing.com/maps/?lvl=14&amp;sty=h&amp;cp=30.5131~47.8456&amp;sp=point.30.5131_47.8456_Hay Al-Zohoor","Maplink3")</f>
        <v>Maplink3</v>
      </c>
    </row>
    <row r="1442" spans="1:49" ht="15" customHeight="1" x14ac:dyDescent="0.25">
      <c r="A1442" s="21">
        <v>1282</v>
      </c>
      <c r="B1442" s="22" t="s">
        <v>12</v>
      </c>
      <c r="C1442" s="22" t="s">
        <v>12</v>
      </c>
      <c r="D1442" s="22" t="s">
        <v>2741</v>
      </c>
      <c r="E1442" s="22" t="s">
        <v>7979</v>
      </c>
      <c r="F1442" s="22">
        <v>30.5489</v>
      </c>
      <c r="G1442" s="22">
        <v>47.758200000000002</v>
      </c>
      <c r="H1442" s="21" t="s">
        <v>2322</v>
      </c>
      <c r="I1442" s="21" t="s">
        <v>2557</v>
      </c>
      <c r="J1442" s="21" t="s">
        <v>2742</v>
      </c>
      <c r="K1442" s="24">
        <v>1</v>
      </c>
      <c r="L1442" s="24">
        <v>6</v>
      </c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>
        <v>1</v>
      </c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>
        <v>1</v>
      </c>
      <c r="AL1442" s="23"/>
      <c r="AM1442" s="23"/>
      <c r="AN1442" s="23"/>
      <c r="AO1442" s="23"/>
      <c r="AP1442" s="23">
        <v>1</v>
      </c>
      <c r="AQ1442" s="23"/>
      <c r="AR1442" s="23"/>
      <c r="AS1442" s="23"/>
      <c r="AT1442" s="23"/>
      <c r="AU1442" s="14" t="str">
        <f>HYPERLINK("http://www.openstreetmap.org/?mlat=30.5489&amp;mlon=47.7582&amp;zoom=12#map=12/30.5489/47.7582","Maplink1")</f>
        <v>Maplink1</v>
      </c>
      <c r="AV1442" s="14" t="str">
        <f>HYPERLINK("https://www.google.iq/maps/search/+30.5489,47.7582/@30.5489,47.7582,14z?hl=en","Maplink2")</f>
        <v>Maplink2</v>
      </c>
      <c r="AW1442" s="14" t="str">
        <f>HYPERLINK("http://www.bing.com/maps/?lvl=14&amp;sty=h&amp;cp=30.5489~47.7582&amp;sp=point.30.5489_47.7582_Hay Tariq","Maplink3")</f>
        <v>Maplink3</v>
      </c>
    </row>
    <row r="1443" spans="1:49" ht="15" customHeight="1" x14ac:dyDescent="0.25">
      <c r="A1443" s="21">
        <v>858</v>
      </c>
      <c r="B1443" s="22" t="s">
        <v>12</v>
      </c>
      <c r="C1443" s="22" t="s">
        <v>12</v>
      </c>
      <c r="D1443" s="22" t="s">
        <v>2743</v>
      </c>
      <c r="E1443" s="22" t="s">
        <v>7980</v>
      </c>
      <c r="F1443" s="22">
        <v>30.654167000000001</v>
      </c>
      <c r="G1443" s="22">
        <v>47.740833000000002</v>
      </c>
      <c r="H1443" s="21"/>
      <c r="I1443" s="21"/>
      <c r="J1443" s="21" t="s">
        <v>2744</v>
      </c>
      <c r="K1443" s="24">
        <v>10</v>
      </c>
      <c r="L1443" s="24">
        <v>60</v>
      </c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>
        <v>10</v>
      </c>
      <c r="Z1443" s="23"/>
      <c r="AA1443" s="23"/>
      <c r="AB1443" s="23"/>
      <c r="AC1443" s="23"/>
      <c r="AD1443" s="23"/>
      <c r="AE1443" s="23"/>
      <c r="AF1443" s="23"/>
      <c r="AG1443" s="23"/>
      <c r="AH1443" s="23">
        <v>10</v>
      </c>
      <c r="AI1443" s="23"/>
      <c r="AJ1443" s="23"/>
      <c r="AK1443" s="23"/>
      <c r="AL1443" s="23"/>
      <c r="AM1443" s="23"/>
      <c r="AN1443" s="23"/>
      <c r="AO1443" s="23"/>
      <c r="AP1443" s="23">
        <v>10</v>
      </c>
      <c r="AQ1443" s="23"/>
      <c r="AR1443" s="23"/>
      <c r="AS1443" s="23"/>
      <c r="AT1443" s="23"/>
      <c r="AU1443" s="14" t="str">
        <f>HYPERLINK("http://www.openstreetmap.org/?mlat=30.6542&amp;mlon=47.7408&amp;zoom=12#map=12/30.6542/47.7408","Maplink1")</f>
        <v>Maplink1</v>
      </c>
      <c r="AV1443" s="14" t="str">
        <f>HYPERLINK("https://www.google.iq/maps/search/+30.6542,47.7408/@30.6542,47.7408,14z?hl=en","Maplink2")</f>
        <v>Maplink2</v>
      </c>
      <c r="AW1443" s="14" t="str">
        <f>HYPERLINK("http://www.bing.com/maps/?lvl=14&amp;sty=h&amp;cp=30.6542~47.7408&amp;sp=point.30.6542_47.7408_Hmrenan","Maplink3")</f>
        <v>Maplink3</v>
      </c>
    </row>
    <row r="1444" spans="1:49" ht="15" customHeight="1" x14ac:dyDescent="0.25">
      <c r="A1444" s="21">
        <v>24230</v>
      </c>
      <c r="B1444" s="22" t="s">
        <v>12</v>
      </c>
      <c r="C1444" s="22" t="s">
        <v>12</v>
      </c>
      <c r="D1444" s="22" t="s">
        <v>2745</v>
      </c>
      <c r="E1444" s="22" t="s">
        <v>7981</v>
      </c>
      <c r="F1444" s="22">
        <v>30.507899999999999</v>
      </c>
      <c r="G1444" s="22">
        <v>47.799100000000003</v>
      </c>
      <c r="H1444" s="21" t="s">
        <v>2322</v>
      </c>
      <c r="I1444" s="21" t="s">
        <v>2557</v>
      </c>
      <c r="J1444" s="21" t="s">
        <v>2746</v>
      </c>
      <c r="K1444" s="24">
        <v>6</v>
      </c>
      <c r="L1444" s="24">
        <v>36</v>
      </c>
      <c r="M1444" s="23"/>
      <c r="N1444" s="23"/>
      <c r="O1444" s="23"/>
      <c r="P1444" s="23"/>
      <c r="Q1444" s="23"/>
      <c r="R1444" s="23">
        <v>1</v>
      </c>
      <c r="S1444" s="23"/>
      <c r="T1444" s="23"/>
      <c r="U1444" s="23">
        <v>4</v>
      </c>
      <c r="V1444" s="23"/>
      <c r="W1444" s="23"/>
      <c r="X1444" s="23"/>
      <c r="Y1444" s="23">
        <v>1</v>
      </c>
      <c r="Z1444" s="23"/>
      <c r="AA1444" s="23"/>
      <c r="AB1444" s="23"/>
      <c r="AC1444" s="23"/>
      <c r="AD1444" s="23"/>
      <c r="AE1444" s="23"/>
      <c r="AF1444" s="23">
        <v>2</v>
      </c>
      <c r="AG1444" s="23"/>
      <c r="AH1444" s="23"/>
      <c r="AI1444" s="23"/>
      <c r="AJ1444" s="23"/>
      <c r="AK1444" s="23">
        <v>4</v>
      </c>
      <c r="AL1444" s="23"/>
      <c r="AM1444" s="23"/>
      <c r="AN1444" s="23"/>
      <c r="AO1444" s="23"/>
      <c r="AP1444" s="23">
        <v>2</v>
      </c>
      <c r="AQ1444" s="23"/>
      <c r="AR1444" s="23">
        <v>4</v>
      </c>
      <c r="AS1444" s="23"/>
      <c r="AT1444" s="23"/>
      <c r="AU1444" s="14" t="str">
        <f>HYPERLINK("http://www.openstreetmap.org/?mlat=30.5079&amp;mlon=47.7991&amp;zoom=12#map=12/30.5079/47.7991","Maplink1")</f>
        <v>Maplink1</v>
      </c>
      <c r="AV1444" s="14" t="str">
        <f>HYPERLINK("https://www.google.iq/maps/search/+30.5079,47.7991/@30.5079,47.7991,14z?hl=en","Maplink2")</f>
        <v>Maplink2</v>
      </c>
      <c r="AW1444" s="14" t="str">
        <f>HYPERLINK("http://www.bing.com/maps/?lvl=14&amp;sty=h&amp;cp=30.5079~47.7991&amp;sp=point.30.5079_47.7991_Ibn Ghazwan","Maplink3")</f>
        <v>Maplink3</v>
      </c>
    </row>
    <row r="1445" spans="1:49" ht="15" customHeight="1" x14ac:dyDescent="0.25">
      <c r="A1445" s="21">
        <v>27259</v>
      </c>
      <c r="B1445" s="22" t="s">
        <v>12</v>
      </c>
      <c r="C1445" s="22" t="s">
        <v>12</v>
      </c>
      <c r="D1445" s="22" t="s">
        <v>7457</v>
      </c>
      <c r="E1445" s="22" t="s">
        <v>2747</v>
      </c>
      <c r="F1445" s="22">
        <v>30.576667</v>
      </c>
      <c r="G1445" s="22">
        <v>47.729722000000002</v>
      </c>
      <c r="H1445" s="21" t="s">
        <v>2322</v>
      </c>
      <c r="I1445" s="21" t="s">
        <v>2557</v>
      </c>
      <c r="J1445" s="21"/>
      <c r="K1445" s="24">
        <v>4</v>
      </c>
      <c r="L1445" s="24">
        <v>24</v>
      </c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4</v>
      </c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>
        <v>4</v>
      </c>
      <c r="AL1445" s="23"/>
      <c r="AM1445" s="23"/>
      <c r="AN1445" s="23"/>
      <c r="AO1445" s="23"/>
      <c r="AP1445" s="23"/>
      <c r="AQ1445" s="23"/>
      <c r="AR1445" s="23">
        <v>4</v>
      </c>
      <c r="AS1445" s="23"/>
      <c r="AT1445" s="23"/>
      <c r="AU1445" s="14" t="str">
        <f>HYPERLINK("http://www.openstreetmap.org/?mlat=30.5767&amp;mlon=47.7297&amp;zoom=12#map=12/30.5767/47.7297","Maplink1")</f>
        <v>Maplink1</v>
      </c>
      <c r="AV1445" s="14" t="str">
        <f>HYPERLINK("https://www.google.iq/maps/search/+30.5767,47.7297/@30.5767,47.7297,14z?hl=en","Maplink2")</f>
        <v>Maplink2</v>
      </c>
      <c r="AW1445" s="14" t="str">
        <f>HYPERLINK("http://www.bing.com/maps/?lvl=14&amp;sty=h&amp;cp=30.5767~47.7297&amp;sp=point.30.5767_47.7297_Karma Ali - Twela","Maplink3")</f>
        <v>Maplink3</v>
      </c>
    </row>
    <row r="1446" spans="1:49" ht="15" customHeight="1" x14ac:dyDescent="0.25">
      <c r="A1446" s="21">
        <v>393</v>
      </c>
      <c r="B1446" s="22" t="s">
        <v>12</v>
      </c>
      <c r="C1446" s="22" t="s">
        <v>12</v>
      </c>
      <c r="D1446" s="22" t="s">
        <v>2748</v>
      </c>
      <c r="E1446" s="22" t="s">
        <v>7982</v>
      </c>
      <c r="F1446" s="22">
        <v>30.571906999999999</v>
      </c>
      <c r="G1446" s="22">
        <v>47.742617000000003</v>
      </c>
      <c r="H1446" s="21" t="s">
        <v>2322</v>
      </c>
      <c r="I1446" s="21" t="s">
        <v>2557</v>
      </c>
      <c r="J1446" s="21" t="s">
        <v>2749</v>
      </c>
      <c r="K1446" s="24">
        <v>8</v>
      </c>
      <c r="L1446" s="24">
        <v>48</v>
      </c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>
        <v>8</v>
      </c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>
        <v>8</v>
      </c>
      <c r="AL1446" s="23"/>
      <c r="AM1446" s="23"/>
      <c r="AN1446" s="23"/>
      <c r="AO1446" s="23"/>
      <c r="AP1446" s="23">
        <v>8</v>
      </c>
      <c r="AQ1446" s="23"/>
      <c r="AR1446" s="23"/>
      <c r="AS1446" s="23"/>
      <c r="AT1446" s="23"/>
      <c r="AU1446" s="14" t="str">
        <f>HYPERLINK("http://www.openstreetmap.org/?mlat=30.56&amp;mlon=47.76&amp;zoom=12#map=12/30.56/47.76","Maplink1")</f>
        <v>Maplink1</v>
      </c>
      <c r="AV1446" s="14" t="str">
        <f>HYPERLINK("https://www.google.iq/maps/search/+30.56,47.76/@30.56,47.76,14z?hl=en","Maplink2")</f>
        <v>Maplink2</v>
      </c>
      <c r="AW1446" s="14" t="str">
        <f>HYPERLINK("http://www.bing.com/maps/?lvl=14&amp;sty=h&amp;cp=30.56~47.76&amp;sp=point.30.56_47.76_Karmat Ali","Maplink3")</f>
        <v>Maplink3</v>
      </c>
    </row>
    <row r="1447" spans="1:49" ht="15" customHeight="1" x14ac:dyDescent="0.25">
      <c r="A1447" s="21">
        <v>29482</v>
      </c>
      <c r="B1447" s="22" t="s">
        <v>12</v>
      </c>
      <c r="C1447" s="22" t="s">
        <v>12</v>
      </c>
      <c r="D1447" s="22" t="s">
        <v>7458</v>
      </c>
      <c r="E1447" s="22" t="s">
        <v>7983</v>
      </c>
      <c r="F1447" s="22">
        <v>30.580100000000002</v>
      </c>
      <c r="G1447" s="22">
        <v>47.713700000000003</v>
      </c>
      <c r="H1447" s="21" t="s">
        <v>2322</v>
      </c>
      <c r="I1447" s="21" t="s">
        <v>2557</v>
      </c>
      <c r="J1447" s="21"/>
      <c r="K1447" s="24">
        <v>6</v>
      </c>
      <c r="L1447" s="24">
        <v>36</v>
      </c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>
        <v>6</v>
      </c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>
        <v>6</v>
      </c>
      <c r="AL1447" s="23"/>
      <c r="AM1447" s="23"/>
      <c r="AN1447" s="23"/>
      <c r="AO1447" s="23"/>
      <c r="AP1447" s="23">
        <v>6</v>
      </c>
      <c r="AQ1447" s="23"/>
      <c r="AR1447" s="23"/>
      <c r="AS1447" s="23"/>
      <c r="AT1447" s="23"/>
      <c r="AU1447" s="14" t="str">
        <f>HYPERLINK("http://www.openstreetmap.org/?mlat=30.5801&amp;mlon=47.7137&amp;zoom=12#map=12/30.5801/47.7137","Maplink1")</f>
        <v>Maplink1</v>
      </c>
      <c r="AV1447" s="14" t="str">
        <f>HYPERLINK("https://www.google.iq/maps/search/+30.5801,47.7137/@30.5801,47.7137,14z?hl=en","Maplink2")</f>
        <v>Maplink2</v>
      </c>
      <c r="AW1447" s="14" t="str">
        <f>HYPERLINK("http://www.bing.com/maps/?lvl=14&amp;sty=h&amp;cp=30.5801~47.7137&amp;sp=point.30.5801_47.7137_Al Angaa","Maplink3")</f>
        <v>Maplink3</v>
      </c>
    </row>
    <row r="1448" spans="1:49" ht="15" customHeight="1" x14ac:dyDescent="0.25">
      <c r="A1448" s="21">
        <v>893</v>
      </c>
      <c r="B1448" s="22" t="s">
        <v>12</v>
      </c>
      <c r="C1448" s="22" t="s">
        <v>12</v>
      </c>
      <c r="D1448" s="22" t="s">
        <v>2750</v>
      </c>
      <c r="E1448" s="22" t="s">
        <v>7984</v>
      </c>
      <c r="F1448" s="22">
        <v>30.505278000000001</v>
      </c>
      <c r="G1448" s="22">
        <v>47.803055999999998</v>
      </c>
      <c r="H1448" s="21" t="s">
        <v>2322</v>
      </c>
      <c r="I1448" s="21" t="s">
        <v>2557</v>
      </c>
      <c r="J1448" s="21" t="s">
        <v>2751</v>
      </c>
      <c r="K1448" s="24">
        <v>3</v>
      </c>
      <c r="L1448" s="24">
        <v>18</v>
      </c>
      <c r="M1448" s="23">
        <v>2</v>
      </c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>
        <v>1</v>
      </c>
      <c r="Z1448" s="23"/>
      <c r="AA1448" s="23"/>
      <c r="AB1448" s="23"/>
      <c r="AC1448" s="23"/>
      <c r="AD1448" s="23"/>
      <c r="AE1448" s="23"/>
      <c r="AF1448" s="23">
        <v>2</v>
      </c>
      <c r="AG1448" s="23"/>
      <c r="AH1448" s="23"/>
      <c r="AI1448" s="23"/>
      <c r="AJ1448" s="23"/>
      <c r="AK1448" s="23">
        <v>1</v>
      </c>
      <c r="AL1448" s="23"/>
      <c r="AM1448" s="23"/>
      <c r="AN1448" s="23"/>
      <c r="AO1448" s="23"/>
      <c r="AP1448" s="23">
        <v>2</v>
      </c>
      <c r="AQ1448" s="23"/>
      <c r="AR1448" s="23">
        <v>1</v>
      </c>
      <c r="AS1448" s="23"/>
      <c r="AT1448" s="23"/>
      <c r="AU1448" s="14" t="str">
        <f>HYPERLINK("http://www.openstreetmap.org/?mlat=30.5053&amp;mlon=47.8031&amp;zoom=12#map=12/30.5053/47.8031","Maplink1")</f>
        <v>Maplink1</v>
      </c>
      <c r="AV1448" s="14" t="str">
        <f>HYPERLINK("https://www.google.iq/maps/search/+30.5053,47.8031/@30.5053,47.8031,14z?hl=en","Maplink2")</f>
        <v>Maplink2</v>
      </c>
      <c r="AW1448" s="14" t="str">
        <f>HYPERLINK("http://www.bing.com/maps/?lvl=14&amp;sty=h&amp;cp=30.5053~47.8031&amp;sp=point.30.5053_47.8031_Kut al-hejaj","Maplink3")</f>
        <v>Maplink3</v>
      </c>
    </row>
    <row r="1449" spans="1:49" ht="15" customHeight="1" x14ac:dyDescent="0.25">
      <c r="A1449" s="21">
        <v>27328</v>
      </c>
      <c r="B1449" s="22" t="s">
        <v>12</v>
      </c>
      <c r="C1449" s="22" t="s">
        <v>12</v>
      </c>
      <c r="D1449" s="22" t="s">
        <v>7459</v>
      </c>
      <c r="E1449" s="22" t="s">
        <v>7985</v>
      </c>
      <c r="F1449" s="22">
        <v>30.511399999999998</v>
      </c>
      <c r="G1449" s="22">
        <v>47.817900000000002</v>
      </c>
      <c r="H1449" s="21" t="s">
        <v>2322</v>
      </c>
      <c r="I1449" s="21" t="s">
        <v>2557</v>
      </c>
      <c r="J1449" s="21"/>
      <c r="K1449" s="24">
        <v>3</v>
      </c>
      <c r="L1449" s="24">
        <v>18</v>
      </c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>
        <v>3</v>
      </c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>
        <v>3</v>
      </c>
      <c r="AL1449" s="23"/>
      <c r="AM1449" s="23"/>
      <c r="AN1449" s="23"/>
      <c r="AO1449" s="23"/>
      <c r="AP1449" s="23"/>
      <c r="AQ1449" s="23"/>
      <c r="AR1449" s="23"/>
      <c r="AS1449" s="23">
        <v>3</v>
      </c>
      <c r="AT1449" s="23"/>
      <c r="AU1449" s="14" t="str">
        <f>HYPERLINK("http://www.openstreetmap.org/?mlat=30.5114&amp;mlon=47.8179&amp;zoom=12#map=12/30.5114/47.8179","Maplink1")</f>
        <v>Maplink1</v>
      </c>
      <c r="AV1449" s="14" t="str">
        <f>HYPERLINK("https://www.google.iq/maps/search/+30.5114,47.8179/@30.5114,47.8179,14z?hl=en","Maplink2")</f>
        <v>Maplink2</v>
      </c>
      <c r="AW1449" s="14" t="str">
        <f>HYPERLINK("http://www.bing.com/maps/?lvl=14&amp;sty=h&amp;cp=30.5114~47.8179&amp;sp=point.30.5114_47.8179_Kut al-hejaj - al-jadeed","Maplink3")</f>
        <v>Maplink3</v>
      </c>
    </row>
    <row r="1450" spans="1:49" ht="15" customHeight="1" x14ac:dyDescent="0.25">
      <c r="A1450" s="21">
        <v>21097</v>
      </c>
      <c r="B1450" s="22" t="s">
        <v>12</v>
      </c>
      <c r="C1450" s="22" t="s">
        <v>12</v>
      </c>
      <c r="D1450" s="22" t="s">
        <v>2752</v>
      </c>
      <c r="E1450" s="22" t="s">
        <v>2753</v>
      </c>
      <c r="F1450" s="22">
        <v>30.500277780000001</v>
      </c>
      <c r="G1450" s="22">
        <v>47.843055560000003</v>
      </c>
      <c r="H1450" s="21" t="s">
        <v>2322</v>
      </c>
      <c r="I1450" s="21" t="s">
        <v>2557</v>
      </c>
      <c r="J1450" s="21" t="s">
        <v>2754</v>
      </c>
      <c r="K1450" s="24">
        <v>25</v>
      </c>
      <c r="L1450" s="24">
        <v>150</v>
      </c>
      <c r="M1450" s="23">
        <v>2</v>
      </c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>
        <v>10</v>
      </c>
      <c r="Z1450" s="23"/>
      <c r="AA1450" s="23">
        <v>13</v>
      </c>
      <c r="AB1450" s="23"/>
      <c r="AC1450" s="23"/>
      <c r="AD1450" s="23"/>
      <c r="AE1450" s="23"/>
      <c r="AF1450" s="23">
        <v>10</v>
      </c>
      <c r="AG1450" s="23"/>
      <c r="AH1450" s="23"/>
      <c r="AI1450" s="23"/>
      <c r="AJ1450" s="23"/>
      <c r="AK1450" s="23">
        <v>15</v>
      </c>
      <c r="AL1450" s="23"/>
      <c r="AM1450" s="23"/>
      <c r="AN1450" s="23"/>
      <c r="AO1450" s="23">
        <v>1</v>
      </c>
      <c r="AP1450" s="23">
        <v>4</v>
      </c>
      <c r="AQ1450" s="23">
        <v>5</v>
      </c>
      <c r="AR1450" s="23">
        <v>14</v>
      </c>
      <c r="AS1450" s="23">
        <v>1</v>
      </c>
      <c r="AT1450" s="23"/>
      <c r="AU1450" s="14" t="str">
        <f>HYPERLINK("http://www.openstreetmap.org/?mlat=30.5003&amp;mlon=47.8431&amp;zoom=12#map=12/30.5003/47.8431","Maplink1")</f>
        <v>Maplink1</v>
      </c>
      <c r="AV1450" s="14" t="str">
        <f>HYPERLINK("https://www.google.iq/maps/search/+30.5003,47.8431/@30.5003,47.8431,14z?hl=en","Maplink2")</f>
        <v>Maplink2</v>
      </c>
      <c r="AW1450" s="14" t="str">
        <f>HYPERLINK("http://www.bing.com/maps/?lvl=14&amp;sty=h&amp;cp=30.5003~47.8431&amp;sp=point.30.5003_47.8431_Manawi Lajim Quarter","Maplink3")</f>
        <v>Maplink3</v>
      </c>
    </row>
    <row r="1451" spans="1:49" ht="15" customHeight="1" x14ac:dyDescent="0.25">
      <c r="A1451" s="21">
        <v>891</v>
      </c>
      <c r="B1451" s="22" t="s">
        <v>12</v>
      </c>
      <c r="C1451" s="22" t="s">
        <v>12</v>
      </c>
      <c r="D1451" s="22" t="s">
        <v>2755</v>
      </c>
      <c r="E1451" s="22" t="s">
        <v>2756</v>
      </c>
      <c r="F1451" s="22">
        <v>30.504999999999999</v>
      </c>
      <c r="G1451" s="22">
        <v>47.850555999999997</v>
      </c>
      <c r="H1451" s="21" t="s">
        <v>2322</v>
      </c>
      <c r="I1451" s="21" t="s">
        <v>2557</v>
      </c>
      <c r="J1451" s="21" t="s">
        <v>2757</v>
      </c>
      <c r="K1451" s="24">
        <v>16</v>
      </c>
      <c r="L1451" s="24">
        <v>96</v>
      </c>
      <c r="M1451" s="23">
        <v>5</v>
      </c>
      <c r="N1451" s="23"/>
      <c r="O1451" s="23"/>
      <c r="P1451" s="23"/>
      <c r="Q1451" s="23"/>
      <c r="R1451" s="23"/>
      <c r="S1451" s="23"/>
      <c r="T1451" s="23"/>
      <c r="U1451" s="23">
        <v>1</v>
      </c>
      <c r="V1451" s="23"/>
      <c r="W1451" s="23"/>
      <c r="X1451" s="23"/>
      <c r="Y1451" s="23">
        <v>9</v>
      </c>
      <c r="Z1451" s="23"/>
      <c r="AA1451" s="23">
        <v>1</v>
      </c>
      <c r="AB1451" s="23"/>
      <c r="AC1451" s="23"/>
      <c r="AD1451" s="23"/>
      <c r="AE1451" s="23"/>
      <c r="AF1451" s="23">
        <v>11</v>
      </c>
      <c r="AG1451" s="23"/>
      <c r="AH1451" s="23"/>
      <c r="AI1451" s="23"/>
      <c r="AJ1451" s="23">
        <v>2</v>
      </c>
      <c r="AK1451" s="23">
        <v>3</v>
      </c>
      <c r="AL1451" s="23"/>
      <c r="AM1451" s="23"/>
      <c r="AN1451" s="23"/>
      <c r="AO1451" s="23"/>
      <c r="AP1451" s="23">
        <v>9</v>
      </c>
      <c r="AQ1451" s="23"/>
      <c r="AR1451" s="23">
        <v>5</v>
      </c>
      <c r="AS1451" s="23">
        <v>1</v>
      </c>
      <c r="AT1451" s="23">
        <v>1</v>
      </c>
      <c r="AU1451" s="14" t="str">
        <f>HYPERLINK("http://www.openstreetmap.org/?mlat=30.505&amp;mlon=47.8506&amp;zoom=12#map=12/30.505/47.8506","Maplink1")</f>
        <v>Maplink1</v>
      </c>
      <c r="AV1451" s="14" t="str">
        <f>HYPERLINK("https://www.google.iq/maps/search/+30.505,47.8506/@30.505,47.8506,14z?hl=en","Maplink2")</f>
        <v>Maplink2</v>
      </c>
      <c r="AW1451" s="14" t="str">
        <f>HYPERLINK("http://www.bing.com/maps/?lvl=14&amp;sty=h&amp;cp=30.505~47.8506&amp;sp=point.30.505_47.8506_Manawi pasha","Maplink3")</f>
        <v>Maplink3</v>
      </c>
    </row>
    <row r="1452" spans="1:49" ht="15" customHeight="1" x14ac:dyDescent="0.25">
      <c r="A1452" s="21">
        <v>334</v>
      </c>
      <c r="B1452" s="22" t="s">
        <v>12</v>
      </c>
      <c r="C1452" s="22" t="s">
        <v>12</v>
      </c>
      <c r="D1452" s="22" t="s">
        <v>7313</v>
      </c>
      <c r="E1452" s="22" t="s">
        <v>2572</v>
      </c>
      <c r="F1452" s="22">
        <v>30.580629999999999</v>
      </c>
      <c r="G1452" s="22">
        <v>47.763500999999998</v>
      </c>
      <c r="H1452" s="21" t="s">
        <v>2322</v>
      </c>
      <c r="I1452" s="21" t="s">
        <v>2557</v>
      </c>
      <c r="J1452" s="21" t="s">
        <v>2573</v>
      </c>
      <c r="K1452" s="24">
        <v>4</v>
      </c>
      <c r="L1452" s="24">
        <v>24</v>
      </c>
      <c r="M1452" s="23">
        <v>1</v>
      </c>
      <c r="N1452" s="23"/>
      <c r="O1452" s="23"/>
      <c r="P1452" s="23"/>
      <c r="Q1452" s="23"/>
      <c r="R1452" s="23"/>
      <c r="S1452" s="23"/>
      <c r="T1452" s="23"/>
      <c r="U1452" s="23">
        <v>1</v>
      </c>
      <c r="V1452" s="23"/>
      <c r="W1452" s="23"/>
      <c r="X1452" s="23"/>
      <c r="Y1452" s="23"/>
      <c r="Z1452" s="23"/>
      <c r="AA1452" s="23">
        <v>2</v>
      </c>
      <c r="AB1452" s="23"/>
      <c r="AC1452" s="23"/>
      <c r="AD1452" s="23"/>
      <c r="AE1452" s="23"/>
      <c r="AF1452" s="23">
        <v>2</v>
      </c>
      <c r="AG1452" s="23"/>
      <c r="AH1452" s="23"/>
      <c r="AI1452" s="23"/>
      <c r="AJ1452" s="23"/>
      <c r="AK1452" s="23">
        <v>2</v>
      </c>
      <c r="AL1452" s="23"/>
      <c r="AM1452" s="23"/>
      <c r="AN1452" s="23"/>
      <c r="AO1452" s="23"/>
      <c r="AP1452" s="23">
        <v>1</v>
      </c>
      <c r="AQ1452" s="23">
        <v>1</v>
      </c>
      <c r="AR1452" s="23">
        <v>2</v>
      </c>
      <c r="AS1452" s="23"/>
      <c r="AT1452" s="23"/>
      <c r="AU1452" s="14" t="str">
        <f>HYPERLINK("http://www.openstreetmap.org/?mlat=30.58&amp;mlon=47.76&amp;zoom=12#map=12/30.58/47.76","Maplink1")</f>
        <v>Maplink1</v>
      </c>
      <c r="AV1452" s="14" t="str">
        <f>HYPERLINK("https://www.google.iq/maps/search/+30.58,47.76/@30.58,47.76,14z?hl=en","Maplink2")</f>
        <v>Maplink2</v>
      </c>
      <c r="AW1452" s="14" t="str">
        <f>HYPERLINK("http://www.bing.com/maps/?lvl=14&amp;sty=h&amp;cp=30.58~47.76&amp;sp=point.30.58_47.76_Al Harthah","Maplink3")</f>
        <v>Maplink3</v>
      </c>
    </row>
    <row r="1453" spans="1:49" ht="15" customHeight="1" x14ac:dyDescent="0.25">
      <c r="A1453" s="21">
        <v>29508</v>
      </c>
      <c r="B1453" s="22" t="s">
        <v>12</v>
      </c>
      <c r="C1453" s="22" t="s">
        <v>12</v>
      </c>
      <c r="D1453" s="22" t="s">
        <v>7460</v>
      </c>
      <c r="E1453" s="22" t="s">
        <v>2759</v>
      </c>
      <c r="F1453" s="22">
        <v>30.483000000000001</v>
      </c>
      <c r="G1453" s="22">
        <v>47.795999999999999</v>
      </c>
      <c r="H1453" s="21" t="s">
        <v>2322</v>
      </c>
      <c r="I1453" s="21" t="s">
        <v>2557</v>
      </c>
      <c r="J1453" s="21"/>
      <c r="K1453" s="24">
        <v>3</v>
      </c>
      <c r="L1453" s="24">
        <v>18</v>
      </c>
      <c r="M1453" s="23">
        <v>1</v>
      </c>
      <c r="N1453" s="23"/>
      <c r="O1453" s="23"/>
      <c r="P1453" s="23"/>
      <c r="Q1453" s="23"/>
      <c r="R1453" s="23"/>
      <c r="S1453" s="23"/>
      <c r="T1453" s="23"/>
      <c r="U1453" s="23">
        <v>1</v>
      </c>
      <c r="V1453" s="23"/>
      <c r="W1453" s="23"/>
      <c r="X1453" s="23"/>
      <c r="Y1453" s="23"/>
      <c r="Z1453" s="23"/>
      <c r="AA1453" s="23">
        <v>1</v>
      </c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>
        <v>3</v>
      </c>
      <c r="AL1453" s="23"/>
      <c r="AM1453" s="23"/>
      <c r="AN1453" s="23"/>
      <c r="AO1453" s="23">
        <v>1</v>
      </c>
      <c r="AP1453" s="23">
        <v>1</v>
      </c>
      <c r="AQ1453" s="23"/>
      <c r="AR1453" s="23">
        <v>1</v>
      </c>
      <c r="AS1453" s="23"/>
      <c r="AT1453" s="23"/>
      <c r="AU1453" s="14" t="str">
        <f>HYPERLINK("http://www.openstreetmap.org/?mlat=30.483&amp;mlon=47.796&amp;zoom=12#map=12/30.483/47.796","Maplink1")</f>
        <v>Maplink1</v>
      </c>
      <c r="AV1453" s="14" t="str">
        <f>HYPERLINK("https://www.google.iq/maps/search/+30.483,47.796/@30.483,47.796,14z?hl=en","Maplink2")</f>
        <v>Maplink2</v>
      </c>
      <c r="AW1453" s="14" t="str">
        <f>HYPERLINK("http://www.bing.com/maps/?lvl=14&amp;sty=h&amp;cp=30.483~47.796&amp;sp=point.30.483_47.796","Maplink3")</f>
        <v>Maplink3</v>
      </c>
    </row>
    <row r="1454" spans="1:49" ht="15" customHeight="1" x14ac:dyDescent="0.25">
      <c r="A1454" s="21">
        <v>23974</v>
      </c>
      <c r="B1454" s="22" t="s">
        <v>12</v>
      </c>
      <c r="C1454" s="22" t="s">
        <v>12</v>
      </c>
      <c r="D1454" s="22" t="s">
        <v>2760</v>
      </c>
      <c r="E1454" s="22" t="s">
        <v>7986</v>
      </c>
      <c r="F1454" s="22">
        <v>30.448499999999999</v>
      </c>
      <c r="G1454" s="22">
        <v>47.801200000000001</v>
      </c>
      <c r="H1454" s="21" t="s">
        <v>2322</v>
      </c>
      <c r="I1454" s="21" t="s">
        <v>2557</v>
      </c>
      <c r="J1454" s="21" t="s">
        <v>2761</v>
      </c>
      <c r="K1454" s="24">
        <v>4</v>
      </c>
      <c r="L1454" s="24">
        <v>24</v>
      </c>
      <c r="M1454" s="23">
        <v>2</v>
      </c>
      <c r="N1454" s="23"/>
      <c r="O1454" s="23"/>
      <c r="P1454" s="23"/>
      <c r="Q1454" s="23"/>
      <c r="R1454" s="23"/>
      <c r="S1454" s="23"/>
      <c r="T1454" s="23"/>
      <c r="U1454" s="23">
        <v>1</v>
      </c>
      <c r="V1454" s="23"/>
      <c r="W1454" s="23"/>
      <c r="X1454" s="23"/>
      <c r="Y1454" s="23">
        <v>1</v>
      </c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>
        <v>4</v>
      </c>
      <c r="AL1454" s="23"/>
      <c r="AM1454" s="23"/>
      <c r="AN1454" s="23"/>
      <c r="AO1454" s="23"/>
      <c r="AP1454" s="23">
        <v>2</v>
      </c>
      <c r="AQ1454" s="23">
        <v>1</v>
      </c>
      <c r="AR1454" s="23">
        <v>1</v>
      </c>
      <c r="AS1454" s="23"/>
      <c r="AT1454" s="23"/>
      <c r="AU1454" s="14" t="str">
        <f>HYPERLINK("http://www.openstreetmap.org/?mlat=30.4485&amp;mlon=47.8012&amp;zoom=12#map=12/30.4485/47.8012","Maplink1")</f>
        <v>Maplink1</v>
      </c>
      <c r="AV1454" s="14" t="str">
        <f>HYPERLINK("https://www.google.iq/maps/search/+30.4485,47.8012/@30.4485,47.8012,14z?hl=en","Maplink2")</f>
        <v>Maplink2</v>
      </c>
      <c r="AW1454" s="14" t="str">
        <f>HYPERLINK("http://www.bing.com/maps/?lvl=14&amp;sty=h&amp;cp=30.4485~47.8012&amp;sp=point.30.4485_47.8012_Mosa Kadhim","Maplink3")</f>
        <v>Maplink3</v>
      </c>
    </row>
    <row r="1455" spans="1:49" ht="15" customHeight="1" x14ac:dyDescent="0.25">
      <c r="A1455" s="21">
        <v>889</v>
      </c>
      <c r="B1455" s="22" t="s">
        <v>12</v>
      </c>
      <c r="C1455" s="22" t="s">
        <v>12</v>
      </c>
      <c r="D1455" s="22" t="s">
        <v>2762</v>
      </c>
      <c r="E1455" s="22" t="s">
        <v>7987</v>
      </c>
      <c r="F1455" s="22">
        <v>30.503889000000001</v>
      </c>
      <c r="G1455" s="22">
        <v>47.804200000000002</v>
      </c>
      <c r="H1455" s="21" t="s">
        <v>2322</v>
      </c>
      <c r="I1455" s="21" t="s">
        <v>2557</v>
      </c>
      <c r="J1455" s="21" t="s">
        <v>2763</v>
      </c>
      <c r="K1455" s="24">
        <v>14</v>
      </c>
      <c r="L1455" s="24">
        <v>84</v>
      </c>
      <c r="M1455" s="23"/>
      <c r="N1455" s="23"/>
      <c r="O1455" s="23"/>
      <c r="P1455" s="23"/>
      <c r="Q1455" s="23"/>
      <c r="R1455" s="23"/>
      <c r="S1455" s="23"/>
      <c r="T1455" s="23"/>
      <c r="U1455" s="23">
        <v>1</v>
      </c>
      <c r="V1455" s="23"/>
      <c r="W1455" s="23"/>
      <c r="X1455" s="23"/>
      <c r="Y1455" s="23">
        <v>7</v>
      </c>
      <c r="Z1455" s="23"/>
      <c r="AA1455" s="23">
        <v>6</v>
      </c>
      <c r="AB1455" s="23"/>
      <c r="AC1455" s="23"/>
      <c r="AD1455" s="23"/>
      <c r="AE1455" s="23"/>
      <c r="AF1455" s="23">
        <v>2</v>
      </c>
      <c r="AG1455" s="23"/>
      <c r="AH1455" s="23"/>
      <c r="AI1455" s="23"/>
      <c r="AJ1455" s="23"/>
      <c r="AK1455" s="23">
        <v>12</v>
      </c>
      <c r="AL1455" s="23"/>
      <c r="AM1455" s="23"/>
      <c r="AN1455" s="23"/>
      <c r="AO1455" s="23">
        <v>3</v>
      </c>
      <c r="AP1455" s="23">
        <v>5</v>
      </c>
      <c r="AQ1455" s="23">
        <v>4</v>
      </c>
      <c r="AR1455" s="23">
        <v>2</v>
      </c>
      <c r="AS1455" s="23"/>
      <c r="AT1455" s="23"/>
      <c r="AU1455" s="14" t="str">
        <f>HYPERLINK("http://www.openstreetmap.org/?mlat=30.5039&amp;mlon=47.8042&amp;zoom=12#map=12/30.5039/47.8042","Maplink1")</f>
        <v>Maplink1</v>
      </c>
      <c r="AV1455" s="14" t="str">
        <f>HYPERLINK("https://www.google.iq/maps/search/+30.5039,47.8042/@30.5039,47.8042,14z?hl=en","Maplink2")</f>
        <v>Maplink2</v>
      </c>
      <c r="AW1455" s="14" t="str">
        <f>HYPERLINK("http://www.bing.com/maps/?lvl=14&amp;sty=h&amp;cp=30.5039~47.8042&amp;sp=point.30.5039_47.8042_Nadhran","Maplink3")</f>
        <v>Maplink3</v>
      </c>
    </row>
    <row r="1456" spans="1:49" ht="15" customHeight="1" x14ac:dyDescent="0.25">
      <c r="A1456" s="21">
        <v>1025</v>
      </c>
      <c r="B1456" s="22" t="s">
        <v>12</v>
      </c>
      <c r="C1456" s="22" t="s">
        <v>12</v>
      </c>
      <c r="D1456" s="22" t="s">
        <v>2764</v>
      </c>
      <c r="E1456" s="22" t="s">
        <v>2765</v>
      </c>
      <c r="F1456" s="22">
        <v>30.574324000000001</v>
      </c>
      <c r="G1456" s="22">
        <v>47.768613999999999</v>
      </c>
      <c r="H1456" s="21" t="s">
        <v>2322</v>
      </c>
      <c r="I1456" s="21" t="s">
        <v>2557</v>
      </c>
      <c r="J1456" s="21" t="s">
        <v>2766</v>
      </c>
      <c r="K1456" s="24">
        <v>2</v>
      </c>
      <c r="L1456" s="24">
        <v>12</v>
      </c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>
        <v>1</v>
      </c>
      <c r="Z1456" s="23"/>
      <c r="AA1456" s="23">
        <v>1</v>
      </c>
      <c r="AB1456" s="23"/>
      <c r="AC1456" s="23"/>
      <c r="AD1456" s="23"/>
      <c r="AE1456" s="23"/>
      <c r="AF1456" s="23">
        <v>2</v>
      </c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>
        <v>1</v>
      </c>
      <c r="AQ1456" s="23">
        <v>1</v>
      </c>
      <c r="AR1456" s="23"/>
      <c r="AS1456" s="23"/>
      <c r="AT1456" s="23"/>
      <c r="AU1456" s="14" t="str">
        <f>HYPERLINK("http://www.openstreetmap.org/?mlat=30.5743&amp;mlon=47.7686&amp;zoom=12#map=12/30.5743/47.7686","Maplink1")</f>
        <v>Maplink1</v>
      </c>
      <c r="AV1456" s="14" t="str">
        <f>HYPERLINK("https://www.google.iq/maps/search/+30.5743,47.7686/@30.5743,47.7686,14z?hl=en","Maplink2")</f>
        <v>Maplink2</v>
      </c>
      <c r="AW1456" s="14" t="str">
        <f>HYPERLINK("http://www.bing.com/maps/?lvl=14&amp;sty=h&amp;cp=30.5743~47.7686&amp;sp=point.30.5743_47.7686_Najibiah","Maplink3")</f>
        <v>Maplink3</v>
      </c>
    </row>
    <row r="1457" spans="1:49" ht="15" customHeight="1" x14ac:dyDescent="0.25">
      <c r="A1457" s="21">
        <v>899</v>
      </c>
      <c r="B1457" s="22" t="s">
        <v>12</v>
      </c>
      <c r="C1457" s="22" t="s">
        <v>12</v>
      </c>
      <c r="D1457" s="22" t="s">
        <v>2767</v>
      </c>
      <c r="E1457" s="22" t="s">
        <v>7988</v>
      </c>
      <c r="F1457" s="22">
        <v>30.508056</v>
      </c>
      <c r="G1457" s="22">
        <v>47.805278000000001</v>
      </c>
      <c r="H1457" s="21" t="s">
        <v>2322</v>
      </c>
      <c r="I1457" s="21" t="s">
        <v>2557</v>
      </c>
      <c r="J1457" s="21" t="s">
        <v>2768</v>
      </c>
      <c r="K1457" s="24">
        <v>6</v>
      </c>
      <c r="L1457" s="24">
        <v>36</v>
      </c>
      <c r="M1457" s="23">
        <v>4</v>
      </c>
      <c r="N1457" s="23"/>
      <c r="O1457" s="23"/>
      <c r="P1457" s="23"/>
      <c r="Q1457" s="23"/>
      <c r="R1457" s="23"/>
      <c r="S1457" s="23"/>
      <c r="T1457" s="23"/>
      <c r="U1457" s="23">
        <v>2</v>
      </c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>
        <v>3</v>
      </c>
      <c r="AG1457" s="23"/>
      <c r="AH1457" s="23"/>
      <c r="AI1457" s="23"/>
      <c r="AJ1457" s="23"/>
      <c r="AK1457" s="23">
        <v>3</v>
      </c>
      <c r="AL1457" s="23"/>
      <c r="AM1457" s="23"/>
      <c r="AN1457" s="23"/>
      <c r="AO1457" s="23"/>
      <c r="AP1457" s="23">
        <v>3</v>
      </c>
      <c r="AQ1457" s="23">
        <v>2</v>
      </c>
      <c r="AR1457" s="23">
        <v>1</v>
      </c>
      <c r="AS1457" s="23"/>
      <c r="AT1457" s="23"/>
      <c r="AU1457" s="14" t="str">
        <f>HYPERLINK("http://www.openstreetmap.org/?mlat=30.5081&amp;mlon=47.8053&amp;zoom=12#map=12/30.5081/47.8053","Maplink1")</f>
        <v>Maplink1</v>
      </c>
      <c r="AV1457" s="14" t="str">
        <f>HYPERLINK("https://www.google.iq/maps/search/+30.5081,47.8053/@30.5081,47.8053,14z?hl=en","Maplink2")</f>
        <v>Maplink2</v>
      </c>
      <c r="AW1457" s="14" t="str">
        <f>HYPERLINK("http://www.bing.com/maps/?lvl=14&amp;sty=h&amp;cp=30.5081~47.8053&amp;sp=point.30.5081_47.8053_Sabkhat al-arab","Maplink3")</f>
        <v>Maplink3</v>
      </c>
    </row>
    <row r="1458" spans="1:49" ht="15" customHeight="1" x14ac:dyDescent="0.25">
      <c r="A1458" s="21">
        <v>897</v>
      </c>
      <c r="B1458" s="22" t="s">
        <v>12</v>
      </c>
      <c r="C1458" s="22" t="s">
        <v>12</v>
      </c>
      <c r="D1458" s="22" t="s">
        <v>2769</v>
      </c>
      <c r="E1458" s="22" t="s">
        <v>7989</v>
      </c>
      <c r="F1458" s="22">
        <v>30.5075</v>
      </c>
      <c r="G1458" s="22">
        <v>47.796944000000003</v>
      </c>
      <c r="H1458" s="21" t="s">
        <v>2322</v>
      </c>
      <c r="I1458" s="21" t="s">
        <v>2557</v>
      </c>
      <c r="J1458" s="21" t="s">
        <v>2770</v>
      </c>
      <c r="K1458" s="24">
        <v>5</v>
      </c>
      <c r="L1458" s="24">
        <v>30</v>
      </c>
      <c r="M1458" s="23">
        <v>2</v>
      </c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>
        <v>3</v>
      </c>
      <c r="Z1458" s="23"/>
      <c r="AA1458" s="23"/>
      <c r="AB1458" s="23"/>
      <c r="AC1458" s="23"/>
      <c r="AD1458" s="23"/>
      <c r="AE1458" s="23"/>
      <c r="AF1458" s="23">
        <v>2</v>
      </c>
      <c r="AG1458" s="23"/>
      <c r="AH1458" s="23"/>
      <c r="AI1458" s="23"/>
      <c r="AJ1458" s="23"/>
      <c r="AK1458" s="23">
        <v>3</v>
      </c>
      <c r="AL1458" s="23"/>
      <c r="AM1458" s="23"/>
      <c r="AN1458" s="23"/>
      <c r="AO1458" s="23">
        <v>2</v>
      </c>
      <c r="AP1458" s="23">
        <v>1</v>
      </c>
      <c r="AQ1458" s="23"/>
      <c r="AR1458" s="23">
        <v>1</v>
      </c>
      <c r="AS1458" s="23">
        <v>1</v>
      </c>
      <c r="AT1458" s="23"/>
      <c r="AU1458" s="14" t="str">
        <f>HYPERLINK("http://www.openstreetmap.org/?mlat=30.5075&amp;mlon=47.7969&amp;zoom=12#map=12/30.5075/47.7969","Maplink1")</f>
        <v>Maplink1</v>
      </c>
      <c r="AV1458" s="14" t="str">
        <f>HYPERLINK("https://www.google.iq/maps/search/+30.5075,47.7969/@30.5075,47.7969,14z?hl=en","Maplink2")</f>
        <v>Maplink2</v>
      </c>
      <c r="AW1458" s="14" t="str">
        <f>HYPERLINK("http://www.bing.com/maps/?lvl=14&amp;sty=h&amp;cp=30.5075~47.7969&amp;sp=point.30.5075_47.7969_Shuqaq al-faw","Maplink3")</f>
        <v>Maplink3</v>
      </c>
    </row>
    <row r="1459" spans="1:49" ht="15" customHeight="1" x14ac:dyDescent="0.25">
      <c r="A1459" s="21">
        <v>23975</v>
      </c>
      <c r="B1459" s="22" t="s">
        <v>12</v>
      </c>
      <c r="C1459" s="22" t="s">
        <v>12</v>
      </c>
      <c r="D1459" s="22" t="s">
        <v>2771</v>
      </c>
      <c r="E1459" s="22" t="s">
        <v>7990</v>
      </c>
      <c r="F1459" s="22">
        <v>30.476400000000002</v>
      </c>
      <c r="G1459" s="22">
        <v>47.838299999999997</v>
      </c>
      <c r="H1459" s="21" t="s">
        <v>2322</v>
      </c>
      <c r="I1459" s="21" t="s">
        <v>2557</v>
      </c>
      <c r="J1459" s="21" t="s">
        <v>2772</v>
      </c>
      <c r="K1459" s="24">
        <v>13</v>
      </c>
      <c r="L1459" s="24">
        <v>78</v>
      </c>
      <c r="M1459" s="23">
        <v>4</v>
      </c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6</v>
      </c>
      <c r="Z1459" s="23"/>
      <c r="AA1459" s="23">
        <v>3</v>
      </c>
      <c r="AB1459" s="23"/>
      <c r="AC1459" s="23"/>
      <c r="AD1459" s="23"/>
      <c r="AE1459" s="23"/>
      <c r="AF1459" s="23">
        <v>5</v>
      </c>
      <c r="AG1459" s="23"/>
      <c r="AH1459" s="23"/>
      <c r="AI1459" s="23"/>
      <c r="AJ1459" s="23"/>
      <c r="AK1459" s="23">
        <v>8</v>
      </c>
      <c r="AL1459" s="23"/>
      <c r="AM1459" s="23"/>
      <c r="AN1459" s="23"/>
      <c r="AO1459" s="23"/>
      <c r="AP1459" s="23">
        <v>2</v>
      </c>
      <c r="AQ1459" s="23">
        <v>2</v>
      </c>
      <c r="AR1459" s="23">
        <v>3</v>
      </c>
      <c r="AS1459" s="23">
        <v>5</v>
      </c>
      <c r="AT1459" s="23">
        <v>1</v>
      </c>
      <c r="AU1459" s="14" t="str">
        <f>HYPERLINK("http://www.openstreetmap.org/?mlat=30.4764&amp;mlon=47.8383&amp;zoom=12#map=12/30.4764/47.8383","Maplink1")</f>
        <v>Maplink1</v>
      </c>
      <c r="AV1459" s="14" t="str">
        <f>HYPERLINK("https://www.google.iq/maps/search/+30.4764,47.8383/@30.4764,47.8383,14z?hl=en","Maplink2")</f>
        <v>Maplink2</v>
      </c>
      <c r="AW1459" s="14" t="str">
        <f>HYPERLINK("http://www.bing.com/maps/?lvl=14&amp;sty=h&amp;cp=30.4764~47.8383&amp;sp=point.30.4764_47.8383_Um Al Neajj","Maplink3")</f>
        <v>Maplink3</v>
      </c>
    </row>
    <row r="1460" spans="1:49" ht="15" customHeight="1" x14ac:dyDescent="0.25">
      <c r="A1460" s="21">
        <v>29596</v>
      </c>
      <c r="B1460" s="22" t="s">
        <v>12</v>
      </c>
      <c r="C1460" s="22" t="s">
        <v>2773</v>
      </c>
      <c r="D1460" s="22" t="s">
        <v>8210</v>
      </c>
      <c r="E1460" s="22" t="s">
        <v>8211</v>
      </c>
      <c r="F1460" s="22">
        <v>30.151667</v>
      </c>
      <c r="G1460" s="22">
        <v>48.365000000000002</v>
      </c>
      <c r="H1460" s="21" t="s">
        <v>2322</v>
      </c>
      <c r="I1460" s="21" t="s">
        <v>2775</v>
      </c>
      <c r="J1460" s="21"/>
      <c r="K1460" s="24">
        <v>2</v>
      </c>
      <c r="L1460" s="24">
        <v>12</v>
      </c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>
        <v>2</v>
      </c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>
        <v>2</v>
      </c>
      <c r="AL1460" s="23"/>
      <c r="AM1460" s="23"/>
      <c r="AN1460" s="23"/>
      <c r="AO1460" s="23"/>
      <c r="AP1460" s="23"/>
      <c r="AQ1460" s="23">
        <v>1</v>
      </c>
      <c r="AR1460" s="23">
        <v>1</v>
      </c>
      <c r="AS1460" s="23"/>
      <c r="AT1460" s="23"/>
      <c r="AU1460" s="14" t="str">
        <f>HYPERLINK("http://www.openstreetmap.org/?mlat=48.365&amp;mlon=30.1517&amp;zoom=12#map=12/48.365/30.1517","Maplink1")</f>
        <v>Maplink1</v>
      </c>
      <c r="AV1460" s="14" t="str">
        <f>HYPERLINK("https://www.google.iq/maps/search/+48.365,30.1517/@48.365,30.1517,14z?hl=en","Maplink2")</f>
        <v>Maplink2</v>
      </c>
      <c r="AW1460" s="14" t="str">
        <f>HYPERLINK("http://www.bing.com/maps/?lvl=14&amp;sty=h&amp;cp=48.365~30.1517&amp;sp=point.48.365_30.1517","Maplink3")</f>
        <v>Maplink3</v>
      </c>
    </row>
    <row r="1461" spans="1:49" ht="15" customHeight="1" x14ac:dyDescent="0.25">
      <c r="A1461" s="21">
        <v>25338</v>
      </c>
      <c r="B1461" s="22" t="s">
        <v>12</v>
      </c>
      <c r="C1461" s="22" t="s">
        <v>2773</v>
      </c>
      <c r="D1461" s="22" t="s">
        <v>2776</v>
      </c>
      <c r="E1461" s="22" t="s">
        <v>150</v>
      </c>
      <c r="F1461" s="22">
        <v>29.98</v>
      </c>
      <c r="G1461" s="22">
        <v>48.462499999999999</v>
      </c>
      <c r="H1461" s="21" t="s">
        <v>2322</v>
      </c>
      <c r="I1461" s="21" t="s">
        <v>2775</v>
      </c>
      <c r="J1461" s="21"/>
      <c r="K1461" s="24">
        <v>3</v>
      </c>
      <c r="L1461" s="24">
        <v>18</v>
      </c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>
        <v>3</v>
      </c>
      <c r="AB1461" s="23"/>
      <c r="AC1461" s="23"/>
      <c r="AD1461" s="23"/>
      <c r="AE1461" s="23"/>
      <c r="AF1461" s="23">
        <v>2</v>
      </c>
      <c r="AG1461" s="23"/>
      <c r="AH1461" s="23"/>
      <c r="AI1461" s="23"/>
      <c r="AJ1461" s="23"/>
      <c r="AK1461" s="23">
        <v>1</v>
      </c>
      <c r="AL1461" s="23"/>
      <c r="AM1461" s="23"/>
      <c r="AN1461" s="23"/>
      <c r="AO1461" s="23">
        <v>2</v>
      </c>
      <c r="AP1461" s="23"/>
      <c r="AQ1461" s="23"/>
      <c r="AR1461" s="23">
        <v>1</v>
      </c>
      <c r="AS1461" s="23"/>
      <c r="AT1461" s="23"/>
      <c r="AU1461" s="14" t="str">
        <f>HYPERLINK("http://www.openstreetmap.org/?mlat=29.98&amp;mlon=48.4625&amp;zoom=12#map=12/29.98/48.4625","Maplink1")</f>
        <v>Maplink1</v>
      </c>
      <c r="AV1461" s="14" t="str">
        <f>HYPERLINK("https://www.google.iq/maps/search/+29.98,48.4625/@29.98,48.4625,14z?hl=en","Maplink2")</f>
        <v>Maplink2</v>
      </c>
      <c r="AW1461" s="14" t="str">
        <f>HYPERLINK("http://www.bing.com/maps/?lvl=14&amp;sty=h&amp;cp=29.98~48.4625&amp;sp=point.29.98_48.4625_FAO Al Shamaliya-Hay Al Salam","Maplink3")</f>
        <v>Maplink3</v>
      </c>
    </row>
    <row r="1462" spans="1:49" ht="15" customHeight="1" x14ac:dyDescent="0.25">
      <c r="A1462" s="21">
        <v>25340</v>
      </c>
      <c r="B1462" s="22" t="s">
        <v>12</v>
      </c>
      <c r="C1462" s="22" t="s">
        <v>2773</v>
      </c>
      <c r="D1462" s="22" t="s">
        <v>2777</v>
      </c>
      <c r="E1462" s="22" t="s">
        <v>2778</v>
      </c>
      <c r="F1462" s="22">
        <v>29.977499999999999</v>
      </c>
      <c r="G1462" s="22">
        <v>48.471899999999998</v>
      </c>
      <c r="H1462" s="21" t="s">
        <v>2322</v>
      </c>
      <c r="I1462" s="21" t="s">
        <v>2775</v>
      </c>
      <c r="J1462" s="21"/>
      <c r="K1462" s="24">
        <v>7</v>
      </c>
      <c r="L1462" s="24">
        <v>42</v>
      </c>
      <c r="M1462" s="23">
        <v>5</v>
      </c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>
        <v>2</v>
      </c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>
        <v>7</v>
      </c>
      <c r="AL1462" s="23"/>
      <c r="AM1462" s="23"/>
      <c r="AN1462" s="23"/>
      <c r="AO1462" s="23">
        <v>3</v>
      </c>
      <c r="AP1462" s="23">
        <v>2</v>
      </c>
      <c r="AQ1462" s="23">
        <v>2</v>
      </c>
      <c r="AR1462" s="23"/>
      <c r="AS1462" s="23"/>
      <c r="AT1462" s="23"/>
      <c r="AU1462" s="14" t="str">
        <f>HYPERLINK("http://www.openstreetmap.org/?mlat=29.9775&amp;mlon=48.4719&amp;zoom=12#map=12/29.9775/48.4719","Maplink1")</f>
        <v>Maplink1</v>
      </c>
      <c r="AV1462" s="14" t="str">
        <f>HYPERLINK("https://www.google.iq/maps/search/+29.9775,48.4719/@29.9775,48.4719,14z?hl=en","Maplink2")</f>
        <v>Maplink2</v>
      </c>
      <c r="AW1462" s="14" t="str">
        <f>HYPERLINK("http://www.bing.com/maps/?lvl=14&amp;sty=h&amp;cp=29.9775~48.4719&amp;sp=point.29.9775_48.4719_FAO Al-Shamaliya-Hay Al-Madaina","Maplink3")</f>
        <v>Maplink3</v>
      </c>
    </row>
    <row r="1463" spans="1:49" ht="15" customHeight="1" x14ac:dyDescent="0.25">
      <c r="A1463" s="21">
        <v>25335</v>
      </c>
      <c r="B1463" s="22" t="s">
        <v>12</v>
      </c>
      <c r="C1463" s="22" t="s">
        <v>2773</v>
      </c>
      <c r="D1463" s="22" t="s">
        <v>2779</v>
      </c>
      <c r="E1463" s="22" t="s">
        <v>995</v>
      </c>
      <c r="F1463" s="22">
        <v>29.938414000000002</v>
      </c>
      <c r="G1463" s="22">
        <v>48.408287999999999</v>
      </c>
      <c r="H1463" s="21" t="s">
        <v>2322</v>
      </c>
      <c r="I1463" s="21" t="s">
        <v>2775</v>
      </c>
      <c r="J1463" s="21"/>
      <c r="K1463" s="24">
        <v>1</v>
      </c>
      <c r="L1463" s="24">
        <v>6</v>
      </c>
      <c r="M1463" s="23"/>
      <c r="N1463" s="23"/>
      <c r="O1463" s="23"/>
      <c r="P1463" s="23"/>
      <c r="Q1463" s="23"/>
      <c r="R1463" s="23"/>
      <c r="S1463" s="23"/>
      <c r="T1463" s="23"/>
      <c r="U1463" s="23">
        <v>1</v>
      </c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>
        <v>1</v>
      </c>
      <c r="AL1463" s="23"/>
      <c r="AM1463" s="23"/>
      <c r="AN1463" s="23"/>
      <c r="AO1463" s="23"/>
      <c r="AP1463" s="23"/>
      <c r="AQ1463" s="23">
        <v>1</v>
      </c>
      <c r="AR1463" s="23"/>
      <c r="AS1463" s="23"/>
      <c r="AT1463" s="23"/>
      <c r="AU1463" s="14" t="str">
        <f>HYPERLINK("http://www.openstreetmap.org/?mlat=29.9384&amp;mlon=48.4083&amp;zoom=12#map=12/29.9384/48.4083","Maplink1")</f>
        <v>Maplink1</v>
      </c>
      <c r="AV1463" s="14" t="str">
        <f>HYPERLINK("https://www.google.iq/maps/search/+29.9384,48.4083/@29.9384,48.4083,14z?hl=en","Maplink2")</f>
        <v>Maplink2</v>
      </c>
      <c r="AW1463" s="14" t="str">
        <f>HYPERLINK("http://www.bing.com/maps/?lvl=14&amp;sty=h&amp;cp=29.9384~48.4083&amp;sp=point.29.9384_48.4083_FAO Aljanubia-Hay Al Hussain","Maplink3")</f>
        <v>Maplink3</v>
      </c>
    </row>
    <row r="1464" spans="1:49" ht="15" customHeight="1" x14ac:dyDescent="0.25">
      <c r="A1464" s="21">
        <v>25334</v>
      </c>
      <c r="B1464" s="22" t="s">
        <v>12</v>
      </c>
      <c r="C1464" s="22" t="s">
        <v>2773</v>
      </c>
      <c r="D1464" s="22" t="s">
        <v>2780</v>
      </c>
      <c r="E1464" s="22" t="s">
        <v>2781</v>
      </c>
      <c r="F1464" s="22">
        <v>29.965199999999999</v>
      </c>
      <c r="G1464" s="22">
        <v>48.473799999999997</v>
      </c>
      <c r="H1464" s="21" t="s">
        <v>2322</v>
      </c>
      <c r="I1464" s="21" t="s">
        <v>2775</v>
      </c>
      <c r="J1464" s="21"/>
      <c r="K1464" s="24">
        <v>1</v>
      </c>
      <c r="L1464" s="24">
        <v>6</v>
      </c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>
        <v>1</v>
      </c>
      <c r="Z1464" s="23"/>
      <c r="AA1464" s="23"/>
      <c r="AB1464" s="23"/>
      <c r="AC1464" s="23"/>
      <c r="AD1464" s="23"/>
      <c r="AE1464" s="23"/>
      <c r="AF1464" s="23">
        <v>1</v>
      </c>
      <c r="AG1464" s="23"/>
      <c r="AH1464" s="23"/>
      <c r="AI1464" s="23"/>
      <c r="AJ1464" s="23"/>
      <c r="AK1464" s="23"/>
      <c r="AL1464" s="23"/>
      <c r="AM1464" s="23"/>
      <c r="AN1464" s="23"/>
      <c r="AO1464" s="23">
        <v>1</v>
      </c>
      <c r="AP1464" s="23"/>
      <c r="AQ1464" s="23"/>
      <c r="AR1464" s="23"/>
      <c r="AS1464" s="23"/>
      <c r="AT1464" s="23"/>
      <c r="AU1464" s="14" t="str">
        <f>HYPERLINK("http://www.openstreetmap.org/?mlat=29.9652&amp;mlon=48.4738&amp;zoom=12#map=12/29.9652/48.4738","Maplink1")</f>
        <v>Maplink1</v>
      </c>
      <c r="AV1464" s="14" t="str">
        <f>HYPERLINK("https://www.google.iq/maps/search/+29.9652,48.4738/@29.9652,48.4738,14z?hl=en","Maplink2")</f>
        <v>Maplink2</v>
      </c>
      <c r="AW1464" s="14" t="str">
        <f>HYPERLINK("http://www.bing.com/maps/?lvl=14&amp;sty=h&amp;cp=29.9652~48.4738&amp;sp=point.29.9652_48.4738_FAO Aljanubia-Hay Al Karar","Maplink3")</f>
        <v>Maplink3</v>
      </c>
    </row>
    <row r="1465" spans="1:49" ht="15" customHeight="1" x14ac:dyDescent="0.25">
      <c r="A1465" s="21">
        <v>25337</v>
      </c>
      <c r="B1465" s="22" t="s">
        <v>12</v>
      </c>
      <c r="C1465" s="22" t="s">
        <v>2773</v>
      </c>
      <c r="D1465" s="22" t="s">
        <v>8212</v>
      </c>
      <c r="E1465" s="22" t="s">
        <v>2196</v>
      </c>
      <c r="F1465" s="22">
        <v>29.9697</v>
      </c>
      <c r="G1465" s="22">
        <v>48.474400000000003</v>
      </c>
      <c r="H1465" s="21" t="s">
        <v>2322</v>
      </c>
      <c r="I1465" s="21" t="s">
        <v>2775</v>
      </c>
      <c r="J1465" s="21"/>
      <c r="K1465" s="24">
        <v>1</v>
      </c>
      <c r="L1465" s="24">
        <v>6</v>
      </c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>
        <v>1</v>
      </c>
      <c r="AB1465" s="23"/>
      <c r="AC1465" s="23"/>
      <c r="AD1465" s="23"/>
      <c r="AE1465" s="23"/>
      <c r="AF1465" s="23">
        <v>1</v>
      </c>
      <c r="AG1465" s="23"/>
      <c r="AH1465" s="23"/>
      <c r="AI1465" s="23"/>
      <c r="AJ1465" s="23"/>
      <c r="AK1465" s="23"/>
      <c r="AL1465" s="23"/>
      <c r="AM1465" s="23"/>
      <c r="AN1465" s="23"/>
      <c r="AO1465" s="23"/>
      <c r="AP1465" s="23">
        <v>1</v>
      </c>
      <c r="AQ1465" s="23"/>
      <c r="AR1465" s="23"/>
      <c r="AS1465" s="23"/>
      <c r="AT1465" s="23"/>
      <c r="AU1465" s="14" t="str">
        <f>HYPERLINK("http://www.openstreetmap.org/?mlat=29.9697&amp;mlon=48.4744&amp;zoom=12#map=12/29.9697/48.4744","Maplink1")</f>
        <v>Maplink1</v>
      </c>
      <c r="AV1465" s="14" t="str">
        <f>HYPERLINK("https://www.google.iq/maps/search/+29.9697,48.4744/@29.9697,48.4744,14z?hl=en","Maplink2")</f>
        <v>Maplink2</v>
      </c>
      <c r="AW1465" s="14" t="str">
        <f>HYPERLINK("http://www.bing.com/maps/?lvl=14&amp;sty=h&amp;cp=29.9697~48.4744&amp;sp=point.29.9697_48.4744_FAO Aljanubia-Hay Al Zahra","Maplink3")</f>
        <v>Maplink3</v>
      </c>
    </row>
    <row r="1466" spans="1:49" ht="15" customHeight="1" x14ac:dyDescent="0.25">
      <c r="A1466" s="21">
        <v>25336</v>
      </c>
      <c r="B1466" s="22" t="s">
        <v>12</v>
      </c>
      <c r="C1466" s="22" t="s">
        <v>2773</v>
      </c>
      <c r="D1466" s="22" t="s">
        <v>8213</v>
      </c>
      <c r="E1466" s="22" t="s">
        <v>869</v>
      </c>
      <c r="F1466" s="22">
        <v>29.978000000000002</v>
      </c>
      <c r="G1466" s="22">
        <v>48.4694</v>
      </c>
      <c r="H1466" s="21" t="s">
        <v>2322</v>
      </c>
      <c r="I1466" s="21" t="s">
        <v>2775</v>
      </c>
      <c r="J1466" s="21"/>
      <c r="K1466" s="24">
        <v>1</v>
      </c>
      <c r="L1466" s="24">
        <v>6</v>
      </c>
      <c r="M1466" s="23">
        <v>1</v>
      </c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>
        <v>1</v>
      </c>
      <c r="AL1466" s="23"/>
      <c r="AM1466" s="23"/>
      <c r="AN1466" s="23"/>
      <c r="AO1466" s="23"/>
      <c r="AP1466" s="23"/>
      <c r="AQ1466" s="23">
        <v>1</v>
      </c>
      <c r="AR1466" s="23"/>
      <c r="AS1466" s="23"/>
      <c r="AT1466" s="23"/>
      <c r="AU1466" s="14" t="str">
        <f>HYPERLINK("http://www.openstreetmap.org/?mlat=29.978&amp;mlon=48.4694&amp;zoom=12#map=12/29.978/48.4694","Maplink1")</f>
        <v>Maplink1</v>
      </c>
      <c r="AV1466" s="14" t="str">
        <f>HYPERLINK("https://www.google.iq/maps/search/+29.978,48.4694/@29.978,48.4694,14z?hl=en","Maplink2")</f>
        <v>Maplink2</v>
      </c>
      <c r="AW1466" s="14" t="str">
        <f>HYPERLINK("http://www.bing.com/maps/?lvl=14&amp;sty=h&amp;cp=29.978~48.4694&amp;sp=point.29.978_48.4694_FAO AlShamaliya-Hay Al Rasol","Maplink3")</f>
        <v>Maplink3</v>
      </c>
    </row>
    <row r="1467" spans="1:49" ht="15" customHeight="1" x14ac:dyDescent="0.25">
      <c r="A1467" s="21">
        <v>23517</v>
      </c>
      <c r="B1467" s="22" t="s">
        <v>12</v>
      </c>
      <c r="C1467" s="22" t="s">
        <v>2782</v>
      </c>
      <c r="D1467" s="22" t="s">
        <v>2783</v>
      </c>
      <c r="E1467" s="22" t="s">
        <v>2784</v>
      </c>
      <c r="F1467" s="22">
        <v>30.635200000000001</v>
      </c>
      <c r="G1467" s="22">
        <v>47.773899999999998</v>
      </c>
      <c r="H1467" s="21" t="s">
        <v>2322</v>
      </c>
      <c r="I1467" s="21" t="s">
        <v>2785</v>
      </c>
      <c r="J1467" s="21" t="s">
        <v>2786</v>
      </c>
      <c r="K1467" s="24">
        <v>21</v>
      </c>
      <c r="L1467" s="24">
        <v>126</v>
      </c>
      <c r="M1467" s="23">
        <v>4</v>
      </c>
      <c r="N1467" s="23"/>
      <c r="O1467" s="23"/>
      <c r="P1467" s="23"/>
      <c r="Q1467" s="23"/>
      <c r="R1467" s="23"/>
      <c r="S1467" s="23"/>
      <c r="T1467" s="23"/>
      <c r="U1467" s="23">
        <v>3</v>
      </c>
      <c r="V1467" s="23"/>
      <c r="W1467" s="23"/>
      <c r="X1467" s="23"/>
      <c r="Y1467" s="23">
        <v>14</v>
      </c>
      <c r="Z1467" s="23"/>
      <c r="AA1467" s="23"/>
      <c r="AB1467" s="23"/>
      <c r="AC1467" s="23"/>
      <c r="AD1467" s="23"/>
      <c r="AE1467" s="23"/>
      <c r="AF1467" s="23">
        <v>6</v>
      </c>
      <c r="AG1467" s="23"/>
      <c r="AH1467" s="23">
        <v>4</v>
      </c>
      <c r="AI1467" s="23"/>
      <c r="AJ1467" s="23">
        <v>2</v>
      </c>
      <c r="AK1467" s="23">
        <v>9</v>
      </c>
      <c r="AL1467" s="23"/>
      <c r="AM1467" s="23"/>
      <c r="AN1467" s="23"/>
      <c r="AO1467" s="23"/>
      <c r="AP1467" s="23">
        <v>6</v>
      </c>
      <c r="AQ1467" s="23">
        <v>2</v>
      </c>
      <c r="AR1467" s="23">
        <v>7</v>
      </c>
      <c r="AS1467" s="23">
        <v>6</v>
      </c>
      <c r="AT1467" s="23"/>
      <c r="AU1467" s="14" t="str">
        <f>HYPERLINK("http://www.openstreetmap.org/?mlat=30.6352&amp;mlon=47.7739&amp;zoom=12#map=12/30.6352/47.7739","Maplink1")</f>
        <v>Maplink1</v>
      </c>
      <c r="AV1467" s="14" t="str">
        <f>HYPERLINK("https://www.google.iq/maps/search/+30.6352,47.7739/@30.6352,47.7739,14z?hl=en","Maplink2")</f>
        <v>Maplink2</v>
      </c>
      <c r="AW1467" s="14" t="str">
        <f>HYPERLINK("http://www.bing.com/maps/?lvl=14&amp;sty=h&amp;cp=30.6352~47.7739&amp;sp=point.30.6352_47.7739_Al Hota","Maplink3")</f>
        <v>Maplink3</v>
      </c>
    </row>
    <row r="1468" spans="1:49" ht="15" customHeight="1" x14ac:dyDescent="0.25">
      <c r="A1468" s="21">
        <v>21640</v>
      </c>
      <c r="B1468" s="22" t="s">
        <v>12</v>
      </c>
      <c r="C1468" s="22" t="s">
        <v>2782</v>
      </c>
      <c r="D1468" s="22" t="s">
        <v>2787</v>
      </c>
      <c r="E1468" s="22" t="s">
        <v>2788</v>
      </c>
      <c r="F1468" s="22">
        <v>30.588333330000001</v>
      </c>
      <c r="G1468" s="22">
        <v>47.793888889999998</v>
      </c>
      <c r="H1468" s="21" t="s">
        <v>2322</v>
      </c>
      <c r="I1468" s="21" t="s">
        <v>2785</v>
      </c>
      <c r="J1468" s="21" t="s">
        <v>2789</v>
      </c>
      <c r="K1468" s="24">
        <v>6</v>
      </c>
      <c r="L1468" s="24">
        <v>36</v>
      </c>
      <c r="M1468" s="23">
        <v>4</v>
      </c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2</v>
      </c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>
        <v>6</v>
      </c>
      <c r="AL1468" s="23"/>
      <c r="AM1468" s="23"/>
      <c r="AN1468" s="23"/>
      <c r="AO1468" s="23"/>
      <c r="AP1468" s="23"/>
      <c r="AQ1468" s="23">
        <v>1</v>
      </c>
      <c r="AR1468" s="23">
        <v>5</v>
      </c>
      <c r="AS1468" s="23"/>
      <c r="AT1468" s="23"/>
      <c r="AU1468" s="14" t="str">
        <f>HYPERLINK("http://www.openstreetmap.org/?mlat=30.5883&amp;mlon=47.7939&amp;zoom=12#map=12/30.5883/47.7939","Maplink1")</f>
        <v>Maplink1</v>
      </c>
      <c r="AV1468" s="14" t="str">
        <f>HYPERLINK("https://www.google.iq/maps/search/+30.5883,47.7939/@30.5883,47.7939,14z?hl=en","Maplink2")</f>
        <v>Maplink2</v>
      </c>
      <c r="AW1468" s="14" t="str">
        <f>HYPERLINK("http://www.bing.com/maps/?lvl=14&amp;sty=h&amp;cp=30.5883~47.7939&amp;sp=point.30.5883_47.7939_AL Jazira 3","Maplink3")</f>
        <v>Maplink3</v>
      </c>
    </row>
    <row r="1469" spans="1:49" ht="15" customHeight="1" x14ac:dyDescent="0.25">
      <c r="A1469" s="21">
        <v>1032</v>
      </c>
      <c r="B1469" s="22" t="s">
        <v>12</v>
      </c>
      <c r="C1469" s="22" t="s">
        <v>2782</v>
      </c>
      <c r="D1469" s="22" t="s">
        <v>2579</v>
      </c>
      <c r="E1469" s="22" t="s">
        <v>2580</v>
      </c>
      <c r="F1469" s="22">
        <v>30.585972000000002</v>
      </c>
      <c r="G1469" s="22">
        <v>47.752488999999997</v>
      </c>
      <c r="H1469" s="21" t="s">
        <v>2322</v>
      </c>
      <c r="I1469" s="21" t="s">
        <v>2557</v>
      </c>
      <c r="J1469" s="21" t="s">
        <v>2581</v>
      </c>
      <c r="K1469" s="24">
        <v>6</v>
      </c>
      <c r="L1469" s="24">
        <v>36</v>
      </c>
      <c r="M1469" s="23"/>
      <c r="N1469" s="23"/>
      <c r="O1469" s="23"/>
      <c r="P1469" s="23"/>
      <c r="Q1469" s="23"/>
      <c r="R1469" s="23"/>
      <c r="S1469" s="23"/>
      <c r="T1469" s="23"/>
      <c r="U1469" s="23">
        <v>1</v>
      </c>
      <c r="V1469" s="23"/>
      <c r="W1469" s="23"/>
      <c r="X1469" s="23"/>
      <c r="Y1469" s="23">
        <v>4</v>
      </c>
      <c r="Z1469" s="23"/>
      <c r="AA1469" s="23">
        <v>1</v>
      </c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>
        <v>6</v>
      </c>
      <c r="AL1469" s="23"/>
      <c r="AM1469" s="23"/>
      <c r="AN1469" s="23"/>
      <c r="AO1469" s="23"/>
      <c r="AP1469" s="23"/>
      <c r="AQ1469" s="23">
        <v>3</v>
      </c>
      <c r="AR1469" s="23">
        <v>3</v>
      </c>
      <c r="AS1469" s="23"/>
      <c r="AT1469" s="23"/>
      <c r="AU1469" s="14" t="str">
        <f>HYPERLINK("http://www.openstreetmap.org/?mlat=30.586&amp;mlon=47.7525&amp;zoom=12#map=12/30.586/47.7525","Maplink1")</f>
        <v>Maplink1</v>
      </c>
      <c r="AV1469" s="14" t="str">
        <f>HYPERLINK("https://www.google.iq/maps/search/+30.586,47.7525/@30.586,47.7525,14z?hl=en","Maplink2")</f>
        <v>Maplink2</v>
      </c>
      <c r="AW1469" s="14" t="str">
        <f>HYPERLINK("http://www.bing.com/maps/?lvl=14&amp;sty=h&amp;cp=30.586~47.7525&amp;sp=point.30.586_47.7525_Al Jazira-2","Maplink3")</f>
        <v>Maplink3</v>
      </c>
    </row>
    <row r="1470" spans="1:49" ht="15" customHeight="1" x14ac:dyDescent="0.25">
      <c r="A1470" s="21">
        <v>21829</v>
      </c>
      <c r="B1470" s="22" t="s">
        <v>12</v>
      </c>
      <c r="C1470" s="22" t="s">
        <v>2782</v>
      </c>
      <c r="D1470" s="22" t="s">
        <v>2790</v>
      </c>
      <c r="E1470" s="22" t="s">
        <v>7991</v>
      </c>
      <c r="F1470" s="22">
        <v>30.818034999999998</v>
      </c>
      <c r="G1470" s="22">
        <v>47.602618999999997</v>
      </c>
      <c r="H1470" s="21" t="s">
        <v>2322</v>
      </c>
      <c r="I1470" s="21" t="s">
        <v>2785</v>
      </c>
      <c r="J1470" s="21" t="s">
        <v>2791</v>
      </c>
      <c r="K1470" s="24">
        <v>2</v>
      </c>
      <c r="L1470" s="24">
        <v>12</v>
      </c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>
        <v>2</v>
      </c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>
        <v>2</v>
      </c>
      <c r="AL1470" s="23"/>
      <c r="AM1470" s="23"/>
      <c r="AN1470" s="23"/>
      <c r="AO1470" s="23"/>
      <c r="AP1470" s="23"/>
      <c r="AQ1470" s="23"/>
      <c r="AR1470" s="23">
        <v>2</v>
      </c>
      <c r="AS1470" s="23"/>
      <c r="AT1470" s="23"/>
      <c r="AU1470" s="14" t="str">
        <f>HYPERLINK("http://www.openstreetmap.org/?mlat=30.818&amp;mlon=47.6026&amp;zoom=12#map=12/30.818/47.6026","Maplink1")</f>
        <v>Maplink1</v>
      </c>
      <c r="AV1470" s="14" t="str">
        <f>HYPERLINK("https://www.google.iq/maps/search/+30.818,47.6026/@30.818,47.6026,14z?hl=en","Maplink2")</f>
        <v>Maplink2</v>
      </c>
      <c r="AW1470" s="14" t="str">
        <f>HYPERLINK("http://www.bing.com/maps/?lvl=14&amp;sty=h&amp;cp=30.818~47.6026&amp;sp=point.30.818_47.6026_Al Nashwa-Center","Maplink3")</f>
        <v>Maplink3</v>
      </c>
    </row>
    <row r="1471" spans="1:49" ht="15" customHeight="1" x14ac:dyDescent="0.25">
      <c r="A1471" s="21">
        <v>25021</v>
      </c>
      <c r="B1471" s="22" t="s">
        <v>12</v>
      </c>
      <c r="C1471" s="22" t="s">
        <v>2782</v>
      </c>
      <c r="D1471" s="22" t="s">
        <v>2792</v>
      </c>
      <c r="E1471" s="22" t="s">
        <v>7992</v>
      </c>
      <c r="F1471" s="22">
        <v>30.896509999999999</v>
      </c>
      <c r="G1471" s="22">
        <v>47.525100000000002</v>
      </c>
      <c r="H1471" s="21" t="s">
        <v>2322</v>
      </c>
      <c r="I1471" s="21" t="s">
        <v>2785</v>
      </c>
      <c r="J1471" s="21"/>
      <c r="K1471" s="24">
        <v>13</v>
      </c>
      <c r="L1471" s="24">
        <v>78</v>
      </c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>
        <v>13</v>
      </c>
      <c r="Z1471" s="23"/>
      <c r="AA1471" s="23"/>
      <c r="AB1471" s="23"/>
      <c r="AC1471" s="23"/>
      <c r="AD1471" s="23"/>
      <c r="AE1471" s="23"/>
      <c r="AF1471" s="23">
        <v>4</v>
      </c>
      <c r="AG1471" s="23"/>
      <c r="AH1471" s="23"/>
      <c r="AI1471" s="23"/>
      <c r="AJ1471" s="23">
        <v>9</v>
      </c>
      <c r="AK1471" s="23"/>
      <c r="AL1471" s="23"/>
      <c r="AM1471" s="23"/>
      <c r="AN1471" s="23"/>
      <c r="AO1471" s="23"/>
      <c r="AP1471" s="23">
        <v>5</v>
      </c>
      <c r="AQ1471" s="23">
        <v>4</v>
      </c>
      <c r="AR1471" s="23">
        <v>4</v>
      </c>
      <c r="AS1471" s="23"/>
      <c r="AT1471" s="23"/>
      <c r="AU1471" s="14" t="str">
        <f>HYPERLINK("http://www.openstreetmap.org/?mlat=30.8965&amp;mlon=47.5251&amp;zoom=12#map=12/30.8965/47.5251","Maplink1")</f>
        <v>Maplink1</v>
      </c>
      <c r="AV1471" s="14" t="str">
        <f>HYPERLINK("https://www.google.iq/maps/search/+30.8965,47.5251/@30.8965,47.5251,14z?hl=en","Maplink2")</f>
        <v>Maplink2</v>
      </c>
      <c r="AW1471" s="14" t="str">
        <f>HYPERLINK("http://www.bing.com/maps/?lvl=14&amp;sty=h&amp;cp=30.8965~47.5251&amp;sp=point.30.8965_47.5251_Al Nashwa-Mayah Aldhawaen","Maplink3")</f>
        <v>Maplink3</v>
      </c>
    </row>
    <row r="1472" spans="1:49" ht="15" customHeight="1" x14ac:dyDescent="0.25">
      <c r="A1472" s="21">
        <v>23261</v>
      </c>
      <c r="B1472" s="22" t="s">
        <v>12</v>
      </c>
      <c r="C1472" s="22" t="s">
        <v>2782</v>
      </c>
      <c r="D1472" s="22" t="s">
        <v>2793</v>
      </c>
      <c r="E1472" s="22" t="s">
        <v>7993</v>
      </c>
      <c r="F1472" s="22">
        <v>30.51</v>
      </c>
      <c r="G1472" s="22">
        <v>47.85</v>
      </c>
      <c r="H1472" s="21" t="s">
        <v>2322</v>
      </c>
      <c r="I1472" s="21" t="s">
        <v>2785</v>
      </c>
      <c r="J1472" s="21" t="s">
        <v>2794</v>
      </c>
      <c r="K1472" s="24">
        <v>3</v>
      </c>
      <c r="L1472" s="24">
        <v>18</v>
      </c>
      <c r="M1472" s="23"/>
      <c r="N1472" s="23"/>
      <c r="O1472" s="23">
        <v>2</v>
      </c>
      <c r="P1472" s="23"/>
      <c r="Q1472" s="23"/>
      <c r="R1472" s="23">
        <v>1</v>
      </c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>
        <v>3</v>
      </c>
      <c r="AL1472" s="23"/>
      <c r="AM1472" s="23"/>
      <c r="AN1472" s="23"/>
      <c r="AO1472" s="23">
        <v>1</v>
      </c>
      <c r="AP1472" s="23">
        <v>1</v>
      </c>
      <c r="AQ1472" s="23"/>
      <c r="AR1472" s="23">
        <v>1</v>
      </c>
      <c r="AS1472" s="23"/>
      <c r="AT1472" s="23"/>
      <c r="AU1472" s="14" t="str">
        <f>HYPERLINK("http://www.openstreetmap.org/?mlat=30.51&amp;mlon=47.85&amp;zoom=12#map=12/30.51/47.85","Maplink1")</f>
        <v>Maplink1</v>
      </c>
      <c r="AV1472" s="14" t="str">
        <f>HYPERLINK("https://www.google.iq/maps/search/+30.51,47.85/@30.51,47.85,14z?hl=en","Maplink2")</f>
        <v>Maplink2</v>
      </c>
      <c r="AW1472" s="14" t="str">
        <f>HYPERLINK("http://www.bing.com/maps/?lvl=14&amp;sty=h&amp;cp=30.51~47.85&amp;sp=point.30.51_47.85_Al Sahel village","Maplink3")</f>
        <v>Maplink3</v>
      </c>
    </row>
    <row r="1473" spans="1:49" ht="15" customHeight="1" x14ac:dyDescent="0.25">
      <c r="A1473" s="21">
        <v>1013</v>
      </c>
      <c r="B1473" s="22" t="s">
        <v>12</v>
      </c>
      <c r="C1473" s="22" t="s">
        <v>2782</v>
      </c>
      <c r="D1473" s="22" t="s">
        <v>2795</v>
      </c>
      <c r="E1473" s="22" t="s">
        <v>2796</v>
      </c>
      <c r="F1473" s="22">
        <v>30.584800000000001</v>
      </c>
      <c r="G1473" s="22">
        <v>47.813200000000002</v>
      </c>
      <c r="H1473" s="21" t="s">
        <v>2322</v>
      </c>
      <c r="I1473" s="21" t="s">
        <v>2785</v>
      </c>
      <c r="J1473" s="21" t="s">
        <v>2797</v>
      </c>
      <c r="K1473" s="24">
        <v>5</v>
      </c>
      <c r="L1473" s="24">
        <v>30</v>
      </c>
      <c r="M1473" s="23">
        <v>2</v>
      </c>
      <c r="N1473" s="23"/>
      <c r="O1473" s="23"/>
      <c r="P1473" s="23"/>
      <c r="Q1473" s="23"/>
      <c r="R1473" s="23"/>
      <c r="S1473" s="23"/>
      <c r="T1473" s="23"/>
      <c r="U1473" s="23">
        <v>2</v>
      </c>
      <c r="V1473" s="23"/>
      <c r="W1473" s="23"/>
      <c r="X1473" s="23"/>
      <c r="Y1473" s="23"/>
      <c r="Z1473" s="23"/>
      <c r="AA1473" s="23">
        <v>1</v>
      </c>
      <c r="AB1473" s="23"/>
      <c r="AC1473" s="23"/>
      <c r="AD1473" s="23"/>
      <c r="AE1473" s="23"/>
      <c r="AF1473" s="23">
        <v>1</v>
      </c>
      <c r="AG1473" s="23"/>
      <c r="AH1473" s="23"/>
      <c r="AI1473" s="23"/>
      <c r="AJ1473" s="23">
        <v>3</v>
      </c>
      <c r="AK1473" s="23">
        <v>1</v>
      </c>
      <c r="AL1473" s="23"/>
      <c r="AM1473" s="23"/>
      <c r="AN1473" s="23"/>
      <c r="AO1473" s="23"/>
      <c r="AP1473" s="23">
        <v>1</v>
      </c>
      <c r="AQ1473" s="23">
        <v>1</v>
      </c>
      <c r="AR1473" s="23">
        <v>3</v>
      </c>
      <c r="AS1473" s="23"/>
      <c r="AT1473" s="23"/>
      <c r="AU1473" s="14" t="str">
        <f>HYPERLINK("http://www.openstreetmap.org/?mlat=30.5848&amp;mlon=47.8132&amp;zoom=12#map=12/30.5848/47.8132","Maplink1")</f>
        <v>Maplink1</v>
      </c>
      <c r="AV1473" s="14" t="str">
        <f>HYPERLINK("https://www.google.iq/maps/search/+30.5848,47.8132/@30.5848,47.8132,14z?hl=en","Maplink2")</f>
        <v>Maplink2</v>
      </c>
      <c r="AW1473" s="14" t="str">
        <f>HYPERLINK("http://www.bing.com/maps/?lvl=14&amp;sty=h&amp;cp=30.5848~47.8132&amp;sp=point.30.5848_47.8132_Al-Kibasi Kabeer","Maplink3")</f>
        <v>Maplink3</v>
      </c>
    </row>
    <row r="1474" spans="1:49" ht="15" customHeight="1" x14ac:dyDescent="0.25">
      <c r="A1474" s="21">
        <v>1000</v>
      </c>
      <c r="B1474" s="22" t="s">
        <v>12</v>
      </c>
      <c r="C1474" s="22" t="s">
        <v>2782</v>
      </c>
      <c r="D1474" s="22" t="s">
        <v>2798</v>
      </c>
      <c r="E1474" s="22" t="s">
        <v>2799</v>
      </c>
      <c r="F1474" s="22">
        <v>30.5945</v>
      </c>
      <c r="G1474" s="22">
        <v>47.803100000000001</v>
      </c>
      <c r="H1474" s="21" t="s">
        <v>2322</v>
      </c>
      <c r="I1474" s="21" t="s">
        <v>2785</v>
      </c>
      <c r="J1474" s="21" t="s">
        <v>2800</v>
      </c>
      <c r="K1474" s="24">
        <v>3</v>
      </c>
      <c r="L1474" s="24">
        <v>18</v>
      </c>
      <c r="M1474" s="23"/>
      <c r="N1474" s="23"/>
      <c r="O1474" s="23"/>
      <c r="P1474" s="23"/>
      <c r="Q1474" s="23"/>
      <c r="R1474" s="23"/>
      <c r="S1474" s="23"/>
      <c r="T1474" s="23"/>
      <c r="U1474" s="23">
        <v>3</v>
      </c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>
        <v>3</v>
      </c>
      <c r="AL1474" s="23"/>
      <c r="AM1474" s="23"/>
      <c r="AN1474" s="23"/>
      <c r="AO1474" s="23"/>
      <c r="AP1474" s="23">
        <v>3</v>
      </c>
      <c r="AQ1474" s="23"/>
      <c r="AR1474" s="23"/>
      <c r="AS1474" s="23"/>
      <c r="AT1474" s="23"/>
      <c r="AU1474" s="14" t="str">
        <f>HYPERLINK("http://www.openstreetmap.org/?mlat=30.5945&amp;mlon=47.8031&amp;zoom=12#map=12/30.5945/47.8031","Maplink1")</f>
        <v>Maplink1</v>
      </c>
      <c r="AV1474" s="14" t="str">
        <f>HYPERLINK("https://www.google.iq/maps/search/+30.5945,47.8031/@30.5945,47.8031,14z?hl=en","Maplink2")</f>
        <v>Maplink2</v>
      </c>
      <c r="AW1474" s="14" t="str">
        <f>HYPERLINK("http://www.bing.com/maps/?lvl=14&amp;sty=h&amp;cp=30.5945~47.8031&amp;sp=point.30.5945_47.8031_Al-Kibasi Saghir","Maplink3")</f>
        <v>Maplink3</v>
      </c>
    </row>
    <row r="1475" spans="1:49" ht="15" customHeight="1" x14ac:dyDescent="0.25">
      <c r="A1475" s="21">
        <v>645</v>
      </c>
      <c r="B1475" s="22" t="s">
        <v>12</v>
      </c>
      <c r="C1475" s="22" t="s">
        <v>2782</v>
      </c>
      <c r="D1475" s="22" t="s">
        <v>2801</v>
      </c>
      <c r="E1475" s="22" t="s">
        <v>2802</v>
      </c>
      <c r="F1475" s="22">
        <v>30.485278000000001</v>
      </c>
      <c r="G1475" s="22">
        <v>47.961944000000003</v>
      </c>
      <c r="H1475" s="21" t="s">
        <v>2322</v>
      </c>
      <c r="I1475" s="21" t="s">
        <v>2785</v>
      </c>
      <c r="J1475" s="21" t="s">
        <v>2803</v>
      </c>
      <c r="K1475" s="24">
        <v>11</v>
      </c>
      <c r="L1475" s="24">
        <v>66</v>
      </c>
      <c r="M1475" s="23"/>
      <c r="N1475" s="23"/>
      <c r="O1475" s="23">
        <v>10</v>
      </c>
      <c r="P1475" s="23"/>
      <c r="Q1475" s="23"/>
      <c r="R1475" s="23">
        <v>1</v>
      </c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>
        <v>10</v>
      </c>
      <c r="AI1475" s="23"/>
      <c r="AJ1475" s="23"/>
      <c r="AK1475" s="23">
        <v>1</v>
      </c>
      <c r="AL1475" s="23"/>
      <c r="AM1475" s="23"/>
      <c r="AN1475" s="23"/>
      <c r="AO1475" s="23"/>
      <c r="AP1475" s="23">
        <v>1</v>
      </c>
      <c r="AQ1475" s="23"/>
      <c r="AR1475" s="23">
        <v>10</v>
      </c>
      <c r="AS1475" s="23"/>
      <c r="AT1475" s="23"/>
      <c r="AU1475" s="14" t="str">
        <f>HYPERLINK("http://www.openstreetmap.org/?mlat=30.4853&amp;mlon=47.9619&amp;zoom=12#map=12/30.4853/47.9619","Maplink1")</f>
        <v>Maplink1</v>
      </c>
      <c r="AV1475" s="14" t="str">
        <f>HYPERLINK("https://www.google.iq/maps/search/+30.4853,47.9619/@30.4853,47.9619,14z?hl=en","Maplink2")</f>
        <v>Maplink2</v>
      </c>
      <c r="AW1475" s="14" t="str">
        <f>HYPERLINK("http://www.bing.com/maps/?lvl=14&amp;sty=h&amp;cp=30.4853~47.9619&amp;sp=point.30.4853_47.9619_As salehiyah","Maplink3")</f>
        <v>Maplink3</v>
      </c>
    </row>
    <row r="1476" spans="1:49" ht="15" customHeight="1" x14ac:dyDescent="0.25">
      <c r="A1476" s="21">
        <v>925</v>
      </c>
      <c r="B1476" s="22" t="s">
        <v>12</v>
      </c>
      <c r="C1476" s="22" t="s">
        <v>2782</v>
      </c>
      <c r="D1476" s="22" t="s">
        <v>2804</v>
      </c>
      <c r="E1476" s="22" t="s">
        <v>7994</v>
      </c>
      <c r="F1476" s="22">
        <v>30.520555999999999</v>
      </c>
      <c r="G1476" s="22">
        <v>47.857778000000003</v>
      </c>
      <c r="H1476" s="21" t="s">
        <v>2322</v>
      </c>
      <c r="I1476" s="21" t="s">
        <v>2785</v>
      </c>
      <c r="J1476" s="21" t="s">
        <v>2805</v>
      </c>
      <c r="K1476" s="24">
        <v>1</v>
      </c>
      <c r="L1476" s="24">
        <v>6</v>
      </c>
      <c r="M1476" s="23">
        <v>1</v>
      </c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>
        <v>1</v>
      </c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>
        <v>1</v>
      </c>
      <c r="AQ1476" s="23"/>
      <c r="AR1476" s="23"/>
      <c r="AS1476" s="23"/>
      <c r="AT1476" s="23"/>
      <c r="AU1476" s="14" t="str">
        <f>HYPERLINK("http://www.openstreetmap.org/?mlat=30.5206&amp;mlon=47.8578&amp;zoom=12#map=12/30.5206/47.8578","Maplink1")</f>
        <v>Maplink1</v>
      </c>
      <c r="AV1476" s="14" t="str">
        <f>HYPERLINK("https://www.google.iq/maps/search/+30.5206,47.8578/@30.5206,47.8578,14z?hl=en","Maplink2")</f>
        <v>Maplink2</v>
      </c>
      <c r="AW1476" s="14" t="str">
        <f>HYPERLINK("http://www.bing.com/maps/?lvl=14&amp;sty=h&amp;cp=30.5206~47.8578&amp;sp=point.30.5206_47.8578_Bait zair","Maplink3")</f>
        <v>Maplink3</v>
      </c>
    </row>
    <row r="1477" spans="1:49" ht="15" customHeight="1" x14ac:dyDescent="0.25">
      <c r="A1477" s="21">
        <v>960</v>
      </c>
      <c r="B1477" s="22" t="s">
        <v>12</v>
      </c>
      <c r="C1477" s="22" t="s">
        <v>2782</v>
      </c>
      <c r="D1477" s="22" t="s">
        <v>2806</v>
      </c>
      <c r="E1477" s="22" t="s">
        <v>7995</v>
      </c>
      <c r="F1477" s="22">
        <v>30.54</v>
      </c>
      <c r="G1477" s="22">
        <v>47.865278000000004</v>
      </c>
      <c r="H1477" s="21" t="s">
        <v>2322</v>
      </c>
      <c r="I1477" s="21" t="s">
        <v>2785</v>
      </c>
      <c r="J1477" s="21" t="s">
        <v>2807</v>
      </c>
      <c r="K1477" s="24">
        <v>11</v>
      </c>
      <c r="L1477" s="24">
        <v>66</v>
      </c>
      <c r="M1477" s="23">
        <v>5</v>
      </c>
      <c r="N1477" s="23"/>
      <c r="O1477" s="23"/>
      <c r="P1477" s="23"/>
      <c r="Q1477" s="23"/>
      <c r="R1477" s="23">
        <v>1</v>
      </c>
      <c r="S1477" s="23"/>
      <c r="T1477" s="23"/>
      <c r="U1477" s="23">
        <v>1</v>
      </c>
      <c r="V1477" s="23"/>
      <c r="W1477" s="23"/>
      <c r="X1477" s="23"/>
      <c r="Y1477" s="23">
        <v>1</v>
      </c>
      <c r="Z1477" s="23"/>
      <c r="AA1477" s="23">
        <v>3</v>
      </c>
      <c r="AB1477" s="23"/>
      <c r="AC1477" s="23"/>
      <c r="AD1477" s="23"/>
      <c r="AE1477" s="23"/>
      <c r="AF1477" s="23"/>
      <c r="AG1477" s="23"/>
      <c r="AH1477" s="23">
        <v>5</v>
      </c>
      <c r="AI1477" s="23"/>
      <c r="AJ1477" s="23"/>
      <c r="AK1477" s="23">
        <v>6</v>
      </c>
      <c r="AL1477" s="23"/>
      <c r="AM1477" s="23"/>
      <c r="AN1477" s="23"/>
      <c r="AO1477" s="23"/>
      <c r="AP1477" s="23">
        <v>5</v>
      </c>
      <c r="AQ1477" s="23"/>
      <c r="AR1477" s="23">
        <v>6</v>
      </c>
      <c r="AS1477" s="23"/>
      <c r="AT1477" s="23"/>
      <c r="AU1477" s="14" t="str">
        <f>HYPERLINK("http://www.openstreetmap.org/?mlat=30.54&amp;mlon=47.8653&amp;zoom=12#map=12/30.54/47.8653","Maplink1")</f>
        <v>Maplink1</v>
      </c>
      <c r="AV1477" s="14" t="str">
        <f>HYPERLINK("https://www.google.iq/maps/search/+30.54,47.8653/@30.54,47.8653,14z?hl=en","Maplink2")</f>
        <v>Maplink2</v>
      </c>
      <c r="AW1477" s="14" t="str">
        <f>HYPERLINK("http://www.bing.com/maps/?lvl=14&amp;sty=h&amp;cp=30.54~47.8653&amp;sp=point.30.54_47.8653_Hay al-jami_a","Maplink3")</f>
        <v>Maplink3</v>
      </c>
    </row>
    <row r="1478" spans="1:49" ht="15" customHeight="1" x14ac:dyDescent="0.25">
      <c r="A1478" s="21">
        <v>25723</v>
      </c>
      <c r="B1478" s="22" t="s">
        <v>12</v>
      </c>
      <c r="C1478" s="22" t="s">
        <v>2782</v>
      </c>
      <c r="D1478" s="22" t="s">
        <v>2808</v>
      </c>
      <c r="E1478" s="22" t="s">
        <v>2809</v>
      </c>
      <c r="F1478" s="22">
        <v>30.596900000000002</v>
      </c>
      <c r="G1478" s="22">
        <v>47.790500000000002</v>
      </c>
      <c r="H1478" s="21" t="s">
        <v>2322</v>
      </c>
      <c r="I1478" s="21" t="s">
        <v>2785</v>
      </c>
      <c r="J1478" s="21"/>
      <c r="K1478" s="24">
        <v>2</v>
      </c>
      <c r="L1478" s="24">
        <v>12</v>
      </c>
      <c r="M1478" s="23"/>
      <c r="N1478" s="23"/>
      <c r="O1478" s="23"/>
      <c r="P1478" s="23"/>
      <c r="Q1478" s="23"/>
      <c r="R1478" s="23">
        <v>2</v>
      </c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>
        <v>2</v>
      </c>
      <c r="AL1478" s="23"/>
      <c r="AM1478" s="23"/>
      <c r="AN1478" s="23"/>
      <c r="AO1478" s="23"/>
      <c r="AP1478" s="23">
        <v>2</v>
      </c>
      <c r="AQ1478" s="23"/>
      <c r="AR1478" s="23"/>
      <c r="AS1478" s="23"/>
      <c r="AT1478" s="23"/>
      <c r="AU1478" s="14" t="str">
        <f>HYPERLINK("http://www.openstreetmap.org/?mlat=30.5969&amp;mlon=47.7905&amp;zoom=12#map=12/30.5969/47.7905","Maplink1")</f>
        <v>Maplink1</v>
      </c>
      <c r="AV1478" s="14" t="str">
        <f>HYPERLINK("https://www.google.iq/maps/search/+30.5969,47.7905/@30.5969,47.7905,14z?hl=en","Maplink2")</f>
        <v>Maplink2</v>
      </c>
      <c r="AW1478" s="14" t="str">
        <f>HYPERLINK("http://www.bing.com/maps/?lvl=14&amp;sty=h&amp;cp=30.5969~47.7905&amp;sp=point.30.5969_47.7905_Markaz Shat Al-Arab-Al Jazira 4","Maplink3")</f>
        <v>Maplink3</v>
      </c>
    </row>
    <row r="1479" spans="1:49" ht="15" customHeight="1" x14ac:dyDescent="0.25">
      <c r="A1479" s="21">
        <v>24232</v>
      </c>
      <c r="B1479" s="22" t="s">
        <v>12</v>
      </c>
      <c r="C1479" s="22" t="s">
        <v>2782</v>
      </c>
      <c r="D1479" s="22" t="s">
        <v>2810</v>
      </c>
      <c r="E1479" s="22" t="s">
        <v>7996</v>
      </c>
      <c r="F1479" s="22">
        <v>30.528600000000001</v>
      </c>
      <c r="G1479" s="22">
        <v>47.8536</v>
      </c>
      <c r="H1479" s="21" t="s">
        <v>2322</v>
      </c>
      <c r="I1479" s="21" t="s">
        <v>2785</v>
      </c>
      <c r="J1479" s="21" t="s">
        <v>2811</v>
      </c>
      <c r="K1479" s="24">
        <v>1</v>
      </c>
      <c r="L1479" s="24">
        <v>6</v>
      </c>
      <c r="M1479" s="23"/>
      <c r="N1479" s="23"/>
      <c r="O1479" s="23"/>
      <c r="P1479" s="23"/>
      <c r="Q1479" s="23"/>
      <c r="R1479" s="23">
        <v>1</v>
      </c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>
        <v>1</v>
      </c>
      <c r="AL1479" s="23"/>
      <c r="AM1479" s="23"/>
      <c r="AN1479" s="23"/>
      <c r="AO1479" s="23"/>
      <c r="AP1479" s="23">
        <v>1</v>
      </c>
      <c r="AQ1479" s="23"/>
      <c r="AR1479" s="23"/>
      <c r="AS1479" s="23"/>
      <c r="AT1479" s="23"/>
      <c r="AU1479" s="14" t="str">
        <f>HYPERLINK("http://www.openstreetmap.org/?mlat=30.5286&amp;mlon=47.8536&amp;zoom=12#map=12/30.5286/47.8536","Maplink1")</f>
        <v>Maplink1</v>
      </c>
      <c r="AV1479" s="14" t="str">
        <f>HYPERLINK("https://www.google.iq/maps/search/+30.5286,47.8536/@30.5286,47.8536,14z?hl=en","Maplink2")</f>
        <v>Maplink2</v>
      </c>
      <c r="AW1479" s="14" t="str">
        <f>HYPERLINK("http://www.bing.com/maps/?lvl=14&amp;sty=h&amp;cp=30.5286~47.8536&amp;sp=point.30.5286_47.8536_Shat Al Arab St 13","Maplink3")</f>
        <v>Maplink3</v>
      </c>
    </row>
    <row r="1480" spans="1:49" ht="15" customHeight="1" x14ac:dyDescent="0.25">
      <c r="A1480" s="21">
        <v>25461</v>
      </c>
      <c r="B1480" s="22" t="s">
        <v>12</v>
      </c>
      <c r="C1480" s="22" t="s">
        <v>2782</v>
      </c>
      <c r="D1480" s="22" t="s">
        <v>7539</v>
      </c>
      <c r="E1480" s="22" t="s">
        <v>2812</v>
      </c>
      <c r="F1480" s="22">
        <v>30.531099999999999</v>
      </c>
      <c r="G1480" s="22">
        <v>47.856299999999997</v>
      </c>
      <c r="H1480" s="21" t="s">
        <v>2322</v>
      </c>
      <c r="I1480" s="21" t="s">
        <v>2785</v>
      </c>
      <c r="J1480" s="21"/>
      <c r="K1480" s="24">
        <v>3</v>
      </c>
      <c r="L1480" s="24">
        <v>18</v>
      </c>
      <c r="M1480" s="23"/>
      <c r="N1480" s="23">
        <v>3</v>
      </c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>
        <v>3</v>
      </c>
      <c r="AL1480" s="23"/>
      <c r="AM1480" s="23"/>
      <c r="AN1480" s="23"/>
      <c r="AO1480" s="23"/>
      <c r="AP1480" s="23">
        <v>3</v>
      </c>
      <c r="AQ1480" s="23"/>
      <c r="AR1480" s="23"/>
      <c r="AS1480" s="23"/>
      <c r="AT1480" s="23"/>
      <c r="AU1480" s="14" t="str">
        <f>HYPERLINK("http://www.openstreetmap.org/?mlat=30.5311&amp;mlon=47.8563&amp;zoom=12#map=12/30.5311/47.8563","Maplink1")</f>
        <v>Maplink1</v>
      </c>
      <c r="AV1480" s="14" t="str">
        <f>HYPERLINK("https://www.google.iq/maps/search/+30.5311,47.8563/@30.5311,47.8563,14z?hl=en","Maplink2")</f>
        <v>Maplink2</v>
      </c>
      <c r="AW1480" s="14" t="str">
        <f>HYPERLINK("http://www.bing.com/maps/?lvl=14&amp;sty=h&amp;cp=30.5311~47.8563&amp;sp=point.30.5311_47.8563_Shatt Al-Arab -Tanoma-17 St","Maplink3")</f>
        <v>Maplink3</v>
      </c>
    </row>
    <row r="1481" spans="1:49" ht="15" customHeight="1" x14ac:dyDescent="0.25">
      <c r="A1481" s="21">
        <v>24531</v>
      </c>
      <c r="B1481" s="22" t="s">
        <v>12</v>
      </c>
      <c r="C1481" s="22" t="s">
        <v>2782</v>
      </c>
      <c r="D1481" s="22" t="s">
        <v>7314</v>
      </c>
      <c r="E1481" s="22" t="s">
        <v>7997</v>
      </c>
      <c r="F1481" s="22">
        <v>30.531569999999999</v>
      </c>
      <c r="G1481" s="22">
        <v>47.852649999999997</v>
      </c>
      <c r="H1481" s="21" t="s">
        <v>2322</v>
      </c>
      <c r="I1481" s="21" t="s">
        <v>2785</v>
      </c>
      <c r="J1481" s="21"/>
      <c r="K1481" s="24">
        <v>1</v>
      </c>
      <c r="L1481" s="24">
        <v>6</v>
      </c>
      <c r="M1481" s="23"/>
      <c r="N1481" s="23"/>
      <c r="O1481" s="23"/>
      <c r="P1481" s="23"/>
      <c r="Q1481" s="23"/>
      <c r="R1481" s="23"/>
      <c r="S1481" s="23"/>
      <c r="T1481" s="23"/>
      <c r="U1481" s="23">
        <v>1</v>
      </c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>
        <v>1</v>
      </c>
      <c r="AL1481" s="23"/>
      <c r="AM1481" s="23"/>
      <c r="AN1481" s="23"/>
      <c r="AO1481" s="23"/>
      <c r="AP1481" s="23">
        <v>1</v>
      </c>
      <c r="AQ1481" s="23"/>
      <c r="AR1481" s="23"/>
      <c r="AS1481" s="23"/>
      <c r="AT1481" s="23"/>
      <c r="AU1481" s="14" t="str">
        <f>HYPERLINK("http://www.openstreetmap.org/?mlat=30.5316&amp;mlon=47.8526&amp;zoom=12#map=12/30.5316/47.8526","Maplink1")</f>
        <v>Maplink1</v>
      </c>
      <c r="AV1481" s="14" t="str">
        <f>HYPERLINK("https://www.google.iq/maps/search/+30.5316,47.8526/@30.5316,47.8526,14z?hl=en","Maplink2")</f>
        <v>Maplink2</v>
      </c>
      <c r="AW1481" s="14" t="str">
        <f>HYPERLINK("http://www.bing.com/maps/?lvl=14&amp;sty=h&amp;cp=30.5316~47.8526&amp;sp=point.30.5316_47.8526_Shatt Al-Arab - Tanoma-36 St","Maplink3")</f>
        <v>Maplink3</v>
      </c>
    </row>
    <row r="1482" spans="1:49" ht="15" customHeight="1" x14ac:dyDescent="0.25">
      <c r="A1482" s="21">
        <v>28458</v>
      </c>
      <c r="B1482" s="22" t="s">
        <v>12</v>
      </c>
      <c r="C1482" s="22" t="s">
        <v>2782</v>
      </c>
      <c r="D1482" s="22" t="s">
        <v>2813</v>
      </c>
      <c r="E1482" s="22" t="s">
        <v>2814</v>
      </c>
      <c r="F1482" s="22">
        <v>30.535299999999999</v>
      </c>
      <c r="G1482" s="22">
        <v>47.860300000000002</v>
      </c>
      <c r="H1482" s="21" t="s">
        <v>2322</v>
      </c>
      <c r="I1482" s="21" t="s">
        <v>2785</v>
      </c>
      <c r="J1482" s="21"/>
      <c r="K1482" s="24">
        <v>1</v>
      </c>
      <c r="L1482" s="24">
        <v>6</v>
      </c>
      <c r="M1482" s="23">
        <v>1</v>
      </c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>
        <v>1</v>
      </c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23">
        <v>1</v>
      </c>
      <c r="AS1482" s="23"/>
      <c r="AT1482" s="23"/>
      <c r="AU1482" s="14" t="str">
        <f>HYPERLINK("http://www.openstreetmap.org/?mlat=30.5353&amp;mlon=47.8603&amp;zoom=12#map=12/30.5353/47.8603","Maplink1")</f>
        <v>Maplink1</v>
      </c>
      <c r="AV1482" s="14" t="str">
        <f>HYPERLINK("https://www.google.iq/maps/search/+30.5353,47.8603/@30.5353,47.8603,14z?hl=en","Maplink2")</f>
        <v>Maplink2</v>
      </c>
      <c r="AW1482" s="14" t="str">
        <f>HYPERLINK("http://www.bing.com/maps/?lvl=14&amp;sty=h&amp;cp=30.5353~47.8603&amp;sp=point.30.5353_47.8603_Al Angaa","Maplink3")</f>
        <v>Maplink3</v>
      </c>
    </row>
    <row r="1483" spans="1:49" ht="15" customHeight="1" x14ac:dyDescent="0.25">
      <c r="A1483" s="21">
        <v>24775</v>
      </c>
      <c r="B1483" s="22" t="s">
        <v>12</v>
      </c>
      <c r="C1483" s="22" t="s">
        <v>2782</v>
      </c>
      <c r="D1483" s="22" t="s">
        <v>2815</v>
      </c>
      <c r="E1483" s="22" t="s">
        <v>7998</v>
      </c>
      <c r="F1483" s="22">
        <v>30.528099999999998</v>
      </c>
      <c r="G1483" s="22">
        <v>47.849800000000002</v>
      </c>
      <c r="H1483" s="21" t="s">
        <v>2322</v>
      </c>
      <c r="I1483" s="21" t="s">
        <v>2785</v>
      </c>
      <c r="J1483" s="21"/>
      <c r="K1483" s="24">
        <v>1</v>
      </c>
      <c r="L1483" s="24">
        <v>6</v>
      </c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>
        <v>1</v>
      </c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>
        <v>1</v>
      </c>
      <c r="AL1483" s="23"/>
      <c r="AM1483" s="23"/>
      <c r="AN1483" s="23"/>
      <c r="AO1483" s="23"/>
      <c r="AP1483" s="23">
        <v>1</v>
      </c>
      <c r="AQ1483" s="23"/>
      <c r="AR1483" s="23"/>
      <c r="AS1483" s="23"/>
      <c r="AT1483" s="23"/>
      <c r="AU1483" s="14" t="str">
        <f>HYPERLINK("http://www.openstreetmap.org/?mlat=30.5281&amp;mlon=47.8498&amp;zoom=12#map=12/30.5281/47.8498","Maplink1")</f>
        <v>Maplink1</v>
      </c>
      <c r="AV1483" s="14" t="str">
        <f>HYPERLINK("https://www.google.iq/maps/search/+30.5281,47.8498/@30.5281,47.8498,14z?hl=en","Maplink2")</f>
        <v>Maplink2</v>
      </c>
      <c r="AW1483" s="14" t="str">
        <f>HYPERLINK("http://www.bing.com/maps/?lvl=14&amp;sty=h&amp;cp=30.5281~47.8498&amp;sp=point.30.5281_47.8498_Street 40","Maplink3")</f>
        <v>Maplink3</v>
      </c>
    </row>
    <row r="1484" spans="1:49" ht="15" customHeight="1" x14ac:dyDescent="0.25">
      <c r="A1484" s="21">
        <v>25954</v>
      </c>
      <c r="B1484" s="22" t="s">
        <v>12</v>
      </c>
      <c r="C1484" s="22" t="s">
        <v>2782</v>
      </c>
      <c r="D1484" s="22" t="s">
        <v>2816</v>
      </c>
      <c r="E1484" s="22" t="s">
        <v>7999</v>
      </c>
      <c r="F1484" s="22">
        <v>30.534343</v>
      </c>
      <c r="G1484" s="22">
        <v>47.857638799999997</v>
      </c>
      <c r="H1484" s="21" t="s">
        <v>2322</v>
      </c>
      <c r="I1484" s="21" t="s">
        <v>2785</v>
      </c>
      <c r="J1484" s="21"/>
      <c r="K1484" s="24">
        <v>1</v>
      </c>
      <c r="L1484" s="24">
        <v>6</v>
      </c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1</v>
      </c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>
        <v>1</v>
      </c>
      <c r="AL1484" s="23"/>
      <c r="AM1484" s="23"/>
      <c r="AN1484" s="23"/>
      <c r="AO1484" s="23"/>
      <c r="AP1484" s="23">
        <v>1</v>
      </c>
      <c r="AQ1484" s="23"/>
      <c r="AR1484" s="23"/>
      <c r="AS1484" s="23"/>
      <c r="AT1484" s="23"/>
      <c r="AU1484" s="14" t="str">
        <f>HYPERLINK("http://www.openstreetmap.org/?mlat=30.5343&amp;mlon=47.8576&amp;zoom=12#map=12/30.5343/47.8576","Maplink1")</f>
        <v>Maplink1</v>
      </c>
      <c r="AV1484" s="14" t="str">
        <f>HYPERLINK("https://www.google.iq/maps/search/+30.5343,47.8576/@30.5343,47.8576,14z?hl=en","Maplink2")</f>
        <v>Maplink2</v>
      </c>
      <c r="AW1484" s="14" t="str">
        <f>HYPERLINK("http://www.bing.com/maps/?lvl=14&amp;sty=h&amp;cp=30.5343~47.8576&amp;sp=point.30.5343_47.8576_Tanuma-Street 32","Maplink3")</f>
        <v>Maplink3</v>
      </c>
    </row>
    <row r="1485" spans="1:49" ht="15" customHeight="1" x14ac:dyDescent="0.25">
      <c r="A1485" s="21">
        <v>7861</v>
      </c>
      <c r="B1485" s="22" t="s">
        <v>13</v>
      </c>
      <c r="C1485" s="22" t="s">
        <v>2817</v>
      </c>
      <c r="D1485" s="22" t="s">
        <v>2817</v>
      </c>
      <c r="E1485" s="22" t="s">
        <v>2818</v>
      </c>
      <c r="F1485" s="22">
        <v>37.052999999999997</v>
      </c>
      <c r="G1485" s="22">
        <v>43.291499999999999</v>
      </c>
      <c r="H1485" s="21" t="s">
        <v>2819</v>
      </c>
      <c r="I1485" s="21" t="s">
        <v>2820</v>
      </c>
      <c r="J1485" s="21" t="s">
        <v>2821</v>
      </c>
      <c r="K1485" s="24">
        <v>82</v>
      </c>
      <c r="L1485" s="24">
        <v>492</v>
      </c>
      <c r="M1485" s="23">
        <v>5</v>
      </c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>
        <v>77</v>
      </c>
      <c r="Z1485" s="23"/>
      <c r="AA1485" s="23"/>
      <c r="AB1485" s="23"/>
      <c r="AC1485" s="23"/>
      <c r="AD1485" s="23"/>
      <c r="AE1485" s="23"/>
      <c r="AF1485" s="23">
        <v>19</v>
      </c>
      <c r="AG1485" s="23"/>
      <c r="AH1485" s="23"/>
      <c r="AI1485" s="23"/>
      <c r="AJ1485" s="23">
        <v>2</v>
      </c>
      <c r="AK1485" s="23">
        <v>61</v>
      </c>
      <c r="AL1485" s="23"/>
      <c r="AM1485" s="23"/>
      <c r="AN1485" s="23"/>
      <c r="AO1485" s="23">
        <v>5</v>
      </c>
      <c r="AP1485" s="23">
        <v>6</v>
      </c>
      <c r="AQ1485" s="23">
        <v>71</v>
      </c>
      <c r="AR1485" s="23"/>
      <c r="AS1485" s="23"/>
      <c r="AT1485" s="23"/>
      <c r="AU1485" s="14" t="str">
        <f>HYPERLINK("http://www.openstreetmap.org/?mlat=37.053&amp;mlon=43.2915&amp;zoom=12#map=12/37.053/43.2915","Maplink1")</f>
        <v>Maplink1</v>
      </c>
      <c r="AV1485" s="14" t="str">
        <f>HYPERLINK("https://www.google.iq/maps/search/+37.053,43.2915/@37.053,43.2915,14z?hl=en","Maplink2")</f>
        <v>Maplink2</v>
      </c>
      <c r="AW1485" s="14" t="str">
        <f>HYPERLINK("http://www.bing.com/maps/?lvl=14&amp;sty=h&amp;cp=37.053~43.2915&amp;sp=point.37.053_43.2915_Amedi","Maplink3")</f>
        <v>Maplink3</v>
      </c>
    </row>
    <row r="1486" spans="1:49" ht="15" customHeight="1" x14ac:dyDescent="0.25">
      <c r="A1486" s="21">
        <v>8171</v>
      </c>
      <c r="B1486" s="22" t="s">
        <v>13</v>
      </c>
      <c r="C1486" s="22" t="s">
        <v>2817</v>
      </c>
      <c r="D1486" s="22" t="s">
        <v>2822</v>
      </c>
      <c r="E1486" s="22" t="s">
        <v>2823</v>
      </c>
      <c r="F1486" s="22">
        <v>37.063400000000001</v>
      </c>
      <c r="G1486" s="22">
        <v>43.1905</v>
      </c>
      <c r="H1486" s="21" t="s">
        <v>2819</v>
      </c>
      <c r="I1486" s="21" t="s">
        <v>2820</v>
      </c>
      <c r="J1486" s="21" t="s">
        <v>2824</v>
      </c>
      <c r="K1486" s="24">
        <v>53</v>
      </c>
      <c r="L1486" s="24">
        <v>318</v>
      </c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>
        <v>47</v>
      </c>
      <c r="Z1486" s="23"/>
      <c r="AA1486" s="23">
        <v>6</v>
      </c>
      <c r="AB1486" s="23"/>
      <c r="AC1486" s="23"/>
      <c r="AD1486" s="23"/>
      <c r="AE1486" s="23"/>
      <c r="AF1486" s="23">
        <v>41</v>
      </c>
      <c r="AG1486" s="23"/>
      <c r="AH1486" s="23"/>
      <c r="AI1486" s="23"/>
      <c r="AJ1486" s="23"/>
      <c r="AK1486" s="23">
        <v>12</v>
      </c>
      <c r="AL1486" s="23"/>
      <c r="AM1486" s="23"/>
      <c r="AN1486" s="23"/>
      <c r="AO1486" s="23"/>
      <c r="AP1486" s="23">
        <v>6</v>
      </c>
      <c r="AQ1486" s="23">
        <v>47</v>
      </c>
      <c r="AR1486" s="23"/>
      <c r="AS1486" s="23"/>
      <c r="AT1486" s="23"/>
      <c r="AU1486" s="14" t="str">
        <f>HYPERLINK("http://www.openstreetmap.org/?mlat=37.0634&amp;mlon=43.1905&amp;zoom=12#map=12/37.0634/43.1905","Maplink1")</f>
        <v>Maplink1</v>
      </c>
      <c r="AV1486" s="14" t="str">
        <f>HYPERLINK("https://www.google.iq/maps/search/+37.0634,43.1905/@37.0634,43.1905,14z?hl=en","Maplink2")</f>
        <v>Maplink2</v>
      </c>
      <c r="AW1486" s="14" t="str">
        <f>HYPERLINK("http://www.bing.com/maps/?lvl=14&amp;sty=h&amp;cp=37.0634~43.1905&amp;sp=point.37.0634_43.1905_Aradin","Maplink3")</f>
        <v>Maplink3</v>
      </c>
    </row>
    <row r="1487" spans="1:49" ht="15" customHeight="1" x14ac:dyDescent="0.25">
      <c r="A1487" s="21">
        <v>7870</v>
      </c>
      <c r="B1487" s="22" t="s">
        <v>13</v>
      </c>
      <c r="C1487" s="22" t="s">
        <v>2817</v>
      </c>
      <c r="D1487" s="22" t="s">
        <v>2825</v>
      </c>
      <c r="E1487" s="22" t="s">
        <v>2826</v>
      </c>
      <c r="F1487" s="22">
        <v>37.020000000000003</v>
      </c>
      <c r="G1487" s="22">
        <v>43.28</v>
      </c>
      <c r="H1487" s="21" t="s">
        <v>2819</v>
      </c>
      <c r="I1487" s="21" t="s">
        <v>2820</v>
      </c>
      <c r="J1487" s="21" t="s">
        <v>2827</v>
      </c>
      <c r="K1487" s="24">
        <v>64</v>
      </c>
      <c r="L1487" s="24">
        <v>384</v>
      </c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>
        <v>64</v>
      </c>
      <c r="Z1487" s="23"/>
      <c r="AA1487" s="23"/>
      <c r="AB1487" s="23"/>
      <c r="AC1487" s="23"/>
      <c r="AD1487" s="23"/>
      <c r="AE1487" s="23"/>
      <c r="AF1487" s="23">
        <v>18</v>
      </c>
      <c r="AG1487" s="23"/>
      <c r="AH1487" s="23"/>
      <c r="AI1487" s="23"/>
      <c r="AJ1487" s="23"/>
      <c r="AK1487" s="23">
        <v>38</v>
      </c>
      <c r="AL1487" s="23"/>
      <c r="AM1487" s="23">
        <v>8</v>
      </c>
      <c r="AN1487" s="23"/>
      <c r="AO1487" s="23"/>
      <c r="AP1487" s="23"/>
      <c r="AQ1487" s="23">
        <v>64</v>
      </c>
      <c r="AR1487" s="23"/>
      <c r="AS1487" s="23"/>
      <c r="AT1487" s="23"/>
      <c r="AU1487" s="14" t="str">
        <f>HYPERLINK("http://www.openstreetmap.org/?mlat=37.02&amp;mlon=43.28&amp;zoom=12#map=12/37.02/43.28","Maplink1")</f>
        <v>Maplink1</v>
      </c>
      <c r="AV1487" s="14" t="str">
        <f>HYPERLINK("https://www.google.iq/maps/search/+37.02,43.28/@37.02,43.28,14z?hl=en","Maplink2")</f>
        <v>Maplink2</v>
      </c>
      <c r="AW1487" s="14" t="str">
        <f>HYPERLINK("http://www.bing.com/maps/?lvl=14&amp;sty=h&amp;cp=37.02~43.28&amp;sp=point.37.02_43.28_Ashawa","Maplink3")</f>
        <v>Maplink3</v>
      </c>
    </row>
    <row r="1488" spans="1:49" ht="15" customHeight="1" x14ac:dyDescent="0.25">
      <c r="A1488" s="21">
        <v>22613</v>
      </c>
      <c r="B1488" s="22" t="s">
        <v>13</v>
      </c>
      <c r="C1488" s="22" t="s">
        <v>2817</v>
      </c>
      <c r="D1488" s="22" t="s">
        <v>2828</v>
      </c>
      <c r="E1488" s="22" t="s">
        <v>2829</v>
      </c>
      <c r="F1488" s="22">
        <v>37.046863000000002</v>
      </c>
      <c r="G1488" s="22">
        <v>43.361716999999999</v>
      </c>
      <c r="H1488" s="21" t="s">
        <v>1449</v>
      </c>
      <c r="I1488" s="21" t="s">
        <v>2157</v>
      </c>
      <c r="J1488" s="21" t="s">
        <v>2830</v>
      </c>
      <c r="K1488" s="24">
        <v>37</v>
      </c>
      <c r="L1488" s="24">
        <v>222</v>
      </c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>
        <v>37</v>
      </c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>
        <v>33</v>
      </c>
      <c r="AL1488" s="23"/>
      <c r="AM1488" s="23">
        <v>4</v>
      </c>
      <c r="AN1488" s="23"/>
      <c r="AO1488" s="23"/>
      <c r="AP1488" s="23"/>
      <c r="AQ1488" s="23">
        <v>37</v>
      </c>
      <c r="AR1488" s="23"/>
      <c r="AS1488" s="23"/>
      <c r="AT1488" s="23"/>
      <c r="AU1488" s="14" t="str">
        <f>HYPERLINK("http://www.openstreetmap.org/?mlat=37.0469&amp;mlon=43.3617&amp;zoom=12#map=12/37.0469/43.3617","Maplink1")</f>
        <v>Maplink1</v>
      </c>
      <c r="AV1488" s="14" t="str">
        <f>HYPERLINK("https://www.google.iq/maps/search/+37.0469,43.3617/@37.0469,43.3617,14z?hl=en","Maplink2")</f>
        <v>Maplink2</v>
      </c>
      <c r="AW1488" s="14" t="str">
        <f>HYPERLINK("http://www.bing.com/maps/?lvl=14&amp;sty=h&amp;cp=37.0469~43.3617&amp;sp=point.37.0469_43.3617","Maplink3")</f>
        <v>Maplink3</v>
      </c>
    </row>
    <row r="1489" spans="1:49" ht="15" customHeight="1" x14ac:dyDescent="0.25">
      <c r="A1489" s="21">
        <v>8189</v>
      </c>
      <c r="B1489" s="22" t="s">
        <v>13</v>
      </c>
      <c r="C1489" s="22" t="s">
        <v>2817</v>
      </c>
      <c r="D1489" s="22" t="s">
        <v>2831</v>
      </c>
      <c r="E1489" s="22" t="s">
        <v>2832</v>
      </c>
      <c r="F1489" s="22">
        <v>37.11</v>
      </c>
      <c r="G1489" s="22">
        <v>43.26</v>
      </c>
      <c r="H1489" s="21" t="s">
        <v>2819</v>
      </c>
      <c r="I1489" s="21" t="s">
        <v>2820</v>
      </c>
      <c r="J1489" s="21" t="s">
        <v>2833</v>
      </c>
      <c r="K1489" s="24">
        <v>155</v>
      </c>
      <c r="L1489" s="24">
        <v>930</v>
      </c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>
        <v>155</v>
      </c>
      <c r="Z1489" s="23"/>
      <c r="AA1489" s="23"/>
      <c r="AB1489" s="23"/>
      <c r="AC1489" s="23"/>
      <c r="AD1489" s="23"/>
      <c r="AE1489" s="23"/>
      <c r="AF1489" s="23">
        <v>26</v>
      </c>
      <c r="AG1489" s="23"/>
      <c r="AH1489" s="23"/>
      <c r="AI1489" s="23"/>
      <c r="AJ1489" s="23"/>
      <c r="AK1489" s="23">
        <v>11</v>
      </c>
      <c r="AL1489" s="23"/>
      <c r="AM1489" s="23">
        <v>118</v>
      </c>
      <c r="AN1489" s="23"/>
      <c r="AO1489" s="23"/>
      <c r="AP1489" s="23"/>
      <c r="AQ1489" s="23">
        <v>155</v>
      </c>
      <c r="AR1489" s="23"/>
      <c r="AS1489" s="23"/>
      <c r="AT1489" s="23"/>
      <c r="AU1489" s="14" t="str">
        <f>HYPERLINK("http://www.openstreetmap.org/?mlat=37.11&amp;mlon=43.26&amp;zoom=12#map=12/37.11/43.26","Maplink1")</f>
        <v>Maplink1</v>
      </c>
      <c r="AV1489" s="14" t="str">
        <f>HYPERLINK("https://www.google.iq/maps/search/+37.11,43.26/@37.11,43.26,14z?hl=en","Maplink2")</f>
        <v>Maplink2</v>
      </c>
      <c r="AW1489" s="14" t="str">
        <f>HYPERLINK("http://www.bing.com/maps/?lvl=14&amp;sty=h&amp;cp=37.11~43.26&amp;sp=point.37.11_43.26_Bamarne","Maplink3")</f>
        <v>Maplink3</v>
      </c>
    </row>
    <row r="1490" spans="1:49" ht="15" customHeight="1" x14ac:dyDescent="0.25">
      <c r="A1490" s="21">
        <v>7770</v>
      </c>
      <c r="B1490" s="22" t="s">
        <v>13</v>
      </c>
      <c r="C1490" s="22" t="s">
        <v>2817</v>
      </c>
      <c r="D1490" s="22" t="s">
        <v>2834</v>
      </c>
      <c r="E1490" s="22" t="s">
        <v>2835</v>
      </c>
      <c r="F1490" s="22">
        <v>36.94</v>
      </c>
      <c r="G1490" s="22">
        <v>43.4</v>
      </c>
      <c r="H1490" s="21" t="s">
        <v>2819</v>
      </c>
      <c r="I1490" s="21" t="s">
        <v>2820</v>
      </c>
      <c r="J1490" s="21" t="s">
        <v>2836</v>
      </c>
      <c r="K1490" s="24">
        <v>89</v>
      </c>
      <c r="L1490" s="24">
        <v>534</v>
      </c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>
        <v>89</v>
      </c>
      <c r="Z1490" s="23"/>
      <c r="AA1490" s="23"/>
      <c r="AB1490" s="23"/>
      <c r="AC1490" s="23"/>
      <c r="AD1490" s="23"/>
      <c r="AE1490" s="23"/>
      <c r="AF1490" s="23">
        <v>35</v>
      </c>
      <c r="AG1490" s="23"/>
      <c r="AH1490" s="23"/>
      <c r="AI1490" s="23"/>
      <c r="AJ1490" s="23"/>
      <c r="AK1490" s="23">
        <v>54</v>
      </c>
      <c r="AL1490" s="23"/>
      <c r="AM1490" s="23"/>
      <c r="AN1490" s="23"/>
      <c r="AO1490" s="23"/>
      <c r="AP1490" s="23">
        <v>20</v>
      </c>
      <c r="AQ1490" s="23">
        <v>69</v>
      </c>
      <c r="AR1490" s="23"/>
      <c r="AS1490" s="23"/>
      <c r="AT1490" s="23"/>
      <c r="AU1490" s="14" t="str">
        <f>HYPERLINK("http://www.openstreetmap.org/?mlat=36.94&amp;mlon=43.4&amp;zoom=12#map=12/36.94/43.4","Maplink1")</f>
        <v>Maplink1</v>
      </c>
      <c r="AV1490" s="14" t="str">
        <f>HYPERLINK("https://www.google.iq/maps/search/+36.94,43.4/@36.94,43.4,14z?hl=en","Maplink2")</f>
        <v>Maplink2</v>
      </c>
      <c r="AW1490" s="14" t="str">
        <f>HYPERLINK("http://www.bing.com/maps/?lvl=14&amp;sty=h&amp;cp=36.94~43.4&amp;sp=point.36.94_43.4_Chamanke","Maplink3")</f>
        <v>Maplink3</v>
      </c>
    </row>
    <row r="1491" spans="1:49" ht="15" customHeight="1" x14ac:dyDescent="0.25">
      <c r="A1491" s="21">
        <v>24920</v>
      </c>
      <c r="B1491" s="22" t="s">
        <v>13</v>
      </c>
      <c r="C1491" s="22" t="s">
        <v>2817</v>
      </c>
      <c r="D1491" s="22" t="s">
        <v>2837</v>
      </c>
      <c r="E1491" s="22" t="s">
        <v>2838</v>
      </c>
      <c r="F1491" s="22">
        <v>37.089891000000001</v>
      </c>
      <c r="G1491" s="22">
        <v>43.222997999999997</v>
      </c>
      <c r="H1491" s="21" t="s">
        <v>2819</v>
      </c>
      <c r="I1491" s="21" t="s">
        <v>2820</v>
      </c>
      <c r="J1491" s="21"/>
      <c r="K1491" s="24">
        <v>756</v>
      </c>
      <c r="L1491" s="24">
        <v>4536</v>
      </c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>
        <v>756</v>
      </c>
      <c r="Z1491" s="23"/>
      <c r="AA1491" s="23"/>
      <c r="AB1491" s="23"/>
      <c r="AC1491" s="23"/>
      <c r="AD1491" s="23"/>
      <c r="AE1491" s="23">
        <v>756</v>
      </c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>
        <v>756</v>
      </c>
      <c r="AR1491" s="23"/>
      <c r="AS1491" s="23"/>
      <c r="AT1491" s="23"/>
      <c r="AU1491" s="14" t="str">
        <f>HYPERLINK("http://www.openstreetmap.org/?mlat=37.0899&amp;mlon=43.223&amp;zoom=12#map=12/37.0899/43.223","Maplink1")</f>
        <v>Maplink1</v>
      </c>
      <c r="AV1491" s="14" t="str">
        <f>HYPERLINK("https://www.google.iq/maps/search/+37.0899,43.223/@37.0899,43.223,14z?hl=en","Maplink2")</f>
        <v>Maplink2</v>
      </c>
      <c r="AW1491" s="14" t="str">
        <f>HYPERLINK("http://www.bing.com/maps/?lvl=14&amp;sty=h&amp;cp=37.0899~43.223&amp;sp=point.37.0899_43.223_Dawodia Camp","Maplink3")</f>
        <v>Maplink3</v>
      </c>
    </row>
    <row r="1492" spans="1:49" ht="15" customHeight="1" x14ac:dyDescent="0.25">
      <c r="A1492" s="21">
        <v>8229</v>
      </c>
      <c r="B1492" s="22" t="s">
        <v>13</v>
      </c>
      <c r="C1492" s="22" t="s">
        <v>2817</v>
      </c>
      <c r="D1492" s="22" t="s">
        <v>2839</v>
      </c>
      <c r="E1492" s="22" t="s">
        <v>2840</v>
      </c>
      <c r="F1492" s="22">
        <v>37.049999999999997</v>
      </c>
      <c r="G1492" s="22">
        <v>43.64</v>
      </c>
      <c r="H1492" s="21" t="s">
        <v>2819</v>
      </c>
      <c r="I1492" s="21" t="s">
        <v>2820</v>
      </c>
      <c r="J1492" s="21" t="s">
        <v>2841</v>
      </c>
      <c r="K1492" s="24">
        <v>152</v>
      </c>
      <c r="L1492" s="24">
        <v>912</v>
      </c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>
        <v>152</v>
      </c>
      <c r="Z1492" s="23"/>
      <c r="AA1492" s="23"/>
      <c r="AB1492" s="23"/>
      <c r="AC1492" s="23"/>
      <c r="AD1492" s="23"/>
      <c r="AE1492" s="23"/>
      <c r="AF1492" s="23">
        <v>69</v>
      </c>
      <c r="AG1492" s="23"/>
      <c r="AH1492" s="23"/>
      <c r="AI1492" s="23"/>
      <c r="AJ1492" s="23"/>
      <c r="AK1492" s="23">
        <v>77</v>
      </c>
      <c r="AL1492" s="23"/>
      <c r="AM1492" s="23">
        <v>6</v>
      </c>
      <c r="AN1492" s="23"/>
      <c r="AO1492" s="23"/>
      <c r="AP1492" s="23">
        <v>59</v>
      </c>
      <c r="AQ1492" s="23">
        <v>93</v>
      </c>
      <c r="AR1492" s="23"/>
      <c r="AS1492" s="23"/>
      <c r="AT1492" s="23"/>
      <c r="AU1492" s="14" t="str">
        <f>HYPERLINK("http://www.openstreetmap.org/?mlat=37.05&amp;mlon=43.64&amp;zoom=12#map=12/37.05/43.64","Maplink1")</f>
        <v>Maplink1</v>
      </c>
      <c r="AV1492" s="14" t="str">
        <f>HYPERLINK("https://www.google.iq/maps/search/+37.05,43.64/@37.05,43.64,14z?hl=en","Maplink2")</f>
        <v>Maplink2</v>
      </c>
      <c r="AW1492" s="14" t="str">
        <f>HYPERLINK("http://www.bing.com/maps/?lvl=14&amp;sty=h&amp;cp=37.05~43.64&amp;sp=point.37.05_43.64_Deraluk","Maplink3")</f>
        <v>Maplink3</v>
      </c>
    </row>
    <row r="1493" spans="1:49" ht="15" customHeight="1" x14ac:dyDescent="0.25">
      <c r="A1493" s="21">
        <v>7860</v>
      </c>
      <c r="B1493" s="22" t="s">
        <v>13</v>
      </c>
      <c r="C1493" s="22" t="s">
        <v>2817</v>
      </c>
      <c r="D1493" s="22" t="s">
        <v>2842</v>
      </c>
      <c r="E1493" s="22" t="s">
        <v>2843</v>
      </c>
      <c r="F1493" s="22">
        <v>37.061799999999998</v>
      </c>
      <c r="G1493" s="22">
        <v>43.214399999999998</v>
      </c>
      <c r="H1493" s="21" t="s">
        <v>2819</v>
      </c>
      <c r="I1493" s="21" t="s">
        <v>2820</v>
      </c>
      <c r="J1493" s="21" t="s">
        <v>2844</v>
      </c>
      <c r="K1493" s="24">
        <v>291</v>
      </c>
      <c r="L1493" s="24">
        <v>1746</v>
      </c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>
        <v>291</v>
      </c>
      <c r="Z1493" s="23"/>
      <c r="AA1493" s="23"/>
      <c r="AB1493" s="23"/>
      <c r="AC1493" s="23"/>
      <c r="AD1493" s="23"/>
      <c r="AE1493" s="23"/>
      <c r="AF1493" s="23">
        <v>45</v>
      </c>
      <c r="AG1493" s="23"/>
      <c r="AH1493" s="23"/>
      <c r="AI1493" s="23"/>
      <c r="AJ1493" s="23">
        <v>9</v>
      </c>
      <c r="AK1493" s="23">
        <v>33</v>
      </c>
      <c r="AL1493" s="23"/>
      <c r="AM1493" s="23">
        <v>204</v>
      </c>
      <c r="AN1493" s="23"/>
      <c r="AO1493" s="23"/>
      <c r="AP1493" s="23">
        <v>10</v>
      </c>
      <c r="AQ1493" s="23">
        <v>281</v>
      </c>
      <c r="AR1493" s="23"/>
      <c r="AS1493" s="23"/>
      <c r="AT1493" s="23"/>
      <c r="AU1493" s="14" t="str">
        <f>HYPERLINK("http://www.openstreetmap.org/?mlat=37.0618&amp;mlon=43.2144&amp;zoom=12#map=12/37.0618/43.2144","Maplink1")</f>
        <v>Maplink1</v>
      </c>
      <c r="AV1493" s="14" t="str">
        <f>HYPERLINK("https://www.google.iq/maps/search/+37.0618,43.2144/@37.0618,43.2144,14z?hl=en","Maplink2")</f>
        <v>Maplink2</v>
      </c>
      <c r="AW1493" s="14" t="str">
        <f>HYPERLINK("http://www.bing.com/maps/?lvl=14&amp;sty=h&amp;cp=37.0618~43.2144&amp;sp=point.37.0618_43.2144_Inishke","Maplink3")</f>
        <v>Maplink3</v>
      </c>
    </row>
    <row r="1494" spans="1:49" ht="15" customHeight="1" x14ac:dyDescent="0.25">
      <c r="A1494" s="21">
        <v>29567</v>
      </c>
      <c r="B1494" s="22" t="s">
        <v>13</v>
      </c>
      <c r="C1494" s="22" t="s">
        <v>2817</v>
      </c>
      <c r="D1494" s="22" t="s">
        <v>7461</v>
      </c>
      <c r="E1494" s="22" t="s">
        <v>7462</v>
      </c>
      <c r="F1494" s="22">
        <v>37.082493999999997</v>
      </c>
      <c r="G1494" s="22">
        <v>43.524493999999997</v>
      </c>
      <c r="H1494" s="21" t="s">
        <v>2819</v>
      </c>
      <c r="I1494" s="21" t="s">
        <v>2820</v>
      </c>
      <c r="J1494" s="21"/>
      <c r="K1494" s="24">
        <v>50</v>
      </c>
      <c r="L1494" s="24">
        <v>300</v>
      </c>
      <c r="M1494" s="23">
        <v>2</v>
      </c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>
        <v>48</v>
      </c>
      <c r="Z1494" s="23"/>
      <c r="AA1494" s="23"/>
      <c r="AB1494" s="23"/>
      <c r="AC1494" s="23"/>
      <c r="AD1494" s="23"/>
      <c r="AE1494" s="23"/>
      <c r="AF1494" s="23">
        <v>17</v>
      </c>
      <c r="AG1494" s="23"/>
      <c r="AH1494" s="23"/>
      <c r="AI1494" s="23"/>
      <c r="AJ1494" s="23">
        <v>3</v>
      </c>
      <c r="AK1494" s="23">
        <v>25</v>
      </c>
      <c r="AL1494" s="23"/>
      <c r="AM1494" s="23">
        <v>5</v>
      </c>
      <c r="AN1494" s="23"/>
      <c r="AO1494" s="23">
        <v>2</v>
      </c>
      <c r="AP1494" s="23">
        <v>2</v>
      </c>
      <c r="AQ1494" s="23">
        <v>46</v>
      </c>
      <c r="AR1494" s="23"/>
      <c r="AS1494" s="23"/>
      <c r="AT1494" s="23"/>
      <c r="AU1494" s="14" t="str">
        <f>HYPERLINK("http://www.openstreetmap.org/?mlat=37.0825&amp;mlon=43.5245&amp;zoom=12#map=12/37.0825/43.5245","Maplink1")</f>
        <v>Maplink1</v>
      </c>
      <c r="AV1494" s="14" t="str">
        <f>HYPERLINK("https://www.google.iq/maps/search/+37.0825,43.5245/@37.0825,43.5245,14z?hl=en","Maplink2")</f>
        <v>Maplink2</v>
      </c>
      <c r="AW1494" s="14" t="str">
        <f>HYPERLINK("http://www.bing.com/maps/?lvl=14&amp;sty=h&amp;cp=37.0825~43.5245&amp;sp=point.37.0825_43.5245","Maplink3")</f>
        <v>Maplink3</v>
      </c>
    </row>
    <row r="1495" spans="1:49" ht="15" customHeight="1" x14ac:dyDescent="0.25">
      <c r="A1495" s="21">
        <v>8443</v>
      </c>
      <c r="B1495" s="22" t="s">
        <v>13</v>
      </c>
      <c r="C1495" s="22" t="s">
        <v>2817</v>
      </c>
      <c r="D1495" s="22" t="s">
        <v>2845</v>
      </c>
      <c r="E1495" s="22" t="s">
        <v>2846</v>
      </c>
      <c r="F1495" s="22">
        <v>37.134500000000003</v>
      </c>
      <c r="G1495" s="22">
        <v>43.262500000000003</v>
      </c>
      <c r="H1495" s="21" t="s">
        <v>2819</v>
      </c>
      <c r="I1495" s="21" t="s">
        <v>2820</v>
      </c>
      <c r="J1495" s="21" t="s">
        <v>2847</v>
      </c>
      <c r="K1495" s="24">
        <v>58</v>
      </c>
      <c r="L1495" s="24">
        <v>348</v>
      </c>
      <c r="M1495" s="23">
        <v>1</v>
      </c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57</v>
      </c>
      <c r="Z1495" s="23"/>
      <c r="AA1495" s="23"/>
      <c r="AB1495" s="23"/>
      <c r="AC1495" s="23"/>
      <c r="AD1495" s="23"/>
      <c r="AE1495" s="23"/>
      <c r="AF1495" s="23">
        <v>56</v>
      </c>
      <c r="AG1495" s="23"/>
      <c r="AH1495" s="23"/>
      <c r="AI1495" s="23"/>
      <c r="AJ1495" s="23"/>
      <c r="AK1495" s="23">
        <v>2</v>
      </c>
      <c r="AL1495" s="23"/>
      <c r="AM1495" s="23"/>
      <c r="AN1495" s="23"/>
      <c r="AO1495" s="23">
        <v>1</v>
      </c>
      <c r="AP1495" s="23">
        <v>18</v>
      </c>
      <c r="AQ1495" s="23">
        <v>39</v>
      </c>
      <c r="AR1495" s="23"/>
      <c r="AS1495" s="23"/>
      <c r="AT1495" s="23"/>
      <c r="AU1495" s="14" t="str">
        <f>HYPERLINK("http://www.openstreetmap.org/?mlat=37.1345&amp;mlon=43.2625&amp;zoom=12#map=12/37.1345/43.2625","Maplink1")</f>
        <v>Maplink1</v>
      </c>
      <c r="AV1495" s="14" t="str">
        <f>HYPERLINK("https://www.google.iq/maps/search/+37.1345,43.2625/@37.1345,43.2625,14z?hl=en","Maplink2")</f>
        <v>Maplink2</v>
      </c>
      <c r="AW1495" s="14" t="str">
        <f>HYPERLINK("http://www.bing.com/maps/?lvl=14&amp;sty=h&amp;cp=37.1345~43.2625&amp;sp=point.37.1345_43.2625_Kani Mase","Maplink3")</f>
        <v>Maplink3</v>
      </c>
    </row>
    <row r="1496" spans="1:49" ht="15" customHeight="1" x14ac:dyDescent="0.25">
      <c r="A1496" s="21">
        <v>23903</v>
      </c>
      <c r="B1496" s="22" t="s">
        <v>13</v>
      </c>
      <c r="C1496" s="22" t="s">
        <v>2817</v>
      </c>
      <c r="D1496" s="22" t="s">
        <v>2848</v>
      </c>
      <c r="E1496" s="22" t="s">
        <v>2849</v>
      </c>
      <c r="F1496" s="22">
        <v>37.052500000000002</v>
      </c>
      <c r="G1496" s="22">
        <v>43.284300000000002</v>
      </c>
      <c r="H1496" s="21" t="s">
        <v>2819</v>
      </c>
      <c r="I1496" s="21" t="s">
        <v>2820</v>
      </c>
      <c r="J1496" s="21" t="s">
        <v>2850</v>
      </c>
      <c r="K1496" s="24">
        <v>202</v>
      </c>
      <c r="L1496" s="24">
        <v>1212</v>
      </c>
      <c r="M1496" s="23">
        <v>34</v>
      </c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166</v>
      </c>
      <c r="Z1496" s="23"/>
      <c r="AA1496" s="23">
        <v>2</v>
      </c>
      <c r="AB1496" s="23"/>
      <c r="AC1496" s="23"/>
      <c r="AD1496" s="23"/>
      <c r="AE1496" s="23"/>
      <c r="AF1496" s="23">
        <v>60</v>
      </c>
      <c r="AG1496" s="23">
        <v>44</v>
      </c>
      <c r="AH1496" s="23"/>
      <c r="AI1496" s="23"/>
      <c r="AJ1496" s="23"/>
      <c r="AK1496" s="23">
        <v>53</v>
      </c>
      <c r="AL1496" s="23"/>
      <c r="AM1496" s="23">
        <v>45</v>
      </c>
      <c r="AN1496" s="23"/>
      <c r="AO1496" s="23">
        <v>34</v>
      </c>
      <c r="AP1496" s="23">
        <v>27</v>
      </c>
      <c r="AQ1496" s="23">
        <v>141</v>
      </c>
      <c r="AR1496" s="23"/>
      <c r="AS1496" s="23"/>
      <c r="AT1496" s="23"/>
      <c r="AU1496" s="14" t="str">
        <f>HYPERLINK("http://www.openstreetmap.org/?mlat=37.0525&amp;mlon=43.2843&amp;zoom=12#map=12/37.0525/43.2843","Maplink1")</f>
        <v>Maplink1</v>
      </c>
      <c r="AV1496" s="14" t="str">
        <f>HYPERLINK("https://www.google.iq/maps/search/+37.0525,43.2843/@37.0525,43.2843,14z?hl=en","Maplink2")</f>
        <v>Maplink2</v>
      </c>
      <c r="AW1496" s="14" t="str">
        <f>HYPERLINK("http://www.bing.com/maps/?lvl=14&amp;sty=h&amp;cp=37.0525~43.2843&amp;sp=point.37.0525_43.2843_Kaniya Mala","Maplink3")</f>
        <v>Maplink3</v>
      </c>
    </row>
    <row r="1497" spans="1:49" ht="15" customHeight="1" x14ac:dyDescent="0.25">
      <c r="A1497" s="21">
        <v>7768</v>
      </c>
      <c r="B1497" s="22" t="s">
        <v>13</v>
      </c>
      <c r="C1497" s="22" t="s">
        <v>2817</v>
      </c>
      <c r="D1497" s="22" t="s">
        <v>2851</v>
      </c>
      <c r="E1497" s="22" t="s">
        <v>2852</v>
      </c>
      <c r="F1497" s="22">
        <v>36.944699999999997</v>
      </c>
      <c r="G1497" s="22">
        <v>43.392029999999998</v>
      </c>
      <c r="H1497" s="21" t="s">
        <v>2819</v>
      </c>
      <c r="I1497" s="21" t="s">
        <v>2820</v>
      </c>
      <c r="J1497" s="21" t="s">
        <v>2853</v>
      </c>
      <c r="K1497" s="24">
        <v>46</v>
      </c>
      <c r="L1497" s="24">
        <v>276</v>
      </c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>
        <v>46</v>
      </c>
      <c r="Z1497" s="23"/>
      <c r="AA1497" s="23"/>
      <c r="AB1497" s="23"/>
      <c r="AC1497" s="23"/>
      <c r="AD1497" s="23"/>
      <c r="AE1497" s="23"/>
      <c r="AF1497" s="23">
        <v>46</v>
      </c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>
        <v>46</v>
      </c>
      <c r="AR1497" s="23"/>
      <c r="AS1497" s="23"/>
      <c r="AT1497" s="23"/>
      <c r="AU1497" s="14" t="str">
        <f>HYPERLINK("http://www.openstreetmap.org/?mlat=36.9447&amp;mlon=43.392&amp;zoom=12#map=12/36.9447/43.392","Maplink1")</f>
        <v>Maplink1</v>
      </c>
      <c r="AV1497" s="14" t="str">
        <f>HYPERLINK("https://www.google.iq/maps/search/+36.9447,43.392/@36.9447,43.392,14z?hl=en","Maplink2")</f>
        <v>Maplink2</v>
      </c>
      <c r="AW1497" s="14" t="str">
        <f>HYPERLINK("http://www.bing.com/maps/?lvl=14&amp;sty=h&amp;cp=36.9447~43.392&amp;sp=point.36.9447_43.392_Mizi Village","Maplink3")</f>
        <v>Maplink3</v>
      </c>
    </row>
    <row r="1498" spans="1:49" ht="15" customHeight="1" x14ac:dyDescent="0.25">
      <c r="A1498" s="21">
        <v>27120</v>
      </c>
      <c r="B1498" s="22" t="s">
        <v>13</v>
      </c>
      <c r="C1498" s="22" t="s">
        <v>2817</v>
      </c>
      <c r="D1498" s="22" t="s">
        <v>2854</v>
      </c>
      <c r="E1498" s="22" t="s">
        <v>2855</v>
      </c>
      <c r="F1498" s="22">
        <v>36.870123</v>
      </c>
      <c r="G1498" s="22">
        <v>43.618808000000001</v>
      </c>
      <c r="H1498" s="21" t="s">
        <v>2819</v>
      </c>
      <c r="I1498" s="21" t="s">
        <v>2820</v>
      </c>
      <c r="J1498" s="21"/>
      <c r="K1498" s="24">
        <v>55</v>
      </c>
      <c r="L1498" s="24">
        <v>330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55</v>
      </c>
      <c r="Z1498" s="23"/>
      <c r="AA1498" s="23"/>
      <c r="AB1498" s="23"/>
      <c r="AC1498" s="23"/>
      <c r="AD1498" s="23"/>
      <c r="AE1498" s="23"/>
      <c r="AF1498" s="23">
        <v>55</v>
      </c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>
        <v>55</v>
      </c>
      <c r="AR1498" s="23"/>
      <c r="AS1498" s="23"/>
      <c r="AT1498" s="23"/>
      <c r="AU1498" s="14" t="str">
        <f>HYPERLINK("http://www.openstreetmap.org/?mlat=36.8701&amp;mlon=43.6188&amp;zoom=12#map=12/36.8701/43.6188","Maplink1")</f>
        <v>Maplink1</v>
      </c>
      <c r="AV1498" s="14" t="str">
        <f>HYPERLINK("https://www.google.iq/maps/search/+36.8701,43.6188/@36.8701,43.6188,14z?hl=en","Maplink2")</f>
        <v>Maplink2</v>
      </c>
      <c r="AW1498" s="14" t="str">
        <f>HYPERLINK("http://www.bing.com/maps/?lvl=14&amp;sty=h&amp;cp=36.8701~43.6188&amp;sp=point.36.8701_43.6188_Nahla Village","Maplink3")</f>
        <v>Maplink3</v>
      </c>
    </row>
    <row r="1499" spans="1:49" ht="15" customHeight="1" x14ac:dyDescent="0.25">
      <c r="A1499" s="21">
        <v>7862</v>
      </c>
      <c r="B1499" s="22" t="s">
        <v>13</v>
      </c>
      <c r="C1499" s="22" t="s">
        <v>2817</v>
      </c>
      <c r="D1499" s="22" t="s">
        <v>2856</v>
      </c>
      <c r="E1499" s="22" t="s">
        <v>2857</v>
      </c>
      <c r="F1499" s="22">
        <v>37.090000000000003</v>
      </c>
      <c r="G1499" s="22">
        <v>43.38</v>
      </c>
      <c r="H1499" s="21" t="s">
        <v>2819</v>
      </c>
      <c r="I1499" s="21" t="s">
        <v>2820</v>
      </c>
      <c r="J1499" s="21" t="s">
        <v>2858</v>
      </c>
      <c r="K1499" s="24">
        <v>259</v>
      </c>
      <c r="L1499" s="24">
        <v>1554</v>
      </c>
      <c r="M1499" s="23">
        <v>11</v>
      </c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248</v>
      </c>
      <c r="Z1499" s="23"/>
      <c r="AA1499" s="23"/>
      <c r="AB1499" s="23"/>
      <c r="AC1499" s="23"/>
      <c r="AD1499" s="23"/>
      <c r="AE1499" s="23"/>
      <c r="AF1499" s="23"/>
      <c r="AG1499" s="23">
        <v>17</v>
      </c>
      <c r="AH1499" s="23"/>
      <c r="AI1499" s="23"/>
      <c r="AJ1499" s="23"/>
      <c r="AK1499" s="23">
        <v>199</v>
      </c>
      <c r="AL1499" s="23"/>
      <c r="AM1499" s="23">
        <v>43</v>
      </c>
      <c r="AN1499" s="23"/>
      <c r="AO1499" s="23">
        <v>11</v>
      </c>
      <c r="AP1499" s="23">
        <v>6</v>
      </c>
      <c r="AQ1499" s="23">
        <v>234</v>
      </c>
      <c r="AR1499" s="23"/>
      <c r="AS1499" s="23">
        <v>8</v>
      </c>
      <c r="AT1499" s="23"/>
      <c r="AU1499" s="14" t="str">
        <f>HYPERLINK("http://www.openstreetmap.org/?mlat=37.09&amp;mlon=43.38&amp;zoom=12#map=12/37.09/43.38","Maplink1")</f>
        <v>Maplink1</v>
      </c>
      <c r="AV1499" s="14" t="str">
        <f>HYPERLINK("https://www.google.iq/maps/search/+37.09,43.38/@37.09,43.38,14z?hl=en","Maplink2")</f>
        <v>Maplink2</v>
      </c>
      <c r="AW1499" s="14" t="str">
        <f>HYPERLINK("http://www.bing.com/maps/?lvl=14&amp;sty=h&amp;cp=37.09~43.38&amp;sp=point.37.09_43.38_Qadish Collective","Maplink3")</f>
        <v>Maplink3</v>
      </c>
    </row>
    <row r="1500" spans="1:49" ht="15" customHeight="1" x14ac:dyDescent="0.25">
      <c r="A1500" s="21">
        <v>7835</v>
      </c>
      <c r="B1500" s="22" t="s">
        <v>13</v>
      </c>
      <c r="C1500" s="22" t="s">
        <v>2817</v>
      </c>
      <c r="D1500" s="22" t="s">
        <v>2859</v>
      </c>
      <c r="E1500" s="22" t="s">
        <v>2860</v>
      </c>
      <c r="F1500" s="22">
        <v>37.03</v>
      </c>
      <c r="G1500" s="22">
        <v>43.34</v>
      </c>
      <c r="H1500" s="21" t="s">
        <v>2819</v>
      </c>
      <c r="I1500" s="21" t="s">
        <v>2820</v>
      </c>
      <c r="J1500" s="21" t="s">
        <v>2861</v>
      </c>
      <c r="K1500" s="24">
        <v>920</v>
      </c>
      <c r="L1500" s="24">
        <v>5520</v>
      </c>
      <c r="M1500" s="23">
        <v>68</v>
      </c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>
        <v>802</v>
      </c>
      <c r="Z1500" s="23"/>
      <c r="AA1500" s="23">
        <v>50</v>
      </c>
      <c r="AB1500" s="23"/>
      <c r="AC1500" s="23"/>
      <c r="AD1500" s="23"/>
      <c r="AE1500" s="23"/>
      <c r="AF1500" s="23">
        <v>62</v>
      </c>
      <c r="AG1500" s="23">
        <v>73</v>
      </c>
      <c r="AH1500" s="23"/>
      <c r="AI1500" s="23"/>
      <c r="AJ1500" s="23">
        <v>5</v>
      </c>
      <c r="AK1500" s="23">
        <v>535</v>
      </c>
      <c r="AL1500" s="23"/>
      <c r="AM1500" s="23">
        <v>245</v>
      </c>
      <c r="AN1500" s="23"/>
      <c r="AO1500" s="23">
        <v>68</v>
      </c>
      <c r="AP1500" s="23">
        <v>50</v>
      </c>
      <c r="AQ1500" s="23">
        <v>802</v>
      </c>
      <c r="AR1500" s="23"/>
      <c r="AS1500" s="23"/>
      <c r="AT1500" s="23"/>
      <c r="AU1500" s="14" t="str">
        <f>HYPERLINK("http://www.openstreetmap.org/?mlat=37.03&amp;mlon=43.34&amp;zoom=12#map=12/37.03/43.34","Maplink1")</f>
        <v>Maplink1</v>
      </c>
      <c r="AV1500" s="14" t="str">
        <f>HYPERLINK("https://www.google.iq/maps/search/+37.03,43.34/@37.03,43.34,14z?hl=en","Maplink2")</f>
        <v>Maplink2</v>
      </c>
      <c r="AW1500" s="14" t="str">
        <f>HYPERLINK("http://www.bing.com/maps/?lvl=14&amp;sty=h&amp;cp=37.03~43.34&amp;sp=point.37.03_43.34_Sarsink","Maplink3")</f>
        <v>Maplink3</v>
      </c>
    </row>
    <row r="1501" spans="1:49" ht="15" customHeight="1" x14ac:dyDescent="0.25">
      <c r="A1501" s="21">
        <v>7833</v>
      </c>
      <c r="B1501" s="22" t="s">
        <v>13</v>
      </c>
      <c r="C1501" s="22" t="s">
        <v>2817</v>
      </c>
      <c r="D1501" s="22" t="s">
        <v>2862</v>
      </c>
      <c r="E1501" s="22" t="s">
        <v>2863</v>
      </c>
      <c r="F1501" s="22">
        <v>37.03</v>
      </c>
      <c r="G1501" s="22">
        <v>43.79</v>
      </c>
      <c r="H1501" s="21" t="s">
        <v>2819</v>
      </c>
      <c r="I1501" s="21" t="s">
        <v>2820</v>
      </c>
      <c r="J1501" s="21" t="s">
        <v>2864</v>
      </c>
      <c r="K1501" s="24">
        <v>84</v>
      </c>
      <c r="L1501" s="24">
        <v>504</v>
      </c>
      <c r="M1501" s="23">
        <v>4</v>
      </c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>
        <v>80</v>
      </c>
      <c r="Z1501" s="23"/>
      <c r="AA1501" s="23"/>
      <c r="AB1501" s="23"/>
      <c r="AC1501" s="23"/>
      <c r="AD1501" s="23"/>
      <c r="AE1501" s="23"/>
      <c r="AF1501" s="23">
        <v>22</v>
      </c>
      <c r="AG1501" s="23"/>
      <c r="AH1501" s="23"/>
      <c r="AI1501" s="23"/>
      <c r="AJ1501" s="23"/>
      <c r="AK1501" s="23">
        <v>62</v>
      </c>
      <c r="AL1501" s="23"/>
      <c r="AM1501" s="23"/>
      <c r="AN1501" s="23"/>
      <c r="AO1501" s="23">
        <v>4</v>
      </c>
      <c r="AP1501" s="23">
        <v>26</v>
      </c>
      <c r="AQ1501" s="23">
        <v>54</v>
      </c>
      <c r="AR1501" s="23"/>
      <c r="AS1501" s="23"/>
      <c r="AT1501" s="23"/>
      <c r="AU1501" s="14" t="str">
        <f>HYPERLINK("http://www.openstreetmap.org/?mlat=37.03&amp;mlon=43.79&amp;zoom=12#map=12/37.03/43.79","Maplink1")</f>
        <v>Maplink1</v>
      </c>
      <c r="AV1501" s="14" t="str">
        <f>HYPERLINK("https://www.google.iq/maps/search/+37.03,43.79/@37.03,43.79,14z?hl=en","Maplink2")</f>
        <v>Maplink2</v>
      </c>
      <c r="AW1501" s="14" t="str">
        <f>HYPERLINK("http://www.bing.com/maps/?lvl=14&amp;sty=h&amp;cp=37.03~43.79&amp;sp=point.37.03_43.79_Sheladize Collective","Maplink3")</f>
        <v>Maplink3</v>
      </c>
    </row>
    <row r="1502" spans="1:49" ht="15" customHeight="1" x14ac:dyDescent="0.25">
      <c r="A1502" s="21">
        <v>7867</v>
      </c>
      <c r="B1502" s="22" t="s">
        <v>13</v>
      </c>
      <c r="C1502" s="22" t="s">
        <v>2817</v>
      </c>
      <c r="D1502" s="22" t="s">
        <v>2865</v>
      </c>
      <c r="E1502" s="22" t="s">
        <v>2866</v>
      </c>
      <c r="F1502" s="22">
        <v>37.040016000000001</v>
      </c>
      <c r="G1502" s="22">
        <v>43.277659999999997</v>
      </c>
      <c r="H1502" s="21" t="s">
        <v>2819</v>
      </c>
      <c r="I1502" s="21" t="s">
        <v>2820</v>
      </c>
      <c r="J1502" s="21" t="s">
        <v>2867</v>
      </c>
      <c r="K1502" s="24">
        <v>59</v>
      </c>
      <c r="L1502" s="24">
        <v>354</v>
      </c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59</v>
      </c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>
        <v>49</v>
      </c>
      <c r="AL1502" s="23"/>
      <c r="AM1502" s="23">
        <v>10</v>
      </c>
      <c r="AN1502" s="23"/>
      <c r="AO1502" s="23"/>
      <c r="AP1502" s="23">
        <v>35</v>
      </c>
      <c r="AQ1502" s="23">
        <v>24</v>
      </c>
      <c r="AR1502" s="23"/>
      <c r="AS1502" s="23"/>
      <c r="AT1502" s="23"/>
      <c r="AU1502" s="14" t="str">
        <f>HYPERLINK("http://www.openstreetmap.org/?mlat=37.04&amp;mlon=43.2777&amp;zoom=12#map=12/37.04/43.2777","Maplink1")</f>
        <v>Maplink1</v>
      </c>
      <c r="AV1502" s="14" t="str">
        <f>HYPERLINK("https://www.google.iq/maps/search/+37.04,43.2777/@37.04,43.2777,14z?hl=en","Maplink2")</f>
        <v>Maplink2</v>
      </c>
      <c r="AW1502" s="14" t="str">
        <f>HYPERLINK("http://www.bing.com/maps/?lvl=14&amp;sty=h&amp;cp=37.04~43.2777&amp;sp=point.37.04_43.2777_Sikreen","Maplink3")</f>
        <v>Maplink3</v>
      </c>
    </row>
    <row r="1503" spans="1:49" ht="15" customHeight="1" x14ac:dyDescent="0.25">
      <c r="A1503" s="21">
        <v>26044</v>
      </c>
      <c r="B1503" s="22" t="s">
        <v>13</v>
      </c>
      <c r="C1503" s="22" t="s">
        <v>2817</v>
      </c>
      <c r="D1503" s="22" t="s">
        <v>2868</v>
      </c>
      <c r="E1503" s="22" t="s">
        <v>2869</v>
      </c>
      <c r="F1503" s="22">
        <v>37.009270999999998</v>
      </c>
      <c r="G1503" s="22">
        <v>43.225582000000003</v>
      </c>
      <c r="H1503" s="21" t="s">
        <v>2819</v>
      </c>
      <c r="I1503" s="21" t="s">
        <v>2820</v>
      </c>
      <c r="J1503" s="21"/>
      <c r="K1503" s="24">
        <v>49</v>
      </c>
      <c r="L1503" s="24">
        <v>294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49</v>
      </c>
      <c r="Z1503" s="23"/>
      <c r="AA1503" s="23"/>
      <c r="AB1503" s="23"/>
      <c r="AC1503" s="23"/>
      <c r="AD1503" s="23"/>
      <c r="AE1503" s="23"/>
      <c r="AF1503" s="23">
        <v>25</v>
      </c>
      <c r="AG1503" s="23"/>
      <c r="AH1503" s="23"/>
      <c r="AI1503" s="23"/>
      <c r="AJ1503" s="23"/>
      <c r="AK1503" s="23">
        <v>9</v>
      </c>
      <c r="AL1503" s="23"/>
      <c r="AM1503" s="23">
        <v>15</v>
      </c>
      <c r="AN1503" s="23"/>
      <c r="AO1503" s="23"/>
      <c r="AP1503" s="23"/>
      <c r="AQ1503" s="23">
        <v>49</v>
      </c>
      <c r="AR1503" s="23"/>
      <c r="AS1503" s="23"/>
      <c r="AT1503" s="23"/>
      <c r="AU1503" s="14" t="str">
        <f>HYPERLINK("http://www.openstreetmap.org/?mlat=37.0093&amp;mlon=43.2256&amp;zoom=12#map=12/37.0093/43.2256","Maplink1")</f>
        <v>Maplink1</v>
      </c>
      <c r="AV1503" s="14" t="str">
        <f>HYPERLINK("https://www.google.iq/maps/search/+37.0093,43.2256/@37.0093,43.2256,14z?hl=en","Maplink2")</f>
        <v>Maplink2</v>
      </c>
      <c r="AW1503" s="14" t="str">
        <f>HYPERLINK("http://www.bing.com/maps/?lvl=14&amp;sty=h&amp;cp=37.0093~43.2256&amp;sp=point.37.0093_43.2256_Sowaratoka","Maplink3")</f>
        <v>Maplink3</v>
      </c>
    </row>
    <row r="1504" spans="1:49" ht="15" customHeight="1" x14ac:dyDescent="0.25">
      <c r="A1504" s="21">
        <v>21971</v>
      </c>
      <c r="B1504" s="22" t="s">
        <v>13</v>
      </c>
      <c r="C1504" s="22" t="s">
        <v>13</v>
      </c>
      <c r="D1504" s="22" t="s">
        <v>2870</v>
      </c>
      <c r="E1504" s="22" t="s">
        <v>2871</v>
      </c>
      <c r="F1504" s="22">
        <v>36.87055556</v>
      </c>
      <c r="G1504" s="22">
        <v>42.980277780000002</v>
      </c>
      <c r="H1504" s="21" t="s">
        <v>2819</v>
      </c>
      <c r="I1504" s="21" t="s">
        <v>2872</v>
      </c>
      <c r="J1504" s="21" t="s">
        <v>2873</v>
      </c>
      <c r="K1504" s="24">
        <v>163</v>
      </c>
      <c r="L1504" s="24">
        <v>978</v>
      </c>
      <c r="M1504" s="23">
        <v>6</v>
      </c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>
        <v>157</v>
      </c>
      <c r="Z1504" s="23"/>
      <c r="AA1504" s="23"/>
      <c r="AB1504" s="23"/>
      <c r="AC1504" s="23"/>
      <c r="AD1504" s="23"/>
      <c r="AE1504" s="23"/>
      <c r="AF1504" s="23"/>
      <c r="AG1504" s="23">
        <v>14</v>
      </c>
      <c r="AH1504" s="23"/>
      <c r="AI1504" s="23"/>
      <c r="AJ1504" s="23"/>
      <c r="AK1504" s="23">
        <v>149</v>
      </c>
      <c r="AL1504" s="23"/>
      <c r="AM1504" s="23"/>
      <c r="AN1504" s="23"/>
      <c r="AO1504" s="23">
        <v>6</v>
      </c>
      <c r="AP1504" s="23">
        <v>81</v>
      </c>
      <c r="AQ1504" s="23">
        <v>76</v>
      </c>
      <c r="AR1504" s="23"/>
      <c r="AS1504" s="23"/>
      <c r="AT1504" s="23"/>
      <c r="AU1504" s="14" t="str">
        <f>HYPERLINK("http://www.openstreetmap.org/?mlat=36.8706&amp;mlon=42.9803&amp;zoom=12#map=12/36.8706/42.9803","Maplink1")</f>
        <v>Maplink1</v>
      </c>
      <c r="AV1504" s="14" t="str">
        <f>HYPERLINK("https://www.google.iq/maps/search/+36.8706,42.9803/@36.8706,42.9803,14z?hl=en","Maplink2")</f>
        <v>Maplink2</v>
      </c>
      <c r="AW1504" s="14" t="str">
        <f>HYPERLINK("http://www.bing.com/maps/?lvl=14&amp;sty=h&amp;cp=36.8706~42.9803&amp;sp=point.36.8706_42.9803_Al Jamyah","Maplink3")</f>
        <v>Maplink3</v>
      </c>
    </row>
    <row r="1505" spans="1:49" ht="15" customHeight="1" x14ac:dyDescent="0.25">
      <c r="A1505" s="21">
        <v>23580</v>
      </c>
      <c r="B1505" s="22" t="s">
        <v>13</v>
      </c>
      <c r="C1505" s="22" t="s">
        <v>13</v>
      </c>
      <c r="D1505" s="22" t="s">
        <v>2874</v>
      </c>
      <c r="E1505" s="22" t="s">
        <v>2875</v>
      </c>
      <c r="F1505" s="22">
        <v>36.911740999999999</v>
      </c>
      <c r="G1505" s="22">
        <v>43.206800999999999</v>
      </c>
      <c r="H1505" s="21" t="s">
        <v>2819</v>
      </c>
      <c r="I1505" s="21" t="s">
        <v>2872</v>
      </c>
      <c r="J1505" s="21" t="s">
        <v>2876</v>
      </c>
      <c r="K1505" s="24">
        <v>206</v>
      </c>
      <c r="L1505" s="24">
        <v>1236</v>
      </c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>
        <v>206</v>
      </c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>
        <v>206</v>
      </c>
      <c r="AL1505" s="23"/>
      <c r="AM1505" s="23"/>
      <c r="AN1505" s="23"/>
      <c r="AO1505" s="23"/>
      <c r="AP1505" s="23">
        <v>108</v>
      </c>
      <c r="AQ1505" s="23">
        <v>98</v>
      </c>
      <c r="AR1505" s="23"/>
      <c r="AS1505" s="23"/>
      <c r="AT1505" s="23"/>
      <c r="AU1505" s="14" t="str">
        <f>HYPERLINK("http://www.openstreetmap.org/?mlat=36.9117&amp;mlon=43.2068&amp;zoom=12#map=12/36.9117/43.2068","Maplink1")</f>
        <v>Maplink1</v>
      </c>
      <c r="AV1505" s="14" t="str">
        <f>HYPERLINK("https://www.google.iq/maps/search/+36.9117,43.2068/@36.9117,43.2068,14z?hl=en","Maplink2")</f>
        <v>Maplink2</v>
      </c>
      <c r="AW1505" s="14" t="str">
        <f>HYPERLINK("http://www.bing.com/maps/?lvl=14&amp;sty=h&amp;cp=36.9117~43.2068&amp;sp=point.36.9117_43.2068_Al Sinaah","Maplink3")</f>
        <v>Maplink3</v>
      </c>
    </row>
    <row r="1506" spans="1:49" ht="15" customHeight="1" x14ac:dyDescent="0.25">
      <c r="A1506" s="21">
        <v>26054</v>
      </c>
      <c r="B1506" s="22" t="s">
        <v>13</v>
      </c>
      <c r="C1506" s="22" t="s">
        <v>13</v>
      </c>
      <c r="D1506" s="22" t="s">
        <v>2877</v>
      </c>
      <c r="E1506" s="22" t="s">
        <v>2878</v>
      </c>
      <c r="F1506" s="22">
        <v>36.872714999999999</v>
      </c>
      <c r="G1506" s="22">
        <v>42.982714000000001</v>
      </c>
      <c r="H1506" s="21" t="s">
        <v>2819</v>
      </c>
      <c r="I1506" s="21" t="s">
        <v>2872</v>
      </c>
      <c r="J1506" s="21"/>
      <c r="K1506" s="24">
        <v>128</v>
      </c>
      <c r="L1506" s="24">
        <v>768</v>
      </c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128</v>
      </c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>
        <v>128</v>
      </c>
      <c r="AL1506" s="23"/>
      <c r="AM1506" s="23"/>
      <c r="AN1506" s="23"/>
      <c r="AO1506" s="23"/>
      <c r="AP1506" s="23">
        <v>47</v>
      </c>
      <c r="AQ1506" s="23">
        <v>81</v>
      </c>
      <c r="AR1506" s="23"/>
      <c r="AS1506" s="23"/>
      <c r="AT1506" s="23"/>
      <c r="AU1506" s="14" t="str">
        <f>HYPERLINK("http://www.openstreetmap.org/?mlat=36.8727&amp;mlon=42.9827&amp;zoom=12#map=12/36.8727/42.9827","Maplink1")</f>
        <v>Maplink1</v>
      </c>
      <c r="AV1506" s="14" t="str">
        <f>HYPERLINK("https://www.google.iq/maps/search/+36.8727,42.9827/@36.8727,42.9827,14z?hl=en","Maplink2")</f>
        <v>Maplink2</v>
      </c>
      <c r="AW1506" s="14" t="str">
        <f>HYPERLINK("http://www.bing.com/maps/?lvl=14&amp;sty=h&amp;cp=36.8727~42.9827&amp;sp=point.36.8727_42.9827_Ashti","Maplink3")</f>
        <v>Maplink3</v>
      </c>
    </row>
    <row r="1507" spans="1:49" ht="15" customHeight="1" x14ac:dyDescent="0.25">
      <c r="A1507" s="21">
        <v>25898</v>
      </c>
      <c r="B1507" s="22" t="s">
        <v>13</v>
      </c>
      <c r="C1507" s="22" t="s">
        <v>13</v>
      </c>
      <c r="D1507" s="22" t="s">
        <v>8618</v>
      </c>
      <c r="E1507" s="22" t="s">
        <v>2980</v>
      </c>
      <c r="F1507" s="22">
        <v>36.827300000000001</v>
      </c>
      <c r="G1507" s="22">
        <v>43.12021</v>
      </c>
      <c r="H1507" s="21" t="s">
        <v>2819</v>
      </c>
      <c r="I1507" s="21" t="s">
        <v>2872</v>
      </c>
      <c r="J1507" s="21"/>
      <c r="K1507" s="24">
        <v>169</v>
      </c>
      <c r="L1507" s="24">
        <v>1014</v>
      </c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169</v>
      </c>
      <c r="Z1507" s="23"/>
      <c r="AA1507" s="23"/>
      <c r="AB1507" s="23"/>
      <c r="AC1507" s="23"/>
      <c r="AD1507" s="23"/>
      <c r="AE1507" s="23"/>
      <c r="AF1507" s="23">
        <v>29</v>
      </c>
      <c r="AG1507" s="23"/>
      <c r="AH1507" s="23"/>
      <c r="AI1507" s="23"/>
      <c r="AJ1507" s="23"/>
      <c r="AK1507" s="23">
        <v>94</v>
      </c>
      <c r="AL1507" s="23"/>
      <c r="AM1507" s="23">
        <v>46</v>
      </c>
      <c r="AN1507" s="23"/>
      <c r="AO1507" s="23"/>
      <c r="AP1507" s="23">
        <v>96</v>
      </c>
      <c r="AQ1507" s="23">
        <v>73</v>
      </c>
      <c r="AR1507" s="23"/>
      <c r="AS1507" s="23"/>
      <c r="AT1507" s="23"/>
      <c r="AU1507" s="14" t="str">
        <f>HYPERLINK("http://www.openstreetmap.org/?mlat=36.8273&amp;mlon=43.1202&amp;zoom=12#map=12/36.8273/43.1202","Maplink1")</f>
        <v>Maplink1</v>
      </c>
      <c r="AV1507" s="14" t="str">
        <f>HYPERLINK("https://www.google.iq/maps/search/+36.8273,43.1202/@36.8273,43.1202,14z?hl=en","Maplink2")</f>
        <v>Maplink2</v>
      </c>
      <c r="AW1507" s="14" t="str">
        <f>HYPERLINK("http://www.bing.com/maps/?lvl=14&amp;sty=h&amp;cp=36.8273~43.1202&amp;sp=point.36.8273_43.1202_Zawita-Avrike","Maplink3")</f>
        <v>Maplink3</v>
      </c>
    </row>
    <row r="1508" spans="1:49" ht="15" customHeight="1" x14ac:dyDescent="0.25">
      <c r="A1508" s="21">
        <v>8687</v>
      </c>
      <c r="B1508" s="22" t="s">
        <v>13</v>
      </c>
      <c r="C1508" s="22" t="s">
        <v>13</v>
      </c>
      <c r="D1508" s="22" t="s">
        <v>2879</v>
      </c>
      <c r="E1508" s="22" t="s">
        <v>2880</v>
      </c>
      <c r="F1508" s="22">
        <v>36.869999999999997</v>
      </c>
      <c r="G1508" s="22">
        <v>43.12</v>
      </c>
      <c r="H1508" s="21" t="s">
        <v>2819</v>
      </c>
      <c r="I1508" s="21" t="s">
        <v>2872</v>
      </c>
      <c r="J1508" s="21" t="s">
        <v>2881</v>
      </c>
      <c r="K1508" s="24">
        <v>154</v>
      </c>
      <c r="L1508" s="24">
        <v>924</v>
      </c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>
        <v>148</v>
      </c>
      <c r="Z1508" s="23"/>
      <c r="AA1508" s="23">
        <v>6</v>
      </c>
      <c r="AB1508" s="23"/>
      <c r="AC1508" s="23"/>
      <c r="AD1508" s="23"/>
      <c r="AE1508" s="23"/>
      <c r="AF1508" s="23">
        <v>21</v>
      </c>
      <c r="AG1508" s="23"/>
      <c r="AH1508" s="23">
        <v>50</v>
      </c>
      <c r="AI1508" s="23"/>
      <c r="AJ1508" s="23"/>
      <c r="AK1508" s="23">
        <v>26</v>
      </c>
      <c r="AL1508" s="23"/>
      <c r="AM1508" s="23">
        <v>57</v>
      </c>
      <c r="AN1508" s="23"/>
      <c r="AO1508" s="23"/>
      <c r="AP1508" s="23">
        <v>30</v>
      </c>
      <c r="AQ1508" s="23">
        <v>124</v>
      </c>
      <c r="AR1508" s="23"/>
      <c r="AS1508" s="23"/>
      <c r="AT1508" s="23"/>
      <c r="AU1508" s="14" t="str">
        <f>HYPERLINK("http://www.openstreetmap.org/?mlat=36.87&amp;mlon=43.12&amp;zoom=12#map=12/36.87/43.12","Maplink1")</f>
        <v>Maplink1</v>
      </c>
      <c r="AV1508" s="14" t="str">
        <f>HYPERLINK("https://www.google.iq/maps/search/+36.87,43.12/@36.87,43.12,14z?hl=en","Maplink2")</f>
        <v>Maplink2</v>
      </c>
      <c r="AW1508" s="14" t="str">
        <f>HYPERLINK("http://www.bing.com/maps/?lvl=14&amp;sty=h&amp;cp=36.87~43.12&amp;sp=point.36.87_43.12_Bablu","Maplink3")</f>
        <v>Maplink3</v>
      </c>
    </row>
    <row r="1509" spans="1:49" ht="15" customHeight="1" x14ac:dyDescent="0.25">
      <c r="A1509" s="21">
        <v>24801</v>
      </c>
      <c r="B1509" s="22" t="s">
        <v>13</v>
      </c>
      <c r="C1509" s="22" t="s">
        <v>13</v>
      </c>
      <c r="D1509" s="22" t="s">
        <v>2882</v>
      </c>
      <c r="E1509" s="22" t="s">
        <v>2883</v>
      </c>
      <c r="F1509" s="22">
        <v>36.966799999999999</v>
      </c>
      <c r="G1509" s="22">
        <v>43.169899999999998</v>
      </c>
      <c r="H1509" s="21" t="s">
        <v>2819</v>
      </c>
      <c r="I1509" s="21" t="s">
        <v>2872</v>
      </c>
      <c r="J1509" s="21"/>
      <c r="K1509" s="24">
        <v>148</v>
      </c>
      <c r="L1509" s="24">
        <v>888</v>
      </c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>
        <v>139</v>
      </c>
      <c r="Z1509" s="23"/>
      <c r="AA1509" s="23">
        <v>9</v>
      </c>
      <c r="AB1509" s="23"/>
      <c r="AC1509" s="23"/>
      <c r="AD1509" s="23"/>
      <c r="AE1509" s="23"/>
      <c r="AF1509" s="23">
        <v>43</v>
      </c>
      <c r="AG1509" s="23">
        <v>3</v>
      </c>
      <c r="AH1509" s="23">
        <v>1</v>
      </c>
      <c r="AI1509" s="23"/>
      <c r="AJ1509" s="23"/>
      <c r="AK1509" s="23">
        <v>71</v>
      </c>
      <c r="AL1509" s="23"/>
      <c r="AM1509" s="23">
        <v>30</v>
      </c>
      <c r="AN1509" s="23"/>
      <c r="AO1509" s="23"/>
      <c r="AP1509" s="23">
        <v>46</v>
      </c>
      <c r="AQ1509" s="23">
        <v>102</v>
      </c>
      <c r="AR1509" s="23"/>
      <c r="AS1509" s="23"/>
      <c r="AT1509" s="23"/>
      <c r="AU1509" s="14" t="str">
        <f>HYPERLINK("http://www.openstreetmap.org/?mlat=36.9668&amp;mlon=43.1699&amp;zoom=12#map=12/36.9668/43.1699","Maplink1")</f>
        <v>Maplink1</v>
      </c>
      <c r="AV1509" s="14" t="str">
        <f>HYPERLINK("https://www.google.iq/maps/search/+36.9668,43.1699/@36.9668,43.1699,14z?hl=en","Maplink2")</f>
        <v>Maplink2</v>
      </c>
      <c r="AW1509" s="14" t="str">
        <f>HYPERLINK("http://www.bing.com/maps/?lvl=14&amp;sty=h&amp;cp=36.9668~43.1699&amp;sp=point.36.9668_43.1699_Bagera","Maplink3")</f>
        <v>Maplink3</v>
      </c>
    </row>
    <row r="1510" spans="1:49" ht="15" customHeight="1" x14ac:dyDescent="0.25">
      <c r="A1510" s="21">
        <v>26048</v>
      </c>
      <c r="B1510" s="22" t="s">
        <v>13</v>
      </c>
      <c r="C1510" s="22" t="s">
        <v>13</v>
      </c>
      <c r="D1510" s="22" t="s">
        <v>2884</v>
      </c>
      <c r="E1510" s="22" t="s">
        <v>2885</v>
      </c>
      <c r="F1510" s="22">
        <v>36.863103000000002</v>
      </c>
      <c r="G1510" s="22">
        <v>42.964257000000003</v>
      </c>
      <c r="H1510" s="21" t="s">
        <v>2819</v>
      </c>
      <c r="I1510" s="21" t="s">
        <v>2872</v>
      </c>
      <c r="J1510" s="21"/>
      <c r="K1510" s="24">
        <v>99</v>
      </c>
      <c r="L1510" s="24">
        <v>594</v>
      </c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>
        <v>99</v>
      </c>
      <c r="Z1510" s="23"/>
      <c r="AA1510" s="23"/>
      <c r="AB1510" s="23"/>
      <c r="AC1510" s="23"/>
      <c r="AD1510" s="23"/>
      <c r="AE1510" s="23"/>
      <c r="AF1510" s="23"/>
      <c r="AG1510" s="23">
        <v>13</v>
      </c>
      <c r="AH1510" s="23"/>
      <c r="AI1510" s="23"/>
      <c r="AJ1510" s="23"/>
      <c r="AK1510" s="23">
        <v>86</v>
      </c>
      <c r="AL1510" s="23"/>
      <c r="AM1510" s="23"/>
      <c r="AN1510" s="23"/>
      <c r="AO1510" s="23"/>
      <c r="AP1510" s="23">
        <v>75</v>
      </c>
      <c r="AQ1510" s="23">
        <v>24</v>
      </c>
      <c r="AR1510" s="23"/>
      <c r="AS1510" s="23"/>
      <c r="AT1510" s="23"/>
      <c r="AU1510" s="14" t="str">
        <f>HYPERLINK("http://www.openstreetmap.org/?mlat=36.8631&amp;mlon=42.9643&amp;zoom=12#map=12/36.8631/42.9643","Maplink1")</f>
        <v>Maplink1</v>
      </c>
      <c r="AV1510" s="14" t="str">
        <f>HYPERLINK("https://www.google.iq/maps/search/+36.8631,42.9643/@36.8631,42.9643,14z?hl=en","Maplink2")</f>
        <v>Maplink2</v>
      </c>
      <c r="AW1510" s="14" t="str">
        <f>HYPERLINK("http://www.bing.com/maps/?lvl=14&amp;sty=h&amp;cp=36.8631~42.9643&amp;sp=point.36.8631_42.9643_Bahdinan","Maplink3")</f>
        <v>Maplink3</v>
      </c>
    </row>
    <row r="1511" spans="1:49" ht="15" customHeight="1" x14ac:dyDescent="0.25">
      <c r="A1511" s="21">
        <v>8822</v>
      </c>
      <c r="B1511" s="22" t="s">
        <v>13</v>
      </c>
      <c r="C1511" s="22" t="s">
        <v>13</v>
      </c>
      <c r="D1511" s="22" t="s">
        <v>8268</v>
      </c>
      <c r="E1511" s="22" t="s">
        <v>8269</v>
      </c>
      <c r="F1511" s="22">
        <v>37.015594999999998</v>
      </c>
      <c r="G1511" s="22">
        <v>43.016185</v>
      </c>
      <c r="H1511" s="21" t="s">
        <v>2819</v>
      </c>
      <c r="I1511" s="21" t="s">
        <v>2872</v>
      </c>
      <c r="J1511" s="21" t="s">
        <v>8197</v>
      </c>
      <c r="K1511" s="24">
        <v>135</v>
      </c>
      <c r="L1511" s="24">
        <v>810</v>
      </c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>
        <v>135</v>
      </c>
      <c r="Z1511" s="23"/>
      <c r="AA1511" s="23"/>
      <c r="AB1511" s="23"/>
      <c r="AC1511" s="23"/>
      <c r="AD1511" s="23"/>
      <c r="AE1511" s="23"/>
      <c r="AF1511" s="23">
        <v>98</v>
      </c>
      <c r="AG1511" s="23"/>
      <c r="AH1511" s="23"/>
      <c r="AI1511" s="23"/>
      <c r="AJ1511" s="23"/>
      <c r="AK1511" s="23">
        <v>2</v>
      </c>
      <c r="AL1511" s="23"/>
      <c r="AM1511" s="23">
        <v>35</v>
      </c>
      <c r="AN1511" s="23"/>
      <c r="AO1511" s="23"/>
      <c r="AP1511" s="23">
        <v>3</v>
      </c>
      <c r="AQ1511" s="23">
        <v>132</v>
      </c>
      <c r="AR1511" s="23"/>
      <c r="AS1511" s="23"/>
      <c r="AT1511" s="23"/>
      <c r="AU1511" s="14" t="str">
        <f>HYPERLINK("http://www.openstreetmap.org/?mlat=36.9941&amp;mlon=43.1071&amp;zoom=12#map=12/36.9941/43.1071","Maplink1")</f>
        <v>Maplink1</v>
      </c>
      <c r="AV1511" s="14" t="str">
        <f>HYPERLINK("https://www.google.iq/maps/search/+36.9941,43.1071/@36.9941,43.1071,14z?hl=en","Maplink2")</f>
        <v>Maplink2</v>
      </c>
      <c r="AW1511" s="14" t="str">
        <f>HYPERLINK("http://www.bing.com/maps/?lvl=14&amp;sty=h&amp;cp=36.9941~43.1071&amp;sp=point.36.9941_43.1071","Maplink3")</f>
        <v>Maplink3</v>
      </c>
    </row>
    <row r="1512" spans="1:49" ht="15" customHeight="1" x14ac:dyDescent="0.25">
      <c r="A1512" s="21">
        <v>8538</v>
      </c>
      <c r="B1512" s="22" t="s">
        <v>13</v>
      </c>
      <c r="C1512" s="22" t="s">
        <v>13</v>
      </c>
      <c r="D1512" s="22" t="s">
        <v>2886</v>
      </c>
      <c r="E1512" s="22" t="s">
        <v>2887</v>
      </c>
      <c r="F1512" s="22">
        <v>36.89</v>
      </c>
      <c r="G1512" s="22">
        <v>43.24</v>
      </c>
      <c r="H1512" s="21" t="s">
        <v>2819</v>
      </c>
      <c r="I1512" s="21" t="s">
        <v>2872</v>
      </c>
      <c r="J1512" s="21" t="s">
        <v>2888</v>
      </c>
      <c r="K1512" s="24">
        <v>12</v>
      </c>
      <c r="L1512" s="24">
        <v>72</v>
      </c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12</v>
      </c>
      <c r="Z1512" s="23"/>
      <c r="AA1512" s="23"/>
      <c r="AB1512" s="23"/>
      <c r="AC1512" s="23"/>
      <c r="AD1512" s="23"/>
      <c r="AE1512" s="23"/>
      <c r="AF1512" s="23">
        <v>3</v>
      </c>
      <c r="AG1512" s="23"/>
      <c r="AH1512" s="23">
        <v>3</v>
      </c>
      <c r="AI1512" s="23"/>
      <c r="AJ1512" s="23"/>
      <c r="AK1512" s="23"/>
      <c r="AL1512" s="23"/>
      <c r="AM1512" s="23">
        <v>6</v>
      </c>
      <c r="AN1512" s="23"/>
      <c r="AO1512" s="23"/>
      <c r="AP1512" s="23"/>
      <c r="AQ1512" s="23">
        <v>12</v>
      </c>
      <c r="AR1512" s="23"/>
      <c r="AS1512" s="23"/>
      <c r="AT1512" s="23"/>
      <c r="AU1512" s="14" t="str">
        <f>HYPERLINK("http://www.openstreetmap.org/?mlat=36.89&amp;mlon=43.24&amp;zoom=12#map=12/36.89/43.24","Maplink1")</f>
        <v>Maplink1</v>
      </c>
      <c r="AV1512" s="14" t="str">
        <f>HYPERLINK("https://www.google.iq/maps/search/+36.89,43.24/@36.89,43.24,14z?hl=en","Maplink2")</f>
        <v>Maplink2</v>
      </c>
      <c r="AW1512" s="14" t="str">
        <f>HYPERLINK("http://www.bing.com/maps/?lvl=14&amp;sty=h&amp;cp=36.89~43.24&amp;sp=point.36.89_43.24_Banye","Maplink3")</f>
        <v>Maplink3</v>
      </c>
    </row>
    <row r="1513" spans="1:49" ht="15" customHeight="1" x14ac:dyDescent="0.25">
      <c r="A1513" s="21">
        <v>8193</v>
      </c>
      <c r="B1513" s="22" t="s">
        <v>13</v>
      </c>
      <c r="C1513" s="22" t="s">
        <v>13</v>
      </c>
      <c r="D1513" s="22" t="s">
        <v>8194</v>
      </c>
      <c r="E1513" s="22" t="s">
        <v>8195</v>
      </c>
      <c r="F1513" s="22">
        <v>37.066121000000003</v>
      </c>
      <c r="G1513" s="22">
        <v>43.080865000000003</v>
      </c>
      <c r="H1513" s="21" t="s">
        <v>2819</v>
      </c>
      <c r="I1513" s="21" t="s">
        <v>2872</v>
      </c>
      <c r="J1513" s="21" t="s">
        <v>8196</v>
      </c>
      <c r="K1513" s="24">
        <v>54</v>
      </c>
      <c r="L1513" s="24">
        <v>324</v>
      </c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54</v>
      </c>
      <c r="Z1513" s="23"/>
      <c r="AA1513" s="23"/>
      <c r="AB1513" s="23"/>
      <c r="AC1513" s="23"/>
      <c r="AD1513" s="23"/>
      <c r="AE1513" s="23"/>
      <c r="AF1513" s="23">
        <v>54</v>
      </c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23">
        <v>54</v>
      </c>
      <c r="AR1513" s="23"/>
      <c r="AS1513" s="23"/>
      <c r="AT1513" s="23"/>
      <c r="AU1513" s="14" t="str">
        <f>HYPERLINK("http://www.openstreetmap.org/?mlat=37.0661&amp;mlon=43.0809&amp;zoom=12#map=12/37.0661/43.0809","Maplink1")</f>
        <v>Maplink1</v>
      </c>
      <c r="AV1513" s="14" t="str">
        <f>HYPERLINK("https://www.google.iq/maps/search/+37.0661,43.0809/@37.0661,43.0809,14z?hl=en","Maplink2")</f>
        <v>Maplink2</v>
      </c>
      <c r="AW1513" s="14" t="str">
        <f>HYPERLINK("http://www.bing.com/maps/?lvl=14&amp;sty=h&amp;cp=37.0661~43.0809&amp;sp=point.37.0661_43.0809","Maplink3")</f>
        <v>Maplink3</v>
      </c>
    </row>
    <row r="1514" spans="1:49" ht="15" customHeight="1" x14ac:dyDescent="0.25">
      <c r="A1514" s="21">
        <v>7945</v>
      </c>
      <c r="B1514" s="22" t="s">
        <v>13</v>
      </c>
      <c r="C1514" s="22" t="s">
        <v>13</v>
      </c>
      <c r="D1514" s="22" t="s">
        <v>2889</v>
      </c>
      <c r="E1514" s="22" t="s">
        <v>2890</v>
      </c>
      <c r="F1514" s="22">
        <v>36.85</v>
      </c>
      <c r="G1514" s="22">
        <v>43.04</v>
      </c>
      <c r="H1514" s="21" t="s">
        <v>2819</v>
      </c>
      <c r="I1514" s="21" t="s">
        <v>2872</v>
      </c>
      <c r="J1514" s="21" t="s">
        <v>2891</v>
      </c>
      <c r="K1514" s="24">
        <v>316</v>
      </c>
      <c r="L1514" s="24">
        <v>1896</v>
      </c>
      <c r="M1514" s="23">
        <v>5</v>
      </c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311</v>
      </c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>
        <v>316</v>
      </c>
      <c r="AL1514" s="23"/>
      <c r="AM1514" s="23"/>
      <c r="AN1514" s="23"/>
      <c r="AO1514" s="23">
        <v>5</v>
      </c>
      <c r="AP1514" s="23">
        <v>158</v>
      </c>
      <c r="AQ1514" s="23">
        <v>153</v>
      </c>
      <c r="AR1514" s="23"/>
      <c r="AS1514" s="23"/>
      <c r="AT1514" s="23"/>
      <c r="AU1514" s="14" t="str">
        <f>HYPERLINK("http://www.openstreetmap.org/?mlat=36.85&amp;mlon=43.04&amp;zoom=12#map=12/36.85/43.04","Maplink1")</f>
        <v>Maplink1</v>
      </c>
      <c r="AV1514" s="14" t="str">
        <f>HYPERLINK("https://www.google.iq/maps/search/+36.85,43.04/@36.85,43.04,14z?hl=en","Maplink2")</f>
        <v>Maplink2</v>
      </c>
      <c r="AW1514" s="14" t="str">
        <f>HYPERLINK("http://www.bing.com/maps/?lvl=14&amp;sty=h&amp;cp=36.85~43.04&amp;sp=point.36.85_43.04_Baroshke","Maplink3")</f>
        <v>Maplink3</v>
      </c>
    </row>
    <row r="1515" spans="1:49" ht="15" customHeight="1" x14ac:dyDescent="0.25">
      <c r="A1515" s="21">
        <v>26051</v>
      </c>
      <c r="B1515" s="22" t="s">
        <v>13</v>
      </c>
      <c r="C1515" s="22" t="s">
        <v>13</v>
      </c>
      <c r="D1515" s="22" t="s">
        <v>2892</v>
      </c>
      <c r="E1515" s="22" t="s">
        <v>2893</v>
      </c>
      <c r="F1515" s="22">
        <v>36.850583999999998</v>
      </c>
      <c r="G1515" s="22">
        <v>43.034367000000003</v>
      </c>
      <c r="H1515" s="21" t="s">
        <v>2819</v>
      </c>
      <c r="I1515" s="21" t="s">
        <v>2872</v>
      </c>
      <c r="J1515" s="21"/>
      <c r="K1515" s="24">
        <v>74</v>
      </c>
      <c r="L1515" s="24">
        <v>444</v>
      </c>
      <c r="M1515" s="23">
        <v>10</v>
      </c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>
        <v>64</v>
      </c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>
        <v>74</v>
      </c>
      <c r="AL1515" s="23"/>
      <c r="AM1515" s="23"/>
      <c r="AN1515" s="23"/>
      <c r="AO1515" s="23">
        <v>10</v>
      </c>
      <c r="AP1515" s="23">
        <v>47</v>
      </c>
      <c r="AQ1515" s="23">
        <v>17</v>
      </c>
      <c r="AR1515" s="23"/>
      <c r="AS1515" s="23"/>
      <c r="AT1515" s="23"/>
      <c r="AU1515" s="14" t="str">
        <f>HYPERLINK("http://www.openstreetmap.org/?mlat=36.8506&amp;mlon=43.0344&amp;zoom=12#map=12/36.8506/43.0344","Maplink1")</f>
        <v>Maplink1</v>
      </c>
      <c r="AV1515" s="14" t="str">
        <f>HYPERLINK("https://www.google.iq/maps/search/+36.8506,43.0344/@36.8506,43.0344,14z?hl=en","Maplink2")</f>
        <v>Maplink2</v>
      </c>
      <c r="AW1515" s="14" t="str">
        <f>HYPERLINK("http://www.bing.com/maps/?lvl=14&amp;sty=h&amp;cp=36.8506~43.0344&amp;sp=point.36.8506_43.0344_Baroshke Complex","Maplink3")</f>
        <v>Maplink3</v>
      </c>
    </row>
    <row r="1516" spans="1:49" ht="15" customHeight="1" x14ac:dyDescent="0.25">
      <c r="A1516" s="21">
        <v>23710</v>
      </c>
      <c r="B1516" s="22" t="s">
        <v>13</v>
      </c>
      <c r="C1516" s="22" t="s">
        <v>13</v>
      </c>
      <c r="D1516" s="22" t="s">
        <v>2894</v>
      </c>
      <c r="E1516" s="22" t="s">
        <v>2895</v>
      </c>
      <c r="F1516" s="22">
        <v>37.104649000000002</v>
      </c>
      <c r="G1516" s="22">
        <v>43.083013000000001</v>
      </c>
      <c r="H1516" s="21" t="s">
        <v>2819</v>
      </c>
      <c r="I1516" s="21" t="s">
        <v>2872</v>
      </c>
      <c r="J1516" s="21" t="s">
        <v>2896</v>
      </c>
      <c r="K1516" s="24">
        <v>102</v>
      </c>
      <c r="L1516" s="24">
        <v>612</v>
      </c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101</v>
      </c>
      <c r="Z1516" s="23"/>
      <c r="AA1516" s="23">
        <v>1</v>
      </c>
      <c r="AB1516" s="23"/>
      <c r="AC1516" s="23"/>
      <c r="AD1516" s="23"/>
      <c r="AE1516" s="23"/>
      <c r="AF1516" s="23"/>
      <c r="AG1516" s="23">
        <v>25</v>
      </c>
      <c r="AH1516" s="23"/>
      <c r="AI1516" s="23"/>
      <c r="AJ1516" s="23"/>
      <c r="AK1516" s="23">
        <v>77</v>
      </c>
      <c r="AL1516" s="23"/>
      <c r="AM1516" s="23"/>
      <c r="AN1516" s="23"/>
      <c r="AO1516" s="23"/>
      <c r="AP1516" s="23">
        <v>51</v>
      </c>
      <c r="AQ1516" s="23">
        <v>51</v>
      </c>
      <c r="AR1516" s="23"/>
      <c r="AS1516" s="23"/>
      <c r="AT1516" s="23"/>
      <c r="AU1516" s="14" t="str">
        <f>HYPERLINK("http://www.openstreetmap.org/?mlat=37.1046&amp;mlon=43.083&amp;zoom=12#map=12/37.1046/43.083","Maplink1")</f>
        <v>Maplink1</v>
      </c>
      <c r="AV1516" s="14" t="str">
        <f>HYPERLINK("https://www.google.iq/maps/search/+37.1046,43.083/@37.1046,43.083,14z?hl=en","Maplink2")</f>
        <v>Maplink2</v>
      </c>
      <c r="AW1516" s="14" t="str">
        <f>HYPERLINK("http://www.bing.com/maps/?lvl=14&amp;sty=h&amp;cp=37.1046~43.083&amp;sp=point.37.1046_43.083_Bazaar","Maplink3")</f>
        <v>Maplink3</v>
      </c>
    </row>
    <row r="1517" spans="1:49" ht="15" customHeight="1" x14ac:dyDescent="0.25">
      <c r="A1517" s="21">
        <v>25899</v>
      </c>
      <c r="B1517" s="22" t="s">
        <v>13</v>
      </c>
      <c r="C1517" s="22" t="s">
        <v>13</v>
      </c>
      <c r="D1517" s="22" t="s">
        <v>8619</v>
      </c>
      <c r="E1517" s="22" t="s">
        <v>3098</v>
      </c>
      <c r="F1517" s="22">
        <v>36.821359999999999</v>
      </c>
      <c r="G1517" s="22">
        <v>43.118250000000003</v>
      </c>
      <c r="H1517" s="21" t="s">
        <v>2819</v>
      </c>
      <c r="I1517" s="21" t="s">
        <v>2872</v>
      </c>
      <c r="J1517" s="21"/>
      <c r="K1517" s="24">
        <v>27</v>
      </c>
      <c r="L1517" s="24">
        <v>162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27</v>
      </c>
      <c r="Z1517" s="23"/>
      <c r="AA1517" s="23"/>
      <c r="AB1517" s="23"/>
      <c r="AC1517" s="23"/>
      <c r="AD1517" s="23"/>
      <c r="AE1517" s="23"/>
      <c r="AF1517" s="23">
        <v>6</v>
      </c>
      <c r="AG1517" s="23"/>
      <c r="AH1517" s="23"/>
      <c r="AI1517" s="23"/>
      <c r="AJ1517" s="23"/>
      <c r="AK1517" s="23">
        <v>13</v>
      </c>
      <c r="AL1517" s="23"/>
      <c r="AM1517" s="23">
        <v>8</v>
      </c>
      <c r="AN1517" s="23"/>
      <c r="AO1517" s="23"/>
      <c r="AP1517" s="23">
        <v>7</v>
      </c>
      <c r="AQ1517" s="23">
        <v>20</v>
      </c>
      <c r="AR1517" s="23"/>
      <c r="AS1517" s="23"/>
      <c r="AT1517" s="23"/>
      <c r="AU1517" s="14" t="str">
        <f>HYPERLINK("http://www.openstreetmap.org/?mlat=36.8214&amp;mlon=43.1183&amp;zoom=12#map=12/36.8214/43.1183","Maplink1")</f>
        <v>Maplink1</v>
      </c>
      <c r="AV1517" s="14" t="str">
        <f>HYPERLINK("https://www.google.iq/maps/search/+36.8214,43.1183/@36.8214,43.1183,14z?hl=en","Maplink2")</f>
        <v>Maplink2</v>
      </c>
      <c r="AW1517" s="14" t="str">
        <f>HYPERLINK("http://www.bing.com/maps/?lvl=14&amp;sty=h&amp;cp=36.8214~43.1183&amp;sp=point.36.8214_43.1183_Betase-Zawita","Maplink3")</f>
        <v>Maplink3</v>
      </c>
    </row>
    <row r="1518" spans="1:49" ht="15" customHeight="1" x14ac:dyDescent="0.25">
      <c r="A1518" s="21">
        <v>26052</v>
      </c>
      <c r="B1518" s="22" t="s">
        <v>13</v>
      </c>
      <c r="C1518" s="22" t="s">
        <v>13</v>
      </c>
      <c r="D1518" s="22" t="s">
        <v>2897</v>
      </c>
      <c r="E1518" s="22" t="s">
        <v>2898</v>
      </c>
      <c r="F1518" s="22">
        <v>36.845077000000003</v>
      </c>
      <c r="G1518" s="22">
        <v>43.010586000000004</v>
      </c>
      <c r="H1518" s="21" t="s">
        <v>2819</v>
      </c>
      <c r="I1518" s="21" t="s">
        <v>2872</v>
      </c>
      <c r="J1518" s="21"/>
      <c r="K1518" s="24">
        <v>80</v>
      </c>
      <c r="L1518" s="24">
        <v>480</v>
      </c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80</v>
      </c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>
        <v>80</v>
      </c>
      <c r="AL1518" s="23"/>
      <c r="AM1518" s="23"/>
      <c r="AN1518" s="23"/>
      <c r="AO1518" s="23"/>
      <c r="AP1518" s="23">
        <v>22</v>
      </c>
      <c r="AQ1518" s="23">
        <v>58</v>
      </c>
      <c r="AR1518" s="23"/>
      <c r="AS1518" s="23"/>
      <c r="AT1518" s="23"/>
      <c r="AU1518" s="14" t="str">
        <f>HYPERLINK("http://www.openstreetmap.org/?mlat=36.8451&amp;mlon=43.0106&amp;zoom=12#map=12/36.8451/43.0106","Maplink1")</f>
        <v>Maplink1</v>
      </c>
      <c r="AV1518" s="14" t="str">
        <f>HYPERLINK("https://www.google.iq/maps/search/+36.8451,43.0106/@36.8451,43.0106,14z?hl=en","Maplink2")</f>
        <v>Maplink2</v>
      </c>
      <c r="AW1518" s="14" t="str">
        <f>HYPERLINK("http://www.bing.com/maps/?lvl=14&amp;sty=h&amp;cp=36.8451~43.0106&amp;sp=point.36.8451_43.0106_Bintika","Maplink3")</f>
        <v>Maplink3</v>
      </c>
    </row>
    <row r="1519" spans="1:49" ht="15" customHeight="1" x14ac:dyDescent="0.25">
      <c r="A1519" s="21">
        <v>26047</v>
      </c>
      <c r="B1519" s="22" t="s">
        <v>13</v>
      </c>
      <c r="C1519" s="22" t="s">
        <v>13</v>
      </c>
      <c r="D1519" s="22" t="s">
        <v>2899</v>
      </c>
      <c r="E1519" s="22" t="s">
        <v>2900</v>
      </c>
      <c r="F1519" s="22">
        <v>36.862375</v>
      </c>
      <c r="G1519" s="22">
        <v>42.972116999999997</v>
      </c>
      <c r="H1519" s="21" t="s">
        <v>2819</v>
      </c>
      <c r="I1519" s="21" t="s">
        <v>2872</v>
      </c>
      <c r="J1519" s="21"/>
      <c r="K1519" s="24">
        <v>135</v>
      </c>
      <c r="L1519" s="24">
        <v>810</v>
      </c>
      <c r="M1519" s="23">
        <v>7</v>
      </c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128</v>
      </c>
      <c r="Z1519" s="23"/>
      <c r="AA1519" s="23"/>
      <c r="AB1519" s="23"/>
      <c r="AC1519" s="23"/>
      <c r="AD1519" s="23"/>
      <c r="AE1519" s="23"/>
      <c r="AF1519" s="23"/>
      <c r="AG1519" s="23">
        <v>51</v>
      </c>
      <c r="AH1519" s="23"/>
      <c r="AI1519" s="23"/>
      <c r="AJ1519" s="23"/>
      <c r="AK1519" s="23">
        <v>76</v>
      </c>
      <c r="AL1519" s="23"/>
      <c r="AM1519" s="23">
        <v>8</v>
      </c>
      <c r="AN1519" s="23"/>
      <c r="AO1519" s="23">
        <v>7</v>
      </c>
      <c r="AP1519" s="23">
        <v>48</v>
      </c>
      <c r="AQ1519" s="23">
        <v>80</v>
      </c>
      <c r="AR1519" s="23"/>
      <c r="AS1519" s="23"/>
      <c r="AT1519" s="23"/>
      <c r="AU1519" s="14" t="str">
        <f>HYPERLINK("http://www.openstreetmap.org/?mlat=36.8624&amp;mlon=42.9721&amp;zoom=12#map=12/36.8624/42.9721","Maplink1")</f>
        <v>Maplink1</v>
      </c>
      <c r="AV1519" s="14" t="str">
        <f>HYPERLINK("https://www.google.iq/maps/search/+36.8624,42.9721/@36.8624,42.9721,14z?hl=en","Maplink2")</f>
        <v>Maplink2</v>
      </c>
      <c r="AW1519" s="14" t="str">
        <f>HYPERLINK("http://www.bing.com/maps/?lvl=14&amp;sty=h&amp;cp=36.8624~42.9721&amp;sp=point.36.8624_42.9721_Botan","Maplink3")</f>
        <v>Maplink3</v>
      </c>
    </row>
    <row r="1520" spans="1:49" ht="15" customHeight="1" x14ac:dyDescent="0.25">
      <c r="A1520" s="21">
        <v>23763</v>
      </c>
      <c r="B1520" s="22" t="s">
        <v>13</v>
      </c>
      <c r="C1520" s="22" t="s">
        <v>13</v>
      </c>
      <c r="D1520" s="22" t="s">
        <v>2901</v>
      </c>
      <c r="E1520" s="22" t="s">
        <v>2902</v>
      </c>
      <c r="F1520" s="22">
        <v>36.806986000000002</v>
      </c>
      <c r="G1520" s="22">
        <v>43.124352999999999</v>
      </c>
      <c r="H1520" s="21" t="s">
        <v>2819</v>
      </c>
      <c r="I1520" s="21" t="s">
        <v>2872</v>
      </c>
      <c r="J1520" s="21" t="s">
        <v>2903</v>
      </c>
      <c r="K1520" s="24">
        <v>10</v>
      </c>
      <c r="L1520" s="24">
        <v>60</v>
      </c>
      <c r="M1520" s="23"/>
      <c r="N1520" s="23"/>
      <c r="O1520" s="23">
        <v>1</v>
      </c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9</v>
      </c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>
        <v>10</v>
      </c>
      <c r="AL1520" s="23"/>
      <c r="AM1520" s="23"/>
      <c r="AN1520" s="23"/>
      <c r="AO1520" s="23">
        <v>1</v>
      </c>
      <c r="AP1520" s="23">
        <v>2</v>
      </c>
      <c r="AQ1520" s="23">
        <v>7</v>
      </c>
      <c r="AR1520" s="23"/>
      <c r="AS1520" s="23"/>
      <c r="AT1520" s="23"/>
      <c r="AU1520" s="14" t="str">
        <f>HYPERLINK("http://www.openstreetmap.org/?mlat=36.807&amp;mlon=43.1244&amp;zoom=12#map=12/36.807/43.1244","Maplink1")</f>
        <v>Maplink1</v>
      </c>
      <c r="AV1520" s="14" t="str">
        <f>HYPERLINK("https://www.google.iq/maps/search/+36.807,43.1244/@36.807,43.1244,14z?hl=en","Maplink2")</f>
        <v>Maplink2</v>
      </c>
      <c r="AW1520" s="14" t="str">
        <f>HYPERLINK("http://www.bing.com/maps/?lvl=14&amp;sty=h&amp;cp=36.807~43.1244&amp;sp=point.36.807_43.1244_Dabin","Maplink3")</f>
        <v>Maplink3</v>
      </c>
    </row>
    <row r="1521" spans="1:49" ht="15" customHeight="1" x14ac:dyDescent="0.25">
      <c r="A1521" s="21">
        <v>24302</v>
      </c>
      <c r="B1521" s="22" t="s">
        <v>13</v>
      </c>
      <c r="C1521" s="22" t="s">
        <v>13</v>
      </c>
      <c r="D1521" s="22" t="s">
        <v>2904</v>
      </c>
      <c r="E1521" s="22" t="s">
        <v>2905</v>
      </c>
      <c r="F1521" s="22">
        <v>36.851021000000003</v>
      </c>
      <c r="G1521" s="22">
        <v>43.048211999999999</v>
      </c>
      <c r="H1521" s="21" t="s">
        <v>2819</v>
      </c>
      <c r="I1521" s="21" t="s">
        <v>2872</v>
      </c>
      <c r="J1521" s="21" t="s">
        <v>2906</v>
      </c>
      <c r="K1521" s="24">
        <v>570</v>
      </c>
      <c r="L1521" s="24">
        <v>3420</v>
      </c>
      <c r="M1521" s="23">
        <v>6</v>
      </c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564</v>
      </c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>
        <v>570</v>
      </c>
      <c r="AL1521" s="23"/>
      <c r="AM1521" s="23"/>
      <c r="AN1521" s="23"/>
      <c r="AO1521" s="23">
        <v>6</v>
      </c>
      <c r="AP1521" s="23">
        <v>430</v>
      </c>
      <c r="AQ1521" s="23">
        <v>134</v>
      </c>
      <c r="AR1521" s="23"/>
      <c r="AS1521" s="23"/>
      <c r="AT1521" s="23"/>
      <c r="AU1521" s="14" t="str">
        <f>HYPERLINK("http://www.openstreetmap.org/?mlat=36.851&amp;mlon=43.0482&amp;zoom=12#map=12/36.851/43.0482","Maplink1")</f>
        <v>Maplink1</v>
      </c>
      <c r="AV1521" s="14" t="str">
        <f>HYPERLINK("https://www.google.iq/maps/search/+36.851,43.0482/@36.851,43.0482,14z?hl=en","Maplink2")</f>
        <v>Maplink2</v>
      </c>
      <c r="AW1521" s="14" t="str">
        <f>HYPERLINK("http://www.bing.com/maps/?lvl=14&amp;sty=h&amp;cp=36.851~43.0482&amp;sp=point.36.851_43.0482_Dabin 2","Maplink3")</f>
        <v>Maplink3</v>
      </c>
    </row>
    <row r="1522" spans="1:49" ht="15" customHeight="1" x14ac:dyDescent="0.25">
      <c r="A1522" s="21">
        <v>24185</v>
      </c>
      <c r="B1522" s="22" t="s">
        <v>13</v>
      </c>
      <c r="C1522" s="22" t="s">
        <v>13</v>
      </c>
      <c r="D1522" s="22" t="s">
        <v>2907</v>
      </c>
      <c r="E1522" s="22" t="s">
        <v>2908</v>
      </c>
      <c r="F1522" s="22">
        <v>36.867469</v>
      </c>
      <c r="G1522" s="22">
        <v>42.972413000000003</v>
      </c>
      <c r="H1522" s="21" t="s">
        <v>2819</v>
      </c>
      <c r="I1522" s="21" t="s">
        <v>2872</v>
      </c>
      <c r="J1522" s="21" t="s">
        <v>2909</v>
      </c>
      <c r="K1522" s="24">
        <v>32</v>
      </c>
      <c r="L1522" s="24">
        <v>192</v>
      </c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32</v>
      </c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>
        <v>32</v>
      </c>
      <c r="AL1522" s="23"/>
      <c r="AM1522" s="23"/>
      <c r="AN1522" s="23"/>
      <c r="AO1522" s="23"/>
      <c r="AP1522" s="23">
        <v>20</v>
      </c>
      <c r="AQ1522" s="23">
        <v>12</v>
      </c>
      <c r="AR1522" s="23"/>
      <c r="AS1522" s="23"/>
      <c r="AT1522" s="23"/>
      <c r="AU1522" s="14" t="str">
        <f>HYPERLINK("http://www.openstreetmap.org/?mlat=36.8675&amp;mlon=42.9724&amp;zoom=12#map=12/36.8675/42.9724","Maplink1")</f>
        <v>Maplink1</v>
      </c>
      <c r="AV1522" s="14" t="str">
        <f>HYPERLINK("https://www.google.iq/maps/search/+36.8675,42.9724/@36.8675,42.9724,14z?hl=en","Maplink2")</f>
        <v>Maplink2</v>
      </c>
      <c r="AW1522" s="14" t="str">
        <f>HYPERLINK("http://www.bing.com/maps/?lvl=14&amp;sty=h&amp;cp=36.8675~42.9724&amp;sp=point.36.8675_42.9724_Diyari","Maplink3")</f>
        <v>Maplink3</v>
      </c>
    </row>
    <row r="1523" spans="1:49" ht="15" customHeight="1" x14ac:dyDescent="0.25">
      <c r="A1523" s="21">
        <v>7949</v>
      </c>
      <c r="B1523" s="22" t="s">
        <v>13</v>
      </c>
      <c r="C1523" s="22" t="s">
        <v>13</v>
      </c>
      <c r="D1523" s="22" t="s">
        <v>2910</v>
      </c>
      <c r="E1523" s="22" t="s">
        <v>2911</v>
      </c>
      <c r="F1523" s="22">
        <v>36.85</v>
      </c>
      <c r="G1523" s="22">
        <v>43.09</v>
      </c>
      <c r="H1523" s="21" t="s">
        <v>2819</v>
      </c>
      <c r="I1523" s="21" t="s">
        <v>2872</v>
      </c>
      <c r="J1523" s="21" t="s">
        <v>2912</v>
      </c>
      <c r="K1523" s="24">
        <v>170</v>
      </c>
      <c r="L1523" s="24">
        <v>1020</v>
      </c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170</v>
      </c>
      <c r="Z1523" s="23"/>
      <c r="AA1523" s="23"/>
      <c r="AB1523" s="23"/>
      <c r="AC1523" s="23"/>
      <c r="AD1523" s="23"/>
      <c r="AE1523" s="23"/>
      <c r="AF1523" s="23">
        <v>16</v>
      </c>
      <c r="AG1523" s="23"/>
      <c r="AH1523" s="23"/>
      <c r="AI1523" s="23"/>
      <c r="AJ1523" s="23"/>
      <c r="AK1523" s="23">
        <v>32</v>
      </c>
      <c r="AL1523" s="23"/>
      <c r="AM1523" s="23">
        <v>122</v>
      </c>
      <c r="AN1523" s="23"/>
      <c r="AO1523" s="23"/>
      <c r="AP1523" s="23">
        <v>37</v>
      </c>
      <c r="AQ1523" s="23">
        <v>133</v>
      </c>
      <c r="AR1523" s="23"/>
      <c r="AS1523" s="23"/>
      <c r="AT1523" s="23"/>
      <c r="AU1523" s="14" t="str">
        <f>HYPERLINK("http://www.openstreetmap.org/?mlat=36.85&amp;mlon=43.09&amp;zoom=12#map=12/36.85/43.09","Maplink1")</f>
        <v>Maplink1</v>
      </c>
      <c r="AV1523" s="14" t="str">
        <f>HYPERLINK("https://www.google.iq/maps/search/+36.85,43.09/@36.85,43.09,14z?hl=en","Maplink2")</f>
        <v>Maplink2</v>
      </c>
      <c r="AW1523" s="14" t="str">
        <f>HYPERLINK("http://www.bing.com/maps/?lvl=14&amp;sty=h&amp;cp=36.85~43.09&amp;sp=point.36.85_43.09_Eminke","Maplink3")</f>
        <v>Maplink3</v>
      </c>
    </row>
    <row r="1524" spans="1:49" ht="15" customHeight="1" x14ac:dyDescent="0.25">
      <c r="A1524" s="21">
        <v>24628</v>
      </c>
      <c r="B1524" s="22" t="s">
        <v>13</v>
      </c>
      <c r="C1524" s="22" t="s">
        <v>13</v>
      </c>
      <c r="D1524" s="22" t="s">
        <v>8620</v>
      </c>
      <c r="E1524" s="22" t="s">
        <v>8621</v>
      </c>
      <c r="F1524" s="22">
        <v>36.845154999999998</v>
      </c>
      <c r="G1524" s="22">
        <v>43.08372</v>
      </c>
      <c r="H1524" s="21" t="s">
        <v>2819</v>
      </c>
      <c r="I1524" s="21" t="s">
        <v>2872</v>
      </c>
      <c r="J1524" s="21"/>
      <c r="K1524" s="24">
        <v>671</v>
      </c>
      <c r="L1524" s="24">
        <v>4026</v>
      </c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>
        <v>671</v>
      </c>
      <c r="Z1524" s="23"/>
      <c r="AA1524" s="23"/>
      <c r="AB1524" s="23"/>
      <c r="AC1524" s="23"/>
      <c r="AD1524" s="23"/>
      <c r="AE1524" s="23"/>
      <c r="AF1524" s="23">
        <v>30</v>
      </c>
      <c r="AG1524" s="23"/>
      <c r="AH1524" s="23"/>
      <c r="AI1524" s="23"/>
      <c r="AJ1524" s="23"/>
      <c r="AK1524" s="23">
        <v>531</v>
      </c>
      <c r="AL1524" s="23"/>
      <c r="AM1524" s="23">
        <v>110</v>
      </c>
      <c r="AN1524" s="23"/>
      <c r="AO1524" s="23"/>
      <c r="AP1524" s="23">
        <v>253</v>
      </c>
      <c r="AQ1524" s="23">
        <v>418</v>
      </c>
      <c r="AR1524" s="23"/>
      <c r="AS1524" s="23"/>
      <c r="AT1524" s="23"/>
      <c r="AU1524" s="14" t="str">
        <f>HYPERLINK("http://www.openstreetmap.org/?mlat=36.8452&amp;mlon=43.0837&amp;zoom=12#map=12/36.8452/43.0837","Maplink1")</f>
        <v>Maplink1</v>
      </c>
      <c r="AV1524" s="14" t="str">
        <f>HYPERLINK("https://www.google.iq/maps/search/+36.8452,43.0837/@36.8452,43.0837,14z?hl=en","Maplink2")</f>
        <v>Maplink2</v>
      </c>
      <c r="AW1524" s="14" t="str">
        <f>HYPERLINK("http://www.bing.com/maps/?lvl=14&amp;sty=h&amp;cp=36.8452~43.0837&amp;sp=point.36.8452_43.0837_Hetit","Maplink3")</f>
        <v>Maplink3</v>
      </c>
    </row>
    <row r="1525" spans="1:49" ht="15" customHeight="1" x14ac:dyDescent="0.25">
      <c r="A1525" s="21">
        <v>23711</v>
      </c>
      <c r="B1525" s="22" t="s">
        <v>13</v>
      </c>
      <c r="C1525" s="22" t="s">
        <v>13</v>
      </c>
      <c r="D1525" s="22" t="s">
        <v>2913</v>
      </c>
      <c r="E1525" s="22" t="s">
        <v>2914</v>
      </c>
      <c r="F1525" s="22">
        <v>36.840282999999999</v>
      </c>
      <c r="G1525" s="22">
        <v>43.125261000000002</v>
      </c>
      <c r="H1525" s="21" t="s">
        <v>2819</v>
      </c>
      <c r="I1525" s="21" t="s">
        <v>2872</v>
      </c>
      <c r="J1525" s="21" t="s">
        <v>2915</v>
      </c>
      <c r="K1525" s="24">
        <v>67</v>
      </c>
      <c r="L1525" s="24">
        <v>402</v>
      </c>
      <c r="M1525" s="23">
        <v>1</v>
      </c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>
        <v>66</v>
      </c>
      <c r="Z1525" s="23"/>
      <c r="AA1525" s="23"/>
      <c r="AB1525" s="23"/>
      <c r="AC1525" s="23"/>
      <c r="AD1525" s="23"/>
      <c r="AE1525" s="23"/>
      <c r="AF1525" s="23">
        <v>3</v>
      </c>
      <c r="AG1525" s="23">
        <v>3</v>
      </c>
      <c r="AH1525" s="23"/>
      <c r="AI1525" s="23"/>
      <c r="AJ1525" s="23"/>
      <c r="AK1525" s="23">
        <v>61</v>
      </c>
      <c r="AL1525" s="23"/>
      <c r="AM1525" s="23"/>
      <c r="AN1525" s="23"/>
      <c r="AO1525" s="23">
        <v>1</v>
      </c>
      <c r="AP1525" s="23"/>
      <c r="AQ1525" s="23">
        <v>66</v>
      </c>
      <c r="AR1525" s="23"/>
      <c r="AS1525" s="23"/>
      <c r="AT1525" s="23"/>
      <c r="AU1525" s="14" t="str">
        <f>HYPERLINK("http://www.openstreetmap.org/?mlat=36.8403&amp;mlon=43.1253&amp;zoom=12#map=12/36.8403/43.1253","Maplink1")</f>
        <v>Maplink1</v>
      </c>
      <c r="AV1525" s="14" t="str">
        <f>HYPERLINK("https://www.google.iq/maps/search/+36.8403,43.1253/@36.8403,43.1253,14z?hl=en","Maplink2")</f>
        <v>Maplink2</v>
      </c>
      <c r="AW1525" s="14" t="str">
        <f>HYPERLINK("http://www.bing.com/maps/?lvl=14&amp;sty=h&amp;cp=36.8403~43.1253&amp;sp=point.36.8403_43.1253_Gali Dohuk","Maplink3")</f>
        <v>Maplink3</v>
      </c>
    </row>
    <row r="1526" spans="1:49" ht="15" customHeight="1" x14ac:dyDescent="0.25">
      <c r="A1526" s="21">
        <v>8371</v>
      </c>
      <c r="B1526" s="22" t="s">
        <v>13</v>
      </c>
      <c r="C1526" s="22" t="s">
        <v>13</v>
      </c>
      <c r="D1526" s="22" t="s">
        <v>2916</v>
      </c>
      <c r="E1526" s="22" t="s">
        <v>2917</v>
      </c>
      <c r="F1526" s="22">
        <v>36.840000000000003</v>
      </c>
      <c r="G1526" s="22">
        <v>42.94</v>
      </c>
      <c r="H1526" s="21" t="s">
        <v>2819</v>
      </c>
      <c r="I1526" s="21" t="s">
        <v>2872</v>
      </c>
      <c r="J1526" s="21" t="s">
        <v>2918</v>
      </c>
      <c r="K1526" s="24">
        <v>38</v>
      </c>
      <c r="L1526" s="24">
        <v>228</v>
      </c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>
        <v>38</v>
      </c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>
        <v>26</v>
      </c>
      <c r="AL1526" s="23"/>
      <c r="AM1526" s="23">
        <v>12</v>
      </c>
      <c r="AN1526" s="23"/>
      <c r="AO1526" s="23"/>
      <c r="AP1526" s="23">
        <v>6</v>
      </c>
      <c r="AQ1526" s="23">
        <v>32</v>
      </c>
      <c r="AR1526" s="23"/>
      <c r="AS1526" s="23"/>
      <c r="AT1526" s="23"/>
      <c r="AU1526" s="14" t="str">
        <f>HYPERLINK("http://www.openstreetmap.org/?mlat=36.84&amp;mlon=42.94&amp;zoom=12#map=12/36.84/42.94","Maplink1")</f>
        <v>Maplink1</v>
      </c>
      <c r="AV1526" s="14" t="str">
        <f>HYPERLINK("https://www.google.iq/maps/search/+36.84,42.94/@36.84,42.94,14z?hl=en","Maplink2")</f>
        <v>Maplink2</v>
      </c>
      <c r="AW1526" s="14" t="str">
        <f>HYPERLINK("http://www.bing.com/maps/?lvl=14&amp;sty=h&amp;cp=36.84~42.94&amp;sp=point.36.84_42.94_Gavarrke","Maplink3")</f>
        <v>Maplink3</v>
      </c>
    </row>
    <row r="1527" spans="1:49" ht="15" customHeight="1" x14ac:dyDescent="0.25">
      <c r="A1527" s="21">
        <v>21509</v>
      </c>
      <c r="B1527" s="22" t="s">
        <v>13</v>
      </c>
      <c r="C1527" s="22" t="s">
        <v>13</v>
      </c>
      <c r="D1527" s="22" t="s">
        <v>2919</v>
      </c>
      <c r="E1527" s="22" t="s">
        <v>2920</v>
      </c>
      <c r="F1527" s="22">
        <v>36.8675</v>
      </c>
      <c r="G1527" s="22">
        <v>42.991388890000003</v>
      </c>
      <c r="H1527" s="21" t="s">
        <v>2819</v>
      </c>
      <c r="I1527" s="21" t="s">
        <v>2872</v>
      </c>
      <c r="J1527" s="21" t="s">
        <v>2921</v>
      </c>
      <c r="K1527" s="24">
        <v>197</v>
      </c>
      <c r="L1527" s="24">
        <v>1182</v>
      </c>
      <c r="M1527" s="23">
        <v>4</v>
      </c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>
        <v>193</v>
      </c>
      <c r="Z1527" s="23"/>
      <c r="AA1527" s="23"/>
      <c r="AB1527" s="23"/>
      <c r="AC1527" s="23"/>
      <c r="AD1527" s="23"/>
      <c r="AE1527" s="23"/>
      <c r="AF1527" s="23"/>
      <c r="AG1527" s="23">
        <v>60</v>
      </c>
      <c r="AH1527" s="23"/>
      <c r="AI1527" s="23"/>
      <c r="AJ1527" s="23"/>
      <c r="AK1527" s="23">
        <v>137</v>
      </c>
      <c r="AL1527" s="23"/>
      <c r="AM1527" s="23"/>
      <c r="AN1527" s="23"/>
      <c r="AO1527" s="23">
        <v>4</v>
      </c>
      <c r="AP1527" s="23">
        <v>107</v>
      </c>
      <c r="AQ1527" s="23">
        <v>86</v>
      </c>
      <c r="AR1527" s="23"/>
      <c r="AS1527" s="23"/>
      <c r="AT1527" s="23"/>
      <c r="AU1527" s="14" t="str">
        <f>HYPERLINK("http://www.openstreetmap.org/?mlat=36.8675&amp;mlon=42.9914&amp;zoom=12#map=12/36.8675/42.9914","Maplink1")</f>
        <v>Maplink1</v>
      </c>
      <c r="AV1527" s="14" t="str">
        <f>HYPERLINK("https://www.google.iq/maps/search/+36.8675,42.9914/@36.8675,42.9914,14z?hl=en","Maplink2")</f>
        <v>Maplink2</v>
      </c>
      <c r="AW1527" s="14" t="str">
        <f>HYPERLINK("http://www.bing.com/maps/?lvl=14&amp;sty=h&amp;cp=36.8675~42.9914&amp;sp=point.36.8675_42.9914_Kari Basi","Maplink3")</f>
        <v>Maplink3</v>
      </c>
    </row>
    <row r="1528" spans="1:49" ht="15" customHeight="1" x14ac:dyDescent="0.25">
      <c r="A1528" s="21">
        <v>7984</v>
      </c>
      <c r="B1528" s="22" t="s">
        <v>13</v>
      </c>
      <c r="C1528" s="22" t="s">
        <v>13</v>
      </c>
      <c r="D1528" s="22" t="s">
        <v>8622</v>
      </c>
      <c r="E1528" s="22" t="s">
        <v>2928</v>
      </c>
      <c r="F1528" s="22">
        <v>36.875857000000003</v>
      </c>
      <c r="G1528" s="22">
        <v>43.081403000000002</v>
      </c>
      <c r="H1528" s="21" t="s">
        <v>2819</v>
      </c>
      <c r="I1528" s="21" t="s">
        <v>2872</v>
      </c>
      <c r="J1528" s="21" t="s">
        <v>2929</v>
      </c>
      <c r="K1528" s="24">
        <v>120</v>
      </c>
      <c r="L1528" s="24">
        <v>720</v>
      </c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>
        <v>120</v>
      </c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>
        <v>20</v>
      </c>
      <c r="AL1528" s="23"/>
      <c r="AM1528" s="23">
        <v>100</v>
      </c>
      <c r="AN1528" s="23"/>
      <c r="AO1528" s="23"/>
      <c r="AP1528" s="23">
        <v>5</v>
      </c>
      <c r="AQ1528" s="23">
        <v>115</v>
      </c>
      <c r="AR1528" s="23"/>
      <c r="AS1528" s="23"/>
      <c r="AT1528" s="23"/>
      <c r="AU1528" s="14" t="str">
        <f>HYPERLINK("http://www.openstreetmap.org/?mlat=36.8759&amp;mlon=43.0814&amp;zoom=12#map=12/36.8759/43.0814","Maplink1")</f>
        <v>Maplink1</v>
      </c>
      <c r="AV1528" s="14" t="str">
        <f>HYPERLINK("https://www.google.iq/maps/search/+36.8759,43.0814/@36.8759,43.0814,14z?hl=en","Maplink2")</f>
        <v>Maplink2</v>
      </c>
      <c r="AW1528" s="14" t="str">
        <f>HYPERLINK("http://www.bing.com/maps/?lvl=14&amp;sty=h&amp;cp=36.8759~43.0814&amp;sp=point.36.8759_43.0814_Kuvili","Maplink3")</f>
        <v>Maplink3</v>
      </c>
    </row>
    <row r="1529" spans="1:49" ht="15" customHeight="1" x14ac:dyDescent="0.25">
      <c r="A1529" s="21">
        <v>24184</v>
      </c>
      <c r="B1529" s="22" t="s">
        <v>13</v>
      </c>
      <c r="C1529" s="22" t="s">
        <v>13</v>
      </c>
      <c r="D1529" s="22" t="s">
        <v>2922</v>
      </c>
      <c r="E1529" s="22" t="s">
        <v>2923</v>
      </c>
      <c r="F1529" s="22">
        <v>36.868557000000003</v>
      </c>
      <c r="G1529" s="22">
        <v>42.975242999999999</v>
      </c>
      <c r="H1529" s="21" t="s">
        <v>2819</v>
      </c>
      <c r="I1529" s="21" t="s">
        <v>2872</v>
      </c>
      <c r="J1529" s="21" t="s">
        <v>2924</v>
      </c>
      <c r="K1529" s="24">
        <v>172</v>
      </c>
      <c r="L1529" s="24">
        <v>1032</v>
      </c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>
        <v>172</v>
      </c>
      <c r="Z1529" s="23"/>
      <c r="AA1529" s="23"/>
      <c r="AB1529" s="23"/>
      <c r="AC1529" s="23"/>
      <c r="AD1529" s="23"/>
      <c r="AE1529" s="23"/>
      <c r="AF1529" s="23">
        <v>6</v>
      </c>
      <c r="AG1529" s="23">
        <v>76</v>
      </c>
      <c r="AH1529" s="23"/>
      <c r="AI1529" s="23"/>
      <c r="AJ1529" s="23"/>
      <c r="AK1529" s="23">
        <v>90</v>
      </c>
      <c r="AL1529" s="23"/>
      <c r="AM1529" s="23"/>
      <c r="AN1529" s="23"/>
      <c r="AO1529" s="23"/>
      <c r="AP1529" s="23">
        <v>74</v>
      </c>
      <c r="AQ1529" s="23">
        <v>98</v>
      </c>
      <c r="AR1529" s="23"/>
      <c r="AS1529" s="23"/>
      <c r="AT1529" s="23"/>
      <c r="AU1529" s="14" t="str">
        <f>HYPERLINK("http://www.openstreetmap.org/?mlat=36.8686&amp;mlon=42.9752&amp;zoom=12#map=12/36.8686/42.9752","Maplink1")</f>
        <v>Maplink1</v>
      </c>
      <c r="AV1529" s="14" t="str">
        <f>HYPERLINK("https://www.google.iq/maps/search/+36.8686,42.9752/@36.8686,42.9752,14z?hl=en","Maplink2")</f>
        <v>Maplink2</v>
      </c>
      <c r="AW1529" s="14" t="str">
        <f>HYPERLINK("http://www.bing.com/maps/?lvl=14&amp;sty=h&amp;cp=36.8686~42.9752&amp;sp=point.36.8686_42.9752_Khabat Kojar","Maplink3")</f>
        <v>Maplink3</v>
      </c>
    </row>
    <row r="1530" spans="1:49" ht="15" customHeight="1" x14ac:dyDescent="0.25">
      <c r="A1530" s="21">
        <v>8871</v>
      </c>
      <c r="B1530" s="22" t="s">
        <v>13</v>
      </c>
      <c r="C1530" s="22" t="s">
        <v>13</v>
      </c>
      <c r="D1530" s="22" t="s">
        <v>2925</v>
      </c>
      <c r="E1530" s="22" t="s">
        <v>2926</v>
      </c>
      <c r="F1530" s="22">
        <v>36.933999999999997</v>
      </c>
      <c r="G1530" s="22">
        <v>43.149700000000003</v>
      </c>
      <c r="H1530" s="21" t="s">
        <v>2819</v>
      </c>
      <c r="I1530" s="21" t="s">
        <v>2872</v>
      </c>
      <c r="J1530" s="21" t="s">
        <v>2927</v>
      </c>
      <c r="K1530" s="24">
        <v>126</v>
      </c>
      <c r="L1530" s="24">
        <v>756</v>
      </c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>
        <v>126</v>
      </c>
      <c r="Z1530" s="23"/>
      <c r="AA1530" s="23"/>
      <c r="AB1530" s="23"/>
      <c r="AC1530" s="23"/>
      <c r="AD1530" s="23"/>
      <c r="AE1530" s="23"/>
      <c r="AF1530" s="23">
        <v>72</v>
      </c>
      <c r="AG1530" s="23"/>
      <c r="AH1530" s="23">
        <v>7</v>
      </c>
      <c r="AI1530" s="23"/>
      <c r="AJ1530" s="23">
        <v>1</v>
      </c>
      <c r="AK1530" s="23">
        <v>26</v>
      </c>
      <c r="AL1530" s="23"/>
      <c r="AM1530" s="23">
        <v>20</v>
      </c>
      <c r="AN1530" s="23"/>
      <c r="AO1530" s="23"/>
      <c r="AP1530" s="23">
        <v>14</v>
      </c>
      <c r="AQ1530" s="23">
        <v>112</v>
      </c>
      <c r="AR1530" s="23"/>
      <c r="AS1530" s="23"/>
      <c r="AT1530" s="23"/>
      <c r="AU1530" s="14" t="str">
        <f>HYPERLINK("http://www.openstreetmap.org/?mlat=36.934&amp;mlon=43.1497&amp;zoom=12#map=12/36.934/43.1497","Maplink1")</f>
        <v>Maplink1</v>
      </c>
      <c r="AV1530" s="14" t="str">
        <f>HYPERLINK("https://www.google.iq/maps/search/+36.934,43.1497/@36.934,43.1497,14z?hl=en","Maplink2")</f>
        <v>Maplink2</v>
      </c>
      <c r="AW1530" s="14" t="str">
        <f>HYPERLINK("http://www.bing.com/maps/?lvl=14&amp;sty=h&amp;cp=36.934~43.1497&amp;sp=point.36.934_43.1497_Kora","Maplink3")</f>
        <v>Maplink3</v>
      </c>
    </row>
    <row r="1531" spans="1:49" ht="15" customHeight="1" x14ac:dyDescent="0.25">
      <c r="A1531" s="21">
        <v>8238</v>
      </c>
      <c r="B1531" s="22" t="s">
        <v>13</v>
      </c>
      <c r="C1531" s="22" t="s">
        <v>13</v>
      </c>
      <c r="D1531" s="22" t="s">
        <v>8270</v>
      </c>
      <c r="E1531" s="22" t="s">
        <v>8271</v>
      </c>
      <c r="F1531" s="22">
        <v>37.044347000000002</v>
      </c>
      <c r="G1531" s="22">
        <v>43.139994999999999</v>
      </c>
      <c r="H1531" s="21" t="s">
        <v>2819</v>
      </c>
      <c r="I1531" s="21" t="s">
        <v>2872</v>
      </c>
      <c r="J1531" s="21" t="s">
        <v>8199</v>
      </c>
      <c r="K1531" s="24">
        <v>33</v>
      </c>
      <c r="L1531" s="24">
        <v>198</v>
      </c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>
        <v>33</v>
      </c>
      <c r="Z1531" s="23"/>
      <c r="AA1531" s="23"/>
      <c r="AB1531" s="23"/>
      <c r="AC1531" s="23"/>
      <c r="AD1531" s="23"/>
      <c r="AE1531" s="23"/>
      <c r="AF1531" s="23">
        <v>29</v>
      </c>
      <c r="AG1531" s="23"/>
      <c r="AH1531" s="23"/>
      <c r="AI1531" s="23"/>
      <c r="AJ1531" s="23">
        <v>2</v>
      </c>
      <c r="AK1531" s="23"/>
      <c r="AL1531" s="23"/>
      <c r="AM1531" s="23">
        <v>2</v>
      </c>
      <c r="AN1531" s="23"/>
      <c r="AO1531" s="23"/>
      <c r="AP1531" s="23"/>
      <c r="AQ1531" s="23">
        <v>33</v>
      </c>
      <c r="AR1531" s="23"/>
      <c r="AS1531" s="23"/>
      <c r="AT1531" s="23"/>
      <c r="AU1531" s="14" t="str">
        <f>HYPERLINK("http://www.openstreetmap.org/?mlat=37.0099&amp;mlon=43.0477&amp;zoom=12#map=12/37.0099/43.0477","Maplink1")</f>
        <v>Maplink1</v>
      </c>
      <c r="AV1531" s="14" t="str">
        <f>HYPERLINK("https://www.google.iq/maps/search/+37.0099,43.0477/@37.0099,43.0477,14z?hl=en","Maplink2")</f>
        <v>Maplink2</v>
      </c>
      <c r="AW1531" s="14" t="str">
        <f>HYPERLINK("http://www.bing.com/maps/?lvl=14&amp;sty=h&amp;cp=37.0099~43.0477&amp;sp=point.37.0099_43.0477","Maplink3")</f>
        <v>Maplink3</v>
      </c>
    </row>
    <row r="1532" spans="1:49" ht="15" customHeight="1" x14ac:dyDescent="0.25">
      <c r="A1532" s="21">
        <v>26045</v>
      </c>
      <c r="B1532" s="22" t="s">
        <v>13</v>
      </c>
      <c r="C1532" s="22" t="s">
        <v>13</v>
      </c>
      <c r="D1532" s="22" t="s">
        <v>8623</v>
      </c>
      <c r="E1532" s="22" t="s">
        <v>2931</v>
      </c>
      <c r="F1532" s="22">
        <v>36.854036000000001</v>
      </c>
      <c r="G1532" s="22">
        <v>42.935372999999998</v>
      </c>
      <c r="H1532" s="21" t="s">
        <v>2819</v>
      </c>
      <c r="I1532" s="21" t="s">
        <v>2872</v>
      </c>
      <c r="J1532" s="21"/>
      <c r="K1532" s="24">
        <v>145</v>
      </c>
      <c r="L1532" s="24">
        <v>870</v>
      </c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145</v>
      </c>
      <c r="Z1532" s="23"/>
      <c r="AA1532" s="23"/>
      <c r="AB1532" s="23"/>
      <c r="AC1532" s="23"/>
      <c r="AD1532" s="23"/>
      <c r="AE1532" s="23"/>
      <c r="AF1532" s="23"/>
      <c r="AG1532" s="23">
        <v>40</v>
      </c>
      <c r="AH1532" s="23"/>
      <c r="AI1532" s="23"/>
      <c r="AJ1532" s="23"/>
      <c r="AK1532" s="23">
        <v>105</v>
      </c>
      <c r="AL1532" s="23"/>
      <c r="AM1532" s="23"/>
      <c r="AN1532" s="23"/>
      <c r="AO1532" s="23"/>
      <c r="AP1532" s="23">
        <v>18</v>
      </c>
      <c r="AQ1532" s="23">
        <v>127</v>
      </c>
      <c r="AR1532" s="23"/>
      <c r="AS1532" s="23"/>
      <c r="AT1532" s="23"/>
      <c r="AU1532" s="14" t="str">
        <f>HYPERLINK("http://www.openstreetmap.org/?mlat=36.854&amp;mlon=42.9354&amp;zoom=12#map=12/36.854/42.9354","Maplink1")</f>
        <v>Maplink1</v>
      </c>
      <c r="AV1532" s="14" t="str">
        <f>HYPERLINK("https://www.google.iq/maps/search/+36.854,42.9354/@36.854,42.9354,14z?hl=en","Maplink2")</f>
        <v>Maplink2</v>
      </c>
      <c r="AW1532" s="14" t="str">
        <f>HYPERLINK("http://www.bing.com/maps/?lvl=14&amp;sty=h&amp;cp=36.854~42.9354&amp;sp=point.36.854_42.9354_Malta Sofla","Maplink3")</f>
        <v>Maplink3</v>
      </c>
    </row>
    <row r="1533" spans="1:49" ht="15" customHeight="1" x14ac:dyDescent="0.25">
      <c r="A1533" s="21">
        <v>7964</v>
      </c>
      <c r="B1533" s="22" t="s">
        <v>13</v>
      </c>
      <c r="C1533" s="22" t="s">
        <v>13</v>
      </c>
      <c r="D1533" s="22" t="s">
        <v>2932</v>
      </c>
      <c r="E1533" s="22" t="s">
        <v>2933</v>
      </c>
      <c r="F1533" s="22">
        <v>37.034866999999998</v>
      </c>
      <c r="G1533" s="22">
        <v>43.095332999999997</v>
      </c>
      <c r="H1533" s="21" t="s">
        <v>2819</v>
      </c>
      <c r="I1533" s="21" t="s">
        <v>2872</v>
      </c>
      <c r="J1533" s="21" t="s">
        <v>2934</v>
      </c>
      <c r="K1533" s="24">
        <v>153</v>
      </c>
      <c r="L1533" s="24">
        <v>918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>
        <v>153</v>
      </c>
      <c r="Z1533" s="23"/>
      <c r="AA1533" s="23"/>
      <c r="AB1533" s="23"/>
      <c r="AC1533" s="23"/>
      <c r="AD1533" s="23"/>
      <c r="AE1533" s="23"/>
      <c r="AF1533" s="23">
        <v>113</v>
      </c>
      <c r="AG1533" s="23"/>
      <c r="AH1533" s="23"/>
      <c r="AI1533" s="23"/>
      <c r="AJ1533" s="23">
        <v>30</v>
      </c>
      <c r="AK1533" s="23">
        <v>10</v>
      </c>
      <c r="AL1533" s="23"/>
      <c r="AM1533" s="23"/>
      <c r="AN1533" s="23"/>
      <c r="AO1533" s="23"/>
      <c r="AP1533" s="23"/>
      <c r="AQ1533" s="23">
        <v>153</v>
      </c>
      <c r="AR1533" s="23"/>
      <c r="AS1533" s="23"/>
      <c r="AT1533" s="23"/>
      <c r="AU1533" s="14" t="str">
        <f>HYPERLINK("http://www.openstreetmap.org/?mlat=36.8663&amp;mlon=42.9674&amp;zoom=12#map=12/36.8663/42.9674","Maplink1")</f>
        <v>Maplink1</v>
      </c>
      <c r="AV1533" s="14" t="str">
        <f>HYPERLINK("https://www.google.iq/maps/search/+36.8663,42.9674/@36.8663,42.9674,14z?hl=en","Maplink2")</f>
        <v>Maplink2</v>
      </c>
      <c r="AW1533" s="14" t="str">
        <f>HYPERLINK("http://www.bing.com/maps/?lvl=14&amp;sty=h&amp;cp=36.8663~42.9674&amp;sp=point.36.8663_42.9674_Mangesh","Maplink3")</f>
        <v>Maplink3</v>
      </c>
    </row>
    <row r="1534" spans="1:49" ht="15" customHeight="1" x14ac:dyDescent="0.25">
      <c r="A1534" s="21">
        <v>24092</v>
      </c>
      <c r="B1534" s="22" t="s">
        <v>13</v>
      </c>
      <c r="C1534" s="22" t="s">
        <v>13</v>
      </c>
      <c r="D1534" s="22" t="s">
        <v>2935</v>
      </c>
      <c r="E1534" s="22" t="s">
        <v>2936</v>
      </c>
      <c r="F1534" s="22">
        <v>36.872298000000001</v>
      </c>
      <c r="G1534" s="22">
        <v>42.965038</v>
      </c>
      <c r="H1534" s="21" t="s">
        <v>2819</v>
      </c>
      <c r="I1534" s="21" t="s">
        <v>2872</v>
      </c>
      <c r="J1534" s="21" t="s">
        <v>2937</v>
      </c>
      <c r="K1534" s="24">
        <v>200</v>
      </c>
      <c r="L1534" s="24">
        <v>1200</v>
      </c>
      <c r="M1534" s="23">
        <v>3</v>
      </c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>
        <v>197</v>
      </c>
      <c r="Z1534" s="23"/>
      <c r="AA1534" s="23"/>
      <c r="AB1534" s="23"/>
      <c r="AC1534" s="23"/>
      <c r="AD1534" s="23"/>
      <c r="AE1534" s="23"/>
      <c r="AF1534" s="23">
        <v>12</v>
      </c>
      <c r="AG1534" s="23"/>
      <c r="AH1534" s="23"/>
      <c r="AI1534" s="23"/>
      <c r="AJ1534" s="23"/>
      <c r="AK1534" s="23">
        <v>163</v>
      </c>
      <c r="AL1534" s="23"/>
      <c r="AM1534" s="23">
        <v>25</v>
      </c>
      <c r="AN1534" s="23"/>
      <c r="AO1534" s="23">
        <v>3</v>
      </c>
      <c r="AP1534" s="23">
        <v>107</v>
      </c>
      <c r="AQ1534" s="23">
        <v>90</v>
      </c>
      <c r="AR1534" s="23"/>
      <c r="AS1534" s="23"/>
      <c r="AT1534" s="23"/>
      <c r="AU1534" s="14" t="str">
        <f>HYPERLINK("http://www.openstreetmap.org/?mlat=36.8723&amp;mlon=42.965&amp;zoom=12#map=12/36.8723/42.965","Maplink1")</f>
        <v>Maplink1</v>
      </c>
      <c r="AV1534" s="14" t="str">
        <f>HYPERLINK("https://www.google.iq/maps/search/+36.8723,42.965/@36.8723,42.965,14z?hl=en","Maplink2")</f>
        <v>Maplink2</v>
      </c>
      <c r="AW1534" s="14" t="str">
        <f>HYPERLINK("http://www.bing.com/maps/?lvl=14&amp;sty=h&amp;cp=36.8723~42.965&amp;sp=point.36.8723_42.965_Masik-1","Maplink3")</f>
        <v>Maplink3</v>
      </c>
    </row>
    <row r="1535" spans="1:49" ht="15" customHeight="1" x14ac:dyDescent="0.25">
      <c r="A1535" s="21">
        <v>24093</v>
      </c>
      <c r="B1535" s="22" t="s">
        <v>13</v>
      </c>
      <c r="C1535" s="22" t="s">
        <v>13</v>
      </c>
      <c r="D1535" s="22" t="s">
        <v>2938</v>
      </c>
      <c r="E1535" s="22" t="s">
        <v>2939</v>
      </c>
      <c r="F1535" s="22">
        <v>36.871684000000002</v>
      </c>
      <c r="G1535" s="22">
        <v>42.966672000000003</v>
      </c>
      <c r="H1535" s="21" t="s">
        <v>2819</v>
      </c>
      <c r="I1535" s="21" t="s">
        <v>2872</v>
      </c>
      <c r="J1535" s="21" t="s">
        <v>2940</v>
      </c>
      <c r="K1535" s="24">
        <v>287</v>
      </c>
      <c r="L1535" s="24">
        <v>1722</v>
      </c>
      <c r="M1535" s="23">
        <v>30</v>
      </c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>
        <v>257</v>
      </c>
      <c r="Z1535" s="23"/>
      <c r="AA1535" s="23"/>
      <c r="AB1535" s="23"/>
      <c r="AC1535" s="23"/>
      <c r="AD1535" s="23"/>
      <c r="AE1535" s="23"/>
      <c r="AF1535" s="23">
        <v>11</v>
      </c>
      <c r="AG1535" s="23"/>
      <c r="AH1535" s="23"/>
      <c r="AI1535" s="23"/>
      <c r="AJ1535" s="23">
        <v>20</v>
      </c>
      <c r="AK1535" s="23">
        <v>206</v>
      </c>
      <c r="AL1535" s="23"/>
      <c r="AM1535" s="23">
        <v>50</v>
      </c>
      <c r="AN1535" s="23"/>
      <c r="AO1535" s="23">
        <v>30</v>
      </c>
      <c r="AP1535" s="23">
        <v>65</v>
      </c>
      <c r="AQ1535" s="23">
        <v>192</v>
      </c>
      <c r="AR1535" s="23"/>
      <c r="AS1535" s="23"/>
      <c r="AT1535" s="23"/>
      <c r="AU1535" s="14" t="str">
        <f>HYPERLINK("http://www.openstreetmap.org/?mlat=36.8717&amp;mlon=42.9667&amp;zoom=12#map=12/36.8717/42.9667","Maplink1")</f>
        <v>Maplink1</v>
      </c>
      <c r="AV1535" s="14" t="str">
        <f>HYPERLINK("https://www.google.iq/maps/search/+36.8717,42.9667/@36.8717,42.9667,14z?hl=en","Maplink2")</f>
        <v>Maplink2</v>
      </c>
      <c r="AW1535" s="14" t="str">
        <f>HYPERLINK("http://www.bing.com/maps/?lvl=14&amp;sty=h&amp;cp=36.8717~42.9667&amp;sp=point.36.8717_42.9667_Masik-2","Maplink3")</f>
        <v>Maplink3</v>
      </c>
    </row>
    <row r="1536" spans="1:49" ht="15" customHeight="1" x14ac:dyDescent="0.25">
      <c r="A1536" s="21">
        <v>24802</v>
      </c>
      <c r="B1536" s="22" t="s">
        <v>13</v>
      </c>
      <c r="C1536" s="22" t="s">
        <v>13</v>
      </c>
      <c r="D1536" s="22" t="s">
        <v>2941</v>
      </c>
      <c r="E1536" s="22" t="s">
        <v>2942</v>
      </c>
      <c r="F1536" s="22">
        <v>36.857447999999998</v>
      </c>
      <c r="G1536" s="22">
        <v>42.979931000000001</v>
      </c>
      <c r="H1536" s="21" t="s">
        <v>2819</v>
      </c>
      <c r="I1536" s="21" t="s">
        <v>2872</v>
      </c>
      <c r="J1536" s="21"/>
      <c r="K1536" s="24">
        <v>120</v>
      </c>
      <c r="L1536" s="24">
        <v>720</v>
      </c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120</v>
      </c>
      <c r="Z1536" s="23"/>
      <c r="AA1536" s="23"/>
      <c r="AB1536" s="23"/>
      <c r="AC1536" s="23"/>
      <c r="AD1536" s="23"/>
      <c r="AE1536" s="23"/>
      <c r="AF1536" s="23"/>
      <c r="AG1536" s="23">
        <v>12</v>
      </c>
      <c r="AH1536" s="23"/>
      <c r="AI1536" s="23"/>
      <c r="AJ1536" s="23"/>
      <c r="AK1536" s="23">
        <v>99</v>
      </c>
      <c r="AL1536" s="23"/>
      <c r="AM1536" s="23">
        <v>9</v>
      </c>
      <c r="AN1536" s="23"/>
      <c r="AO1536" s="23"/>
      <c r="AP1536" s="23">
        <v>74</v>
      </c>
      <c r="AQ1536" s="23">
        <v>46</v>
      </c>
      <c r="AR1536" s="23"/>
      <c r="AS1536" s="23"/>
      <c r="AT1536" s="23"/>
      <c r="AU1536" s="14" t="str">
        <f>HYPERLINK("http://www.openstreetmap.org/?mlat=36.8574&amp;mlon=42.9799&amp;zoom=12#map=12/36.8574/42.9799","Maplink1")</f>
        <v>Maplink1</v>
      </c>
      <c r="AV1536" s="14" t="str">
        <f>HYPERLINK("https://www.google.iq/maps/search/+36.8574,42.9799/@36.8574,42.9799,14z?hl=en","Maplink2")</f>
        <v>Maplink2</v>
      </c>
      <c r="AW1536" s="14" t="str">
        <f>HYPERLINK("http://www.bing.com/maps/?lvl=14&amp;sty=h&amp;cp=36.8574~42.9799&amp;sp=point.36.8574_42.9799_Mazi","Maplink3")</f>
        <v>Maplink3</v>
      </c>
    </row>
    <row r="1537" spans="1:49" ht="15" customHeight="1" x14ac:dyDescent="0.25">
      <c r="A1537" s="21">
        <v>24803</v>
      </c>
      <c r="B1537" s="22" t="s">
        <v>13</v>
      </c>
      <c r="C1537" s="22" t="s">
        <v>13</v>
      </c>
      <c r="D1537" s="22" t="s">
        <v>2943</v>
      </c>
      <c r="E1537" s="22" t="s">
        <v>2944</v>
      </c>
      <c r="F1537" s="22">
        <v>36.853025000000002</v>
      </c>
      <c r="G1537" s="22">
        <v>42.933680000000003</v>
      </c>
      <c r="H1537" s="21" t="s">
        <v>2819</v>
      </c>
      <c r="I1537" s="21" t="s">
        <v>2872</v>
      </c>
      <c r="J1537" s="21"/>
      <c r="K1537" s="24">
        <v>110</v>
      </c>
      <c r="L1537" s="24">
        <v>660</v>
      </c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>
        <v>110</v>
      </c>
      <c r="Z1537" s="23"/>
      <c r="AA1537" s="23"/>
      <c r="AB1537" s="23"/>
      <c r="AC1537" s="23"/>
      <c r="AD1537" s="23"/>
      <c r="AE1537" s="23"/>
      <c r="AF1537" s="23">
        <v>13</v>
      </c>
      <c r="AG1537" s="23">
        <v>8</v>
      </c>
      <c r="AH1537" s="23"/>
      <c r="AI1537" s="23"/>
      <c r="AJ1537" s="23"/>
      <c r="AK1537" s="23">
        <v>83</v>
      </c>
      <c r="AL1537" s="23"/>
      <c r="AM1537" s="23">
        <v>6</v>
      </c>
      <c r="AN1537" s="23"/>
      <c r="AO1537" s="23"/>
      <c r="AP1537" s="23">
        <v>25</v>
      </c>
      <c r="AQ1537" s="23">
        <v>85</v>
      </c>
      <c r="AR1537" s="23"/>
      <c r="AS1537" s="23"/>
      <c r="AT1537" s="23"/>
      <c r="AU1537" s="14" t="str">
        <f>HYPERLINK("http://www.openstreetmap.org/?mlat=36.853&amp;mlon=42.9337&amp;zoom=12#map=12/36.853/42.9337","Maplink1")</f>
        <v>Maplink1</v>
      </c>
      <c r="AV1537" s="14" t="str">
        <f>HYPERLINK("https://www.google.iq/maps/search/+36.853,42.9337/@36.853,42.9337,14z?hl=en","Maplink2")</f>
        <v>Maplink2</v>
      </c>
      <c r="AW1537" s="14" t="str">
        <f>HYPERLINK("http://www.bing.com/maps/?lvl=14&amp;sty=h&amp;cp=36.853~42.9337&amp;sp=point.36.853_42.9337_Midiya","Maplink3")</f>
        <v>Maplink3</v>
      </c>
    </row>
    <row r="1538" spans="1:49" ht="15" customHeight="1" x14ac:dyDescent="0.25">
      <c r="A1538" s="21">
        <v>8460</v>
      </c>
      <c r="B1538" s="22" t="s">
        <v>13</v>
      </c>
      <c r="C1538" s="22" t="s">
        <v>13</v>
      </c>
      <c r="D1538" s="22" t="s">
        <v>8272</v>
      </c>
      <c r="E1538" s="22" t="s">
        <v>8273</v>
      </c>
      <c r="F1538" s="22">
        <v>37.018883000000002</v>
      </c>
      <c r="G1538" s="22">
        <v>43.164561999999997</v>
      </c>
      <c r="H1538" s="21" t="s">
        <v>2819</v>
      </c>
      <c r="I1538" s="21" t="s">
        <v>2872</v>
      </c>
      <c r="J1538" s="21" t="s">
        <v>8198</v>
      </c>
      <c r="K1538" s="24">
        <v>38</v>
      </c>
      <c r="L1538" s="24">
        <v>228</v>
      </c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>
        <v>38</v>
      </c>
      <c r="Z1538" s="23"/>
      <c r="AA1538" s="23"/>
      <c r="AB1538" s="23"/>
      <c r="AC1538" s="23"/>
      <c r="AD1538" s="23"/>
      <c r="AE1538" s="23"/>
      <c r="AF1538" s="23">
        <v>36</v>
      </c>
      <c r="AG1538" s="23"/>
      <c r="AH1538" s="23"/>
      <c r="AI1538" s="23"/>
      <c r="AJ1538" s="23"/>
      <c r="AK1538" s="23"/>
      <c r="AL1538" s="23"/>
      <c r="AM1538" s="23">
        <v>2</v>
      </c>
      <c r="AN1538" s="23"/>
      <c r="AO1538" s="23"/>
      <c r="AP1538" s="23"/>
      <c r="AQ1538" s="23">
        <v>38</v>
      </c>
      <c r="AR1538" s="23"/>
      <c r="AS1538" s="23"/>
      <c r="AT1538" s="23"/>
      <c r="AU1538" s="14" t="str">
        <f>HYPERLINK("http://www.openstreetmap.org/?mlat=37.0045&amp;mlon=43.0929&amp;zoom=12#map=12/37.0045/43.0929","Maplink1")</f>
        <v>Maplink1</v>
      </c>
      <c r="AV1538" s="14" t="str">
        <f>HYPERLINK("https://www.google.iq/maps/search/+37.0045,43.0929/@37.0045,43.0929,14z?hl=en","Maplink2")</f>
        <v>Maplink2</v>
      </c>
      <c r="AW1538" s="14" t="str">
        <f>HYPERLINK("http://www.bing.com/maps/?lvl=14&amp;sty=h&amp;cp=37.0045~43.0929&amp;sp=point.37.0045_43.0929","Maplink3")</f>
        <v>Maplink3</v>
      </c>
    </row>
    <row r="1539" spans="1:49" ht="15" customHeight="1" x14ac:dyDescent="0.25">
      <c r="A1539" s="21">
        <v>24644</v>
      </c>
      <c r="B1539" s="22" t="s">
        <v>13</v>
      </c>
      <c r="C1539" s="22" t="s">
        <v>13</v>
      </c>
      <c r="D1539" s="22" t="s">
        <v>2945</v>
      </c>
      <c r="E1539" s="22" t="s">
        <v>2946</v>
      </c>
      <c r="F1539" s="22">
        <v>36.854950000000002</v>
      </c>
      <c r="G1539" s="22">
        <v>43.093145999999997</v>
      </c>
      <c r="H1539" s="21" t="s">
        <v>2819</v>
      </c>
      <c r="I1539" s="21" t="s">
        <v>2872</v>
      </c>
      <c r="J1539" s="21"/>
      <c r="K1539" s="24">
        <v>65</v>
      </c>
      <c r="L1539" s="24">
        <v>390</v>
      </c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>
        <v>65</v>
      </c>
      <c r="Z1539" s="23"/>
      <c r="AA1539" s="23"/>
      <c r="AB1539" s="23"/>
      <c r="AC1539" s="23"/>
      <c r="AD1539" s="23"/>
      <c r="AE1539" s="23"/>
      <c r="AF1539" s="23">
        <v>1</v>
      </c>
      <c r="AG1539" s="23"/>
      <c r="AH1539" s="23"/>
      <c r="AI1539" s="23"/>
      <c r="AJ1539" s="23"/>
      <c r="AK1539" s="23">
        <v>64</v>
      </c>
      <c r="AL1539" s="23"/>
      <c r="AM1539" s="23"/>
      <c r="AN1539" s="23"/>
      <c r="AO1539" s="23"/>
      <c r="AP1539" s="23">
        <v>5</v>
      </c>
      <c r="AQ1539" s="23">
        <v>60</v>
      </c>
      <c r="AR1539" s="23"/>
      <c r="AS1539" s="23"/>
      <c r="AT1539" s="23"/>
      <c r="AU1539" s="14" t="str">
        <f>HYPERLINK("http://www.openstreetmap.org/?mlat=36.855&amp;mlon=43.0931&amp;zoom=12#map=12/36.855/43.0931","Maplink1")</f>
        <v>Maplink1</v>
      </c>
      <c r="AV1539" s="14" t="str">
        <f>HYPERLINK("https://www.google.iq/maps/search/+36.855,43.0931/@36.855,43.0931,14z?hl=en","Maplink2")</f>
        <v>Maplink2</v>
      </c>
      <c r="AW1539" s="14" t="str">
        <f>HYPERLINK("http://www.bing.com/maps/?lvl=14&amp;sty=h&amp;cp=36.855~43.0931&amp;sp=point.36.855_43.0931_Muhabad","Maplink3")</f>
        <v>Maplink3</v>
      </c>
    </row>
    <row r="1540" spans="1:49" ht="15" customHeight="1" x14ac:dyDescent="0.25">
      <c r="A1540" s="21">
        <v>23905</v>
      </c>
      <c r="B1540" s="22" t="s">
        <v>13</v>
      </c>
      <c r="C1540" s="22" t="s">
        <v>13</v>
      </c>
      <c r="D1540" s="22" t="s">
        <v>2947</v>
      </c>
      <c r="E1540" s="22" t="s">
        <v>2948</v>
      </c>
      <c r="F1540" s="22">
        <v>36.859037999999998</v>
      </c>
      <c r="G1540" s="22">
        <v>43.039551000000003</v>
      </c>
      <c r="H1540" s="21" t="s">
        <v>2819</v>
      </c>
      <c r="I1540" s="21" t="s">
        <v>2872</v>
      </c>
      <c r="J1540" s="21" t="s">
        <v>2949</v>
      </c>
      <c r="K1540" s="24">
        <v>56</v>
      </c>
      <c r="L1540" s="24">
        <v>336</v>
      </c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56</v>
      </c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>
        <v>56</v>
      </c>
      <c r="AL1540" s="23"/>
      <c r="AM1540" s="23"/>
      <c r="AN1540" s="23"/>
      <c r="AO1540" s="23"/>
      <c r="AP1540" s="23">
        <v>16</v>
      </c>
      <c r="AQ1540" s="23">
        <v>40</v>
      </c>
      <c r="AR1540" s="23"/>
      <c r="AS1540" s="23"/>
      <c r="AT1540" s="23"/>
      <c r="AU1540" s="14" t="str">
        <f>HYPERLINK("http://www.openstreetmap.org/?mlat=36.859&amp;mlon=43.0396&amp;zoom=12#map=12/36.859/43.0396","Maplink1")</f>
        <v>Maplink1</v>
      </c>
      <c r="AV1540" s="14" t="str">
        <f>HYPERLINK("https://www.google.iq/maps/search/+36.859,43.0396/@36.859,43.0396,14z?hl=en","Maplink2")</f>
        <v>Maplink2</v>
      </c>
      <c r="AW1540" s="14" t="str">
        <f>HYPERLINK("http://www.bing.com/maps/?lvl=14&amp;sty=h&amp;cp=36.859~43.0396&amp;sp=point.36.859_43.0396_Naor","Maplink3")</f>
        <v>Maplink3</v>
      </c>
    </row>
    <row r="1541" spans="1:49" ht="15" customHeight="1" x14ac:dyDescent="0.25">
      <c r="A1541" s="21">
        <v>7946</v>
      </c>
      <c r="B1541" s="22" t="s">
        <v>13</v>
      </c>
      <c r="C1541" s="22" t="s">
        <v>13</v>
      </c>
      <c r="D1541" s="22" t="s">
        <v>2950</v>
      </c>
      <c r="E1541" s="22" t="s">
        <v>2951</v>
      </c>
      <c r="F1541" s="22">
        <v>36.847433000000002</v>
      </c>
      <c r="G1541" s="22">
        <v>43.047386000000003</v>
      </c>
      <c r="H1541" s="21" t="s">
        <v>2819</v>
      </c>
      <c r="I1541" s="21" t="s">
        <v>2872</v>
      </c>
      <c r="J1541" s="21" t="s">
        <v>2952</v>
      </c>
      <c r="K1541" s="24">
        <v>825</v>
      </c>
      <c r="L1541" s="24">
        <v>4950</v>
      </c>
      <c r="M1541" s="23">
        <v>25</v>
      </c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>
        <v>780</v>
      </c>
      <c r="Z1541" s="23"/>
      <c r="AA1541" s="23">
        <v>20</v>
      </c>
      <c r="AB1541" s="23"/>
      <c r="AC1541" s="23"/>
      <c r="AD1541" s="23"/>
      <c r="AE1541" s="23"/>
      <c r="AF1541" s="23">
        <v>85</v>
      </c>
      <c r="AG1541" s="23"/>
      <c r="AH1541" s="23"/>
      <c r="AI1541" s="23"/>
      <c r="AJ1541" s="23"/>
      <c r="AK1541" s="23">
        <v>540</v>
      </c>
      <c r="AL1541" s="23"/>
      <c r="AM1541" s="23">
        <v>200</v>
      </c>
      <c r="AN1541" s="23"/>
      <c r="AO1541" s="23">
        <v>25</v>
      </c>
      <c r="AP1541" s="23">
        <v>329</v>
      </c>
      <c r="AQ1541" s="23">
        <v>471</v>
      </c>
      <c r="AR1541" s="23"/>
      <c r="AS1541" s="23"/>
      <c r="AT1541" s="23"/>
      <c r="AU1541" s="14" t="str">
        <f>HYPERLINK("http://www.openstreetmap.org/?mlat=36.8474&amp;mlon=43.0474&amp;zoom=12#map=12/36.8474/43.0474","Maplink1")</f>
        <v>Maplink1</v>
      </c>
      <c r="AV1541" s="14" t="str">
        <f>HYPERLINK("https://www.google.iq/maps/search/+36.8474,43.0474/@36.8474,43.0474,14z?hl=en","Maplink2")</f>
        <v>Maplink2</v>
      </c>
      <c r="AW1541" s="14" t="str">
        <f>HYPERLINK("http://www.bing.com/maps/?lvl=14&amp;sty=h&amp;cp=36.8474~43.0474&amp;sp=point.36.8474_43.0474_Nazarke","Maplink3")</f>
        <v>Maplink3</v>
      </c>
    </row>
    <row r="1542" spans="1:49" ht="15" customHeight="1" x14ac:dyDescent="0.25">
      <c r="A1542" s="21">
        <v>24188</v>
      </c>
      <c r="B1542" s="22" t="s">
        <v>13</v>
      </c>
      <c r="C1542" s="22" t="s">
        <v>13</v>
      </c>
      <c r="D1542" s="22" t="s">
        <v>2953</v>
      </c>
      <c r="E1542" s="22" t="s">
        <v>2954</v>
      </c>
      <c r="F1542" s="22">
        <v>36.865999000000002</v>
      </c>
      <c r="G1542" s="22">
        <v>42.993018999999997</v>
      </c>
      <c r="H1542" s="21" t="s">
        <v>2819</v>
      </c>
      <c r="I1542" s="21" t="s">
        <v>2872</v>
      </c>
      <c r="J1542" s="21" t="s">
        <v>2955</v>
      </c>
      <c r="K1542" s="24">
        <v>300</v>
      </c>
      <c r="L1542" s="24">
        <v>1800</v>
      </c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>
        <v>300</v>
      </c>
      <c r="Z1542" s="23"/>
      <c r="AA1542" s="23"/>
      <c r="AB1542" s="23"/>
      <c r="AC1542" s="23"/>
      <c r="AD1542" s="23"/>
      <c r="AE1542" s="23"/>
      <c r="AF1542" s="23">
        <v>18</v>
      </c>
      <c r="AG1542" s="23"/>
      <c r="AH1542" s="23"/>
      <c r="AI1542" s="23"/>
      <c r="AJ1542" s="23"/>
      <c r="AK1542" s="23">
        <v>55</v>
      </c>
      <c r="AL1542" s="23"/>
      <c r="AM1542" s="23">
        <v>227</v>
      </c>
      <c r="AN1542" s="23"/>
      <c r="AO1542" s="23"/>
      <c r="AP1542" s="23">
        <v>48</v>
      </c>
      <c r="AQ1542" s="23">
        <v>252</v>
      </c>
      <c r="AR1542" s="23"/>
      <c r="AS1542" s="23"/>
      <c r="AT1542" s="23"/>
      <c r="AU1542" s="14" t="str">
        <f>HYPERLINK("http://www.openstreetmap.org/?mlat=36.866&amp;mlon=42.993&amp;zoom=12#map=12/36.866/42.993","Maplink1")</f>
        <v>Maplink1</v>
      </c>
      <c r="AV1542" s="14" t="str">
        <f>HYPERLINK("https://www.google.iq/maps/search/+36.866,42.993/@36.866,42.993,14z?hl=en","Maplink2")</f>
        <v>Maplink2</v>
      </c>
      <c r="AW1542" s="14" t="str">
        <f>HYPERLINK("http://www.bing.com/maps/?lvl=14&amp;sty=h&amp;cp=36.866~42.993&amp;sp=point.36.866_42.993_Qassara","Maplink3")</f>
        <v>Maplink3</v>
      </c>
    </row>
    <row r="1543" spans="1:49" ht="15" customHeight="1" x14ac:dyDescent="0.25">
      <c r="A1543" s="21">
        <v>8468</v>
      </c>
      <c r="B1543" s="22" t="s">
        <v>13</v>
      </c>
      <c r="C1543" s="22" t="s">
        <v>13</v>
      </c>
      <c r="D1543" s="22" t="s">
        <v>2956</v>
      </c>
      <c r="E1543" s="22" t="s">
        <v>2957</v>
      </c>
      <c r="F1543" s="22">
        <v>36.92</v>
      </c>
      <c r="G1543" s="22">
        <v>43.2</v>
      </c>
      <c r="H1543" s="21" t="s">
        <v>2819</v>
      </c>
      <c r="I1543" s="21" t="s">
        <v>2872</v>
      </c>
      <c r="J1543" s="21" t="s">
        <v>2958</v>
      </c>
      <c r="K1543" s="24">
        <v>63</v>
      </c>
      <c r="L1543" s="24">
        <v>378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>
        <v>63</v>
      </c>
      <c r="Z1543" s="23"/>
      <c r="AA1543" s="23"/>
      <c r="AB1543" s="23"/>
      <c r="AC1543" s="23"/>
      <c r="AD1543" s="23"/>
      <c r="AE1543" s="23"/>
      <c r="AF1543" s="23">
        <v>9</v>
      </c>
      <c r="AG1543" s="23"/>
      <c r="AH1543" s="23">
        <v>24</v>
      </c>
      <c r="AI1543" s="23"/>
      <c r="AJ1543" s="23"/>
      <c r="AK1543" s="23">
        <v>5</v>
      </c>
      <c r="AL1543" s="23"/>
      <c r="AM1543" s="23">
        <v>25</v>
      </c>
      <c r="AN1543" s="23"/>
      <c r="AO1543" s="23"/>
      <c r="AP1543" s="23"/>
      <c r="AQ1543" s="23">
        <v>63</v>
      </c>
      <c r="AR1543" s="23"/>
      <c r="AS1543" s="23"/>
      <c r="AT1543" s="23"/>
      <c r="AU1543" s="14" t="str">
        <f>HYPERLINK("http://www.openstreetmap.org/?mlat=36.92&amp;mlon=43.2&amp;zoom=12#map=12/36.92/43.2","Maplink1")</f>
        <v>Maplink1</v>
      </c>
      <c r="AV1543" s="14" t="str">
        <f>HYPERLINK("https://www.google.iq/maps/search/+36.92,43.2/@36.92,43.2,14z?hl=en","Maplink2")</f>
        <v>Maplink2</v>
      </c>
      <c r="AW1543" s="14" t="str">
        <f>HYPERLINK("http://www.bing.com/maps/?lvl=14&amp;sty=h&amp;cp=36.92~43.2&amp;sp=point.36.92_43.2_Rashanke","Maplink3")</f>
        <v>Maplink3</v>
      </c>
    </row>
    <row r="1544" spans="1:49" ht="15" customHeight="1" x14ac:dyDescent="0.25">
      <c r="A1544" s="21">
        <v>23712</v>
      </c>
      <c r="B1544" s="22" t="s">
        <v>13</v>
      </c>
      <c r="C1544" s="22" t="s">
        <v>13</v>
      </c>
      <c r="D1544" s="22" t="s">
        <v>2959</v>
      </c>
      <c r="E1544" s="22" t="s">
        <v>2960</v>
      </c>
      <c r="F1544" s="22">
        <v>36.840854999999998</v>
      </c>
      <c r="G1544" s="22">
        <v>43.152940999999998</v>
      </c>
      <c r="H1544" s="21" t="s">
        <v>2819</v>
      </c>
      <c r="I1544" s="21" t="s">
        <v>2872</v>
      </c>
      <c r="J1544" s="21" t="s">
        <v>2961</v>
      </c>
      <c r="K1544" s="24">
        <v>260</v>
      </c>
      <c r="L1544" s="24">
        <v>1560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>
        <v>260</v>
      </c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>
        <v>260</v>
      </c>
      <c r="AL1544" s="23"/>
      <c r="AM1544" s="23"/>
      <c r="AN1544" s="23"/>
      <c r="AO1544" s="23"/>
      <c r="AP1544" s="23">
        <v>115</v>
      </c>
      <c r="AQ1544" s="23">
        <v>145</v>
      </c>
      <c r="AR1544" s="23"/>
      <c r="AS1544" s="23"/>
      <c r="AT1544" s="23"/>
      <c r="AU1544" s="14" t="str">
        <f>HYPERLINK("http://www.openstreetmap.org/?mlat=36.8409&amp;mlon=43.1529&amp;zoom=12#map=12/36.8409/43.1529","Maplink1")</f>
        <v>Maplink1</v>
      </c>
      <c r="AV1544" s="14" t="str">
        <f>HYPERLINK("https://www.google.iq/maps/search/+36.8409,43.1529/@36.8409,43.1529,14z?hl=en","Maplink2")</f>
        <v>Maplink2</v>
      </c>
      <c r="AW1544" s="14" t="str">
        <f>HYPERLINK("http://www.bing.com/maps/?lvl=14&amp;sty=h&amp;cp=36.8409~43.1529&amp;sp=point.36.8409_43.1529_Raza","Maplink3")</f>
        <v>Maplink3</v>
      </c>
    </row>
    <row r="1545" spans="1:49" ht="15" customHeight="1" x14ac:dyDescent="0.25">
      <c r="A1545" s="21">
        <v>26049</v>
      </c>
      <c r="B1545" s="22" t="s">
        <v>13</v>
      </c>
      <c r="C1545" s="22" t="s">
        <v>13</v>
      </c>
      <c r="D1545" s="22" t="s">
        <v>2962</v>
      </c>
      <c r="E1545" s="22" t="s">
        <v>2963</v>
      </c>
      <c r="F1545" s="22">
        <v>36.849620000000002</v>
      </c>
      <c r="G1545" s="22">
        <v>43.017763000000002</v>
      </c>
      <c r="H1545" s="21" t="s">
        <v>2819</v>
      </c>
      <c r="I1545" s="21" t="s">
        <v>2872</v>
      </c>
      <c r="J1545" s="21"/>
      <c r="K1545" s="24">
        <v>23</v>
      </c>
      <c r="L1545" s="24">
        <v>138</v>
      </c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>
        <v>23</v>
      </c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>
        <v>23</v>
      </c>
      <c r="AL1545" s="23"/>
      <c r="AM1545" s="23"/>
      <c r="AN1545" s="23"/>
      <c r="AO1545" s="23"/>
      <c r="AP1545" s="23">
        <v>9</v>
      </c>
      <c r="AQ1545" s="23">
        <v>14</v>
      </c>
      <c r="AR1545" s="23"/>
      <c r="AS1545" s="23"/>
      <c r="AT1545" s="23"/>
      <c r="AU1545" s="14" t="str">
        <f>HYPERLINK("http://www.openstreetmap.org/?mlat=36.8496&amp;mlon=43.0178&amp;zoom=12#map=12/36.8496/43.0178","Maplink1")</f>
        <v>Maplink1</v>
      </c>
      <c r="AV1545" s="14" t="str">
        <f>HYPERLINK("https://www.google.iq/maps/search/+36.8496,43.0178/@36.8496,43.0178,14z?hl=en","Maplink2")</f>
        <v>Maplink2</v>
      </c>
      <c r="AW1545" s="14" t="str">
        <f>HYPERLINK("http://www.bing.com/maps/?lvl=14&amp;sty=h&amp;cp=36.8496~43.0178&amp;sp=point.36.8496_43.0178_Sarbasti","Maplink3")</f>
        <v>Maplink3</v>
      </c>
    </row>
    <row r="1546" spans="1:49" ht="15" customHeight="1" x14ac:dyDescent="0.25">
      <c r="A1546" s="21">
        <v>23902</v>
      </c>
      <c r="B1546" s="22" t="s">
        <v>13</v>
      </c>
      <c r="C1546" s="22" t="s">
        <v>13</v>
      </c>
      <c r="D1546" s="22" t="s">
        <v>2964</v>
      </c>
      <c r="E1546" s="22" t="s">
        <v>2965</v>
      </c>
      <c r="F1546" s="22">
        <v>36.838540999999999</v>
      </c>
      <c r="G1546" s="22">
        <v>43.044187000000001</v>
      </c>
      <c r="H1546" s="21" t="s">
        <v>2819</v>
      </c>
      <c r="I1546" s="21" t="s">
        <v>2872</v>
      </c>
      <c r="J1546" s="21" t="s">
        <v>2966</v>
      </c>
      <c r="K1546" s="24">
        <v>196</v>
      </c>
      <c r="L1546" s="24">
        <v>1176</v>
      </c>
      <c r="M1546" s="23">
        <v>1</v>
      </c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>
        <v>193</v>
      </c>
      <c r="Z1546" s="23"/>
      <c r="AA1546" s="23">
        <v>2</v>
      </c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>
        <v>196</v>
      </c>
      <c r="AL1546" s="23"/>
      <c r="AM1546" s="23"/>
      <c r="AN1546" s="23"/>
      <c r="AO1546" s="23">
        <v>1</v>
      </c>
      <c r="AP1546" s="23">
        <v>126</v>
      </c>
      <c r="AQ1546" s="23">
        <v>69</v>
      </c>
      <c r="AR1546" s="23"/>
      <c r="AS1546" s="23"/>
      <c r="AT1546" s="23"/>
      <c r="AU1546" s="14" t="str">
        <f>HYPERLINK("http://www.openstreetmap.org/?mlat=36.8385&amp;mlon=43.0442&amp;zoom=12#map=12/36.8385/43.0442","Maplink1")</f>
        <v>Maplink1</v>
      </c>
      <c r="AV1546" s="14" t="str">
        <f>HYPERLINK("https://www.google.iq/maps/search/+36.8385,43.0442/@36.8385,43.0442,14z?hl=en","Maplink2")</f>
        <v>Maplink2</v>
      </c>
      <c r="AW1546" s="14" t="str">
        <f>HYPERLINK("http://www.bing.com/maps/?lvl=14&amp;sty=h&amp;cp=36.8385~43.0442&amp;sp=point.36.8385_43.0442_Sarheldan","Maplink3")</f>
        <v>Maplink3</v>
      </c>
    </row>
    <row r="1547" spans="1:49" ht="15" customHeight="1" x14ac:dyDescent="0.25">
      <c r="A1547" s="21">
        <v>26053</v>
      </c>
      <c r="B1547" s="22" t="s">
        <v>13</v>
      </c>
      <c r="C1547" s="22" t="s">
        <v>13</v>
      </c>
      <c r="D1547" s="22" t="s">
        <v>2967</v>
      </c>
      <c r="E1547" s="22" t="s">
        <v>2968</v>
      </c>
      <c r="F1547" s="22">
        <v>36.869660000000003</v>
      </c>
      <c r="G1547" s="22">
        <v>42.997176000000003</v>
      </c>
      <c r="H1547" s="21" t="s">
        <v>2819</v>
      </c>
      <c r="I1547" s="21" t="s">
        <v>2872</v>
      </c>
      <c r="J1547" s="21"/>
      <c r="K1547" s="24">
        <v>65</v>
      </c>
      <c r="L1547" s="24">
        <v>390</v>
      </c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>
        <v>65</v>
      </c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>
        <v>65</v>
      </c>
      <c r="AL1547" s="23"/>
      <c r="AM1547" s="23"/>
      <c r="AN1547" s="23"/>
      <c r="AO1547" s="23"/>
      <c r="AP1547" s="23">
        <v>3</v>
      </c>
      <c r="AQ1547" s="23">
        <v>62</v>
      </c>
      <c r="AR1547" s="23"/>
      <c r="AS1547" s="23"/>
      <c r="AT1547" s="23"/>
      <c r="AU1547" s="14" t="str">
        <f>HYPERLINK("http://www.openstreetmap.org/?mlat=36.8697&amp;mlon=42.9972&amp;zoom=12#map=12/36.8697/42.9972","Maplink1")</f>
        <v>Maplink1</v>
      </c>
      <c r="AV1547" s="14" t="str">
        <f>HYPERLINK("https://www.google.iq/maps/search/+36.8697,42.9972/@36.8697,42.9972,14z?hl=en","Maplink2")</f>
        <v>Maplink2</v>
      </c>
      <c r="AW1547" s="14" t="str">
        <f>HYPERLINK("http://www.bing.com/maps/?lvl=14&amp;sty=h&amp;cp=36.8697~42.9972&amp;sp=point.36.8697_42.9972_Shahidan","Maplink3")</f>
        <v>Maplink3</v>
      </c>
    </row>
    <row r="1548" spans="1:49" ht="15" customHeight="1" x14ac:dyDescent="0.25">
      <c r="A1548" s="21">
        <v>8373</v>
      </c>
      <c r="B1548" s="22" t="s">
        <v>13</v>
      </c>
      <c r="C1548" s="22" t="s">
        <v>13</v>
      </c>
      <c r="D1548" s="22" t="s">
        <v>2969</v>
      </c>
      <c r="E1548" s="22" t="s">
        <v>2970</v>
      </c>
      <c r="F1548" s="22">
        <v>36.869999999999997</v>
      </c>
      <c r="G1548" s="22">
        <v>42.97</v>
      </c>
      <c r="H1548" s="21" t="s">
        <v>2819</v>
      </c>
      <c r="I1548" s="21" t="s">
        <v>2872</v>
      </c>
      <c r="J1548" s="21" t="s">
        <v>2971</v>
      </c>
      <c r="K1548" s="24">
        <v>243</v>
      </c>
      <c r="L1548" s="24">
        <v>1458</v>
      </c>
      <c r="M1548" s="23">
        <v>12</v>
      </c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>
        <v>228</v>
      </c>
      <c r="Z1548" s="23"/>
      <c r="AA1548" s="23">
        <v>3</v>
      </c>
      <c r="AB1548" s="23"/>
      <c r="AC1548" s="23"/>
      <c r="AD1548" s="23"/>
      <c r="AE1548" s="23"/>
      <c r="AF1548" s="23"/>
      <c r="AG1548" s="23">
        <v>54</v>
      </c>
      <c r="AH1548" s="23"/>
      <c r="AI1548" s="23"/>
      <c r="AJ1548" s="23"/>
      <c r="AK1548" s="23">
        <v>189</v>
      </c>
      <c r="AL1548" s="23"/>
      <c r="AM1548" s="23"/>
      <c r="AN1548" s="23"/>
      <c r="AO1548" s="23">
        <v>12</v>
      </c>
      <c r="AP1548" s="23">
        <v>100</v>
      </c>
      <c r="AQ1548" s="23">
        <v>131</v>
      </c>
      <c r="AR1548" s="23"/>
      <c r="AS1548" s="23"/>
      <c r="AT1548" s="23"/>
      <c r="AU1548" s="14" t="str">
        <f>HYPERLINK("http://www.openstreetmap.org/?mlat=36.87&amp;mlon=42.97&amp;zoom=12#map=12/36.87/42.97","Maplink1")</f>
        <v>Maplink1</v>
      </c>
      <c r="AV1548" s="14" t="str">
        <f>HYPERLINK("https://www.google.iq/maps/search/+36.87,42.97/@36.87,42.97,14z?hl=en","Maplink2")</f>
        <v>Maplink2</v>
      </c>
      <c r="AW1548" s="14" t="str">
        <f>HYPERLINK("http://www.bing.com/maps/?lvl=14&amp;sty=h&amp;cp=36.87~42.97&amp;sp=point.36.87_42.97_Shakhke","Maplink3")</f>
        <v>Maplink3</v>
      </c>
    </row>
    <row r="1549" spans="1:49" ht="15" customHeight="1" x14ac:dyDescent="0.25">
      <c r="A1549" s="21">
        <v>21979</v>
      </c>
      <c r="B1549" s="22" t="s">
        <v>13</v>
      </c>
      <c r="C1549" s="22" t="s">
        <v>13</v>
      </c>
      <c r="D1549" s="22" t="s">
        <v>8624</v>
      </c>
      <c r="E1549" s="22" t="s">
        <v>2972</v>
      </c>
      <c r="F1549" s="22">
        <v>36.858333330000001</v>
      </c>
      <c r="G1549" s="22">
        <v>42.99777778</v>
      </c>
      <c r="H1549" s="21" t="s">
        <v>2819</v>
      </c>
      <c r="I1549" s="21" t="s">
        <v>2872</v>
      </c>
      <c r="J1549" s="21" t="s">
        <v>2973</v>
      </c>
      <c r="K1549" s="24">
        <v>245</v>
      </c>
      <c r="L1549" s="24">
        <v>1470</v>
      </c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>
        <v>239</v>
      </c>
      <c r="Z1549" s="23"/>
      <c r="AA1549" s="23">
        <v>6</v>
      </c>
      <c r="AB1549" s="23"/>
      <c r="AC1549" s="23"/>
      <c r="AD1549" s="23"/>
      <c r="AE1549" s="23"/>
      <c r="AF1549" s="23"/>
      <c r="AG1549" s="23">
        <v>90</v>
      </c>
      <c r="AH1549" s="23"/>
      <c r="AI1549" s="23"/>
      <c r="AJ1549" s="23"/>
      <c r="AK1549" s="23">
        <v>155</v>
      </c>
      <c r="AL1549" s="23"/>
      <c r="AM1549" s="23"/>
      <c r="AN1549" s="23"/>
      <c r="AO1549" s="23"/>
      <c r="AP1549" s="23">
        <v>107</v>
      </c>
      <c r="AQ1549" s="23">
        <v>138</v>
      </c>
      <c r="AR1549" s="23"/>
      <c r="AS1549" s="23"/>
      <c r="AT1549" s="23"/>
      <c r="AU1549" s="14" t="str">
        <f>HYPERLINK("http://www.openstreetmap.org/?mlat=36.8583&amp;mlon=42.9978&amp;zoom=12#map=12/36.8583/42.9978","Maplink1")</f>
        <v>Maplink1</v>
      </c>
      <c r="AV1549" s="14" t="str">
        <f>HYPERLINK("https://www.google.iq/maps/search/+36.8583,42.9978/@36.8583,42.9978,14z?hl=en","Maplink2")</f>
        <v>Maplink2</v>
      </c>
      <c r="AW1549" s="14" t="str">
        <f>HYPERLINK("http://www.bing.com/maps/?lvl=14&amp;sty=h&amp;cp=36.8583~42.9978&amp;sp=point.36.8583_42.9978_Shili","Maplink3")</f>
        <v>Maplink3</v>
      </c>
    </row>
    <row r="1550" spans="1:49" ht="15" customHeight="1" x14ac:dyDescent="0.25">
      <c r="A1550" s="21">
        <v>8372</v>
      </c>
      <c r="B1550" s="22" t="s">
        <v>13</v>
      </c>
      <c r="C1550" s="22" t="s">
        <v>13</v>
      </c>
      <c r="D1550" s="22" t="s">
        <v>2974</v>
      </c>
      <c r="E1550" s="22" t="s">
        <v>2975</v>
      </c>
      <c r="F1550" s="22">
        <v>36.840000000000003</v>
      </c>
      <c r="G1550" s="22">
        <v>42.96</v>
      </c>
      <c r="H1550" s="21" t="s">
        <v>2819</v>
      </c>
      <c r="I1550" s="21" t="s">
        <v>2872</v>
      </c>
      <c r="J1550" s="21" t="s">
        <v>2976</v>
      </c>
      <c r="K1550" s="24">
        <v>85</v>
      </c>
      <c r="L1550" s="24">
        <v>510</v>
      </c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>
        <v>85</v>
      </c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>
        <v>66</v>
      </c>
      <c r="AL1550" s="23"/>
      <c r="AM1550" s="23">
        <v>19</v>
      </c>
      <c r="AN1550" s="23"/>
      <c r="AO1550" s="23"/>
      <c r="AP1550" s="23">
        <v>22</v>
      </c>
      <c r="AQ1550" s="23">
        <v>63</v>
      </c>
      <c r="AR1550" s="23"/>
      <c r="AS1550" s="23"/>
      <c r="AT1550" s="23"/>
      <c r="AU1550" s="14" t="str">
        <f>HYPERLINK("http://www.openstreetmap.org/?mlat=36.84&amp;mlon=42.96&amp;zoom=12#map=12/36.84/42.96","Maplink1")</f>
        <v>Maplink1</v>
      </c>
      <c r="AV1550" s="14" t="str">
        <f>HYPERLINK("https://www.google.iq/maps/search/+36.84,42.96/@36.84,42.96,14z?hl=en","Maplink2")</f>
        <v>Maplink2</v>
      </c>
      <c r="AW1550" s="14" t="str">
        <f>HYPERLINK("http://www.bing.com/maps/?lvl=14&amp;sty=h&amp;cp=36.84~42.96&amp;sp=point.36.84_42.96_Shindukha","Maplink3")</f>
        <v>Maplink3</v>
      </c>
    </row>
    <row r="1551" spans="1:49" ht="15" customHeight="1" x14ac:dyDescent="0.25">
      <c r="A1551" s="21">
        <v>26046</v>
      </c>
      <c r="B1551" s="22" t="s">
        <v>13</v>
      </c>
      <c r="C1551" s="22" t="s">
        <v>13</v>
      </c>
      <c r="D1551" s="22" t="s">
        <v>8625</v>
      </c>
      <c r="E1551" s="22" t="s">
        <v>2930</v>
      </c>
      <c r="F1551" s="22">
        <v>36.859670000000001</v>
      </c>
      <c r="G1551" s="22">
        <v>42.941690999999999</v>
      </c>
      <c r="H1551" s="21" t="s">
        <v>2819</v>
      </c>
      <c r="I1551" s="21" t="s">
        <v>2872</v>
      </c>
      <c r="J1551" s="21"/>
      <c r="K1551" s="24">
        <v>420</v>
      </c>
      <c r="L1551" s="24">
        <v>2520</v>
      </c>
      <c r="M1551" s="23">
        <v>9</v>
      </c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>
        <v>406</v>
      </c>
      <c r="Z1551" s="23"/>
      <c r="AA1551" s="23">
        <v>5</v>
      </c>
      <c r="AB1551" s="23"/>
      <c r="AC1551" s="23"/>
      <c r="AD1551" s="23"/>
      <c r="AE1551" s="23"/>
      <c r="AF1551" s="23"/>
      <c r="AG1551" s="23">
        <v>35</v>
      </c>
      <c r="AH1551" s="23"/>
      <c r="AI1551" s="23"/>
      <c r="AJ1551" s="23"/>
      <c r="AK1551" s="23">
        <v>384</v>
      </c>
      <c r="AL1551" s="23"/>
      <c r="AM1551" s="23">
        <v>1</v>
      </c>
      <c r="AN1551" s="23"/>
      <c r="AO1551" s="23">
        <v>9</v>
      </c>
      <c r="AP1551" s="23">
        <v>267</v>
      </c>
      <c r="AQ1551" s="23">
        <v>144</v>
      </c>
      <c r="AR1551" s="23"/>
      <c r="AS1551" s="23"/>
      <c r="AT1551" s="23"/>
      <c r="AU1551" s="14" t="str">
        <f>HYPERLINK("http://www.openstreetmap.org/?mlat=36.8597&amp;mlon=42.9417&amp;zoom=12#map=12/36.8597/42.9417","Maplink1")</f>
        <v>Maplink1</v>
      </c>
      <c r="AV1551" s="14" t="str">
        <f>HYPERLINK("https://www.google.iq/maps/search/+36.8597,42.9417/@36.8597,42.9417,14z?hl=en","Maplink2")</f>
        <v>Maplink2</v>
      </c>
      <c r="AW1551" s="14" t="str">
        <f>HYPERLINK("http://www.bing.com/maps/?lvl=14&amp;sty=h&amp;cp=36.8597~42.9417&amp;sp=point.36.8597_42.9417_Malta Oliya","Maplink3")</f>
        <v>Maplink3</v>
      </c>
    </row>
    <row r="1552" spans="1:49" ht="15" customHeight="1" x14ac:dyDescent="0.25">
      <c r="A1552" s="21">
        <v>7921</v>
      </c>
      <c r="B1552" s="22" t="s">
        <v>13</v>
      </c>
      <c r="C1552" s="22" t="s">
        <v>13</v>
      </c>
      <c r="D1552" s="22" t="s">
        <v>2977</v>
      </c>
      <c r="E1552" s="22" t="s">
        <v>2978</v>
      </c>
      <c r="F1552" s="22">
        <v>36.9</v>
      </c>
      <c r="G1552" s="22">
        <v>43.12</v>
      </c>
      <c r="H1552" s="21" t="s">
        <v>2819</v>
      </c>
      <c r="I1552" s="21" t="s">
        <v>2872</v>
      </c>
      <c r="J1552" s="21" t="s">
        <v>2979</v>
      </c>
      <c r="K1552" s="24">
        <v>105</v>
      </c>
      <c r="L1552" s="24">
        <v>630</v>
      </c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>
        <v>105</v>
      </c>
      <c r="Z1552" s="23"/>
      <c r="AA1552" s="23"/>
      <c r="AB1552" s="23"/>
      <c r="AC1552" s="23"/>
      <c r="AD1552" s="23"/>
      <c r="AE1552" s="23"/>
      <c r="AF1552" s="23">
        <v>21</v>
      </c>
      <c r="AG1552" s="23">
        <v>7</v>
      </c>
      <c r="AH1552" s="23">
        <v>1</v>
      </c>
      <c r="AI1552" s="23"/>
      <c r="AJ1552" s="23"/>
      <c r="AK1552" s="23">
        <v>38</v>
      </c>
      <c r="AL1552" s="23"/>
      <c r="AM1552" s="23">
        <v>38</v>
      </c>
      <c r="AN1552" s="23"/>
      <c r="AO1552" s="23"/>
      <c r="AP1552" s="23">
        <v>29</v>
      </c>
      <c r="AQ1552" s="23">
        <v>76</v>
      </c>
      <c r="AR1552" s="23"/>
      <c r="AS1552" s="23"/>
      <c r="AT1552" s="23"/>
      <c r="AU1552" s="14" t="str">
        <f>HYPERLINK("http://www.openstreetmap.org/?mlat=36.9&amp;mlon=43.12&amp;zoom=12#map=12/36.9/43.12","Maplink1")</f>
        <v>Maplink1</v>
      </c>
      <c r="AV1552" s="14" t="str">
        <f>HYPERLINK("https://www.google.iq/maps/search/+36.9,43.12/@36.9,43.12,14z?hl=en","Maplink2")</f>
        <v>Maplink2</v>
      </c>
      <c r="AW1552" s="14" t="str">
        <f>HYPERLINK("http://www.bing.com/maps/?lvl=14&amp;sty=h&amp;cp=36.9~43.12&amp;sp=point.36.9_43.12_Zawita","Maplink3")</f>
        <v>Maplink3</v>
      </c>
    </row>
    <row r="1553" spans="1:49" ht="15" customHeight="1" x14ac:dyDescent="0.25">
      <c r="A1553" s="21">
        <v>8867</v>
      </c>
      <c r="B1553" s="22" t="s">
        <v>13</v>
      </c>
      <c r="C1553" s="22" t="s">
        <v>13</v>
      </c>
      <c r="D1553" s="22" t="s">
        <v>2981</v>
      </c>
      <c r="E1553" s="22" t="s">
        <v>2982</v>
      </c>
      <c r="F1553" s="22">
        <v>36.868679</v>
      </c>
      <c r="G1553" s="22">
        <v>42.961427</v>
      </c>
      <c r="H1553" s="21" t="s">
        <v>2819</v>
      </c>
      <c r="I1553" s="21" t="s">
        <v>2872</v>
      </c>
      <c r="J1553" s="21" t="s">
        <v>2983</v>
      </c>
      <c r="K1553" s="24">
        <v>358</v>
      </c>
      <c r="L1553" s="24">
        <v>2148</v>
      </c>
      <c r="M1553" s="23">
        <v>9</v>
      </c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>
        <v>347</v>
      </c>
      <c r="Z1553" s="23"/>
      <c r="AA1553" s="23">
        <v>2</v>
      </c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>
        <v>358</v>
      </c>
      <c r="AL1553" s="23"/>
      <c r="AM1553" s="23"/>
      <c r="AN1553" s="23"/>
      <c r="AO1553" s="23">
        <v>9</v>
      </c>
      <c r="AP1553" s="23">
        <v>250</v>
      </c>
      <c r="AQ1553" s="23">
        <v>99</v>
      </c>
      <c r="AR1553" s="23"/>
      <c r="AS1553" s="23"/>
      <c r="AT1553" s="23"/>
      <c r="AU1553" s="14" t="str">
        <f>HYPERLINK("http://www.openstreetmap.org/?mlat=36.8687&amp;mlon=42.9614&amp;zoom=12#map=12/36.8687/42.9614","Maplink1")</f>
        <v>Maplink1</v>
      </c>
      <c r="AV1553" s="14" t="str">
        <f>HYPERLINK("https://www.google.iq/maps/search/+36.8687,42.9614/@36.8687,42.9614,14z?hl=en","Maplink2")</f>
        <v>Maplink2</v>
      </c>
      <c r="AW1553" s="14" t="str">
        <f>HYPERLINK("http://www.bing.com/maps/?lvl=14&amp;sty=h&amp;cp=36.8687~42.9614&amp;sp=point.36.8687_42.9614_Zeri Land","Maplink3")</f>
        <v>Maplink3</v>
      </c>
    </row>
    <row r="1554" spans="1:49" ht="15" customHeight="1" x14ac:dyDescent="0.25">
      <c r="A1554" s="21">
        <v>24186</v>
      </c>
      <c r="B1554" s="22" t="s">
        <v>13</v>
      </c>
      <c r="C1554" s="22" t="s">
        <v>13</v>
      </c>
      <c r="D1554" s="22" t="s">
        <v>2984</v>
      </c>
      <c r="E1554" s="22" t="s">
        <v>2985</v>
      </c>
      <c r="F1554" s="22">
        <v>36.863678</v>
      </c>
      <c r="G1554" s="22">
        <v>42.967872999999997</v>
      </c>
      <c r="H1554" s="21" t="s">
        <v>2819</v>
      </c>
      <c r="I1554" s="21" t="s">
        <v>2872</v>
      </c>
      <c r="J1554" s="21" t="s">
        <v>2986</v>
      </c>
      <c r="K1554" s="24">
        <v>67</v>
      </c>
      <c r="L1554" s="24">
        <v>402</v>
      </c>
      <c r="M1554" s="23">
        <v>5</v>
      </c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62</v>
      </c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>
        <v>46</v>
      </c>
      <c r="AL1554" s="23"/>
      <c r="AM1554" s="23">
        <v>21</v>
      </c>
      <c r="AN1554" s="23"/>
      <c r="AO1554" s="23">
        <v>5</v>
      </c>
      <c r="AP1554" s="23">
        <v>19</v>
      </c>
      <c r="AQ1554" s="23">
        <v>43</v>
      </c>
      <c r="AR1554" s="23"/>
      <c r="AS1554" s="23"/>
      <c r="AT1554" s="23"/>
      <c r="AU1554" s="14" t="str">
        <f>HYPERLINK("http://www.openstreetmap.org/?mlat=36.8637&amp;mlon=42.9679&amp;zoom=12#map=12/36.8637/42.9679","Maplink1")</f>
        <v>Maplink1</v>
      </c>
      <c r="AV1554" s="14" t="str">
        <f>HYPERLINK("https://www.google.iq/maps/search/+36.8637,42.9679/@36.8637,42.9679,14z?hl=en","Maplink2")</f>
        <v>Maplink2</v>
      </c>
      <c r="AW1554" s="14" t="str">
        <f>HYPERLINK("http://www.bing.com/maps/?lvl=14&amp;sty=h&amp;cp=36.8637~42.9679&amp;sp=point.36.8637_42.9679_Zirka","Maplink3")</f>
        <v>Maplink3</v>
      </c>
    </row>
    <row r="1555" spans="1:49" ht="15" customHeight="1" x14ac:dyDescent="0.25">
      <c r="A1555" s="21">
        <v>24187</v>
      </c>
      <c r="B1555" s="22" t="s">
        <v>13</v>
      </c>
      <c r="C1555" s="22" t="s">
        <v>13</v>
      </c>
      <c r="D1555" s="22" t="s">
        <v>2987</v>
      </c>
      <c r="E1555" s="22" t="s">
        <v>2988</v>
      </c>
      <c r="F1555" s="22">
        <v>36.845044999999999</v>
      </c>
      <c r="G1555" s="22">
        <v>43.020060999999998</v>
      </c>
      <c r="H1555" s="21" t="s">
        <v>2819</v>
      </c>
      <c r="I1555" s="21" t="s">
        <v>2872</v>
      </c>
      <c r="J1555" s="21" t="s">
        <v>2989</v>
      </c>
      <c r="K1555" s="24">
        <v>69</v>
      </c>
      <c r="L1555" s="24">
        <v>414</v>
      </c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69</v>
      </c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>
        <v>69</v>
      </c>
      <c r="AL1555" s="23"/>
      <c r="AM1555" s="23"/>
      <c r="AN1555" s="23"/>
      <c r="AO1555" s="23"/>
      <c r="AP1555" s="23">
        <v>30</v>
      </c>
      <c r="AQ1555" s="23">
        <v>39</v>
      </c>
      <c r="AR1555" s="23"/>
      <c r="AS1555" s="23"/>
      <c r="AT1555" s="23"/>
      <c r="AU1555" s="14" t="str">
        <f>HYPERLINK("http://www.openstreetmap.org/?mlat=36.845&amp;mlon=43.0201&amp;zoom=12#map=12/36.845/43.0201","Maplink1")</f>
        <v>Maplink1</v>
      </c>
      <c r="AV1555" s="14" t="str">
        <f>HYPERLINK("https://www.google.iq/maps/search/+36.845,43.0201/@36.845,43.0201,14z?hl=en","Maplink2")</f>
        <v>Maplink2</v>
      </c>
      <c r="AW1555" s="14" t="str">
        <f>HYPERLINK("http://www.bing.com/maps/?lvl=14&amp;sty=h&amp;cp=36.845~43.0201&amp;sp=point.36.845_43.0201_Zozan","Maplink3")</f>
        <v>Maplink3</v>
      </c>
    </row>
    <row r="1556" spans="1:49" ht="15" customHeight="1" x14ac:dyDescent="0.25">
      <c r="A1556" s="21">
        <v>29503</v>
      </c>
      <c r="B1556" s="22" t="s">
        <v>13</v>
      </c>
      <c r="C1556" s="22" t="s">
        <v>2990</v>
      </c>
      <c r="D1556" s="22" t="s">
        <v>2991</v>
      </c>
      <c r="E1556" s="22" t="s">
        <v>2992</v>
      </c>
      <c r="F1556" s="22">
        <v>36.909802999999997</v>
      </c>
      <c r="G1556" s="22">
        <v>42.880740000000003</v>
      </c>
      <c r="H1556" s="21" t="s">
        <v>2819</v>
      </c>
      <c r="I1556" s="21" t="s">
        <v>2993</v>
      </c>
      <c r="J1556" s="21"/>
      <c r="K1556" s="24">
        <v>43</v>
      </c>
      <c r="L1556" s="24">
        <v>258</v>
      </c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43</v>
      </c>
      <c r="Z1556" s="23"/>
      <c r="AA1556" s="23"/>
      <c r="AB1556" s="23"/>
      <c r="AC1556" s="23"/>
      <c r="AD1556" s="23"/>
      <c r="AE1556" s="23"/>
      <c r="AF1556" s="23"/>
      <c r="AG1556" s="23"/>
      <c r="AH1556" s="23">
        <v>43</v>
      </c>
      <c r="AI1556" s="23"/>
      <c r="AJ1556" s="23"/>
      <c r="AK1556" s="23"/>
      <c r="AL1556" s="23"/>
      <c r="AM1556" s="23"/>
      <c r="AN1556" s="23"/>
      <c r="AO1556" s="23"/>
      <c r="AP1556" s="23">
        <v>17</v>
      </c>
      <c r="AQ1556" s="23">
        <v>26</v>
      </c>
      <c r="AR1556" s="23"/>
      <c r="AS1556" s="23"/>
      <c r="AT1556" s="23"/>
      <c r="AU1556" s="14" t="str">
        <f>HYPERLINK("http://www.openstreetmap.org/?mlat=36.9098&amp;mlon=42.8807&amp;zoom=12#map=12/36.9098/42.8807","Maplink1")</f>
        <v>Maplink1</v>
      </c>
      <c r="AV1556" s="14" t="str">
        <f>HYPERLINK("https://www.google.iq/maps/search/+36.9098,42.8807/@36.9098,42.8807,14z?hl=en","Maplink2")</f>
        <v>Maplink2</v>
      </c>
      <c r="AW1556" s="14" t="str">
        <f>HYPERLINK("http://www.bing.com/maps/?lvl=14&amp;sty=h&amp;cp=36.9098~42.8807&amp;sp=point.36.9098_42.8807","Maplink3")</f>
        <v>Maplink3</v>
      </c>
    </row>
    <row r="1557" spans="1:49" ht="15" customHeight="1" x14ac:dyDescent="0.25">
      <c r="A1557" s="21">
        <v>28474</v>
      </c>
      <c r="B1557" s="22" t="s">
        <v>13</v>
      </c>
      <c r="C1557" s="22" t="s">
        <v>2990</v>
      </c>
      <c r="D1557" s="22" t="s">
        <v>7315</v>
      </c>
      <c r="E1557" s="22" t="s">
        <v>8000</v>
      </c>
      <c r="F1557" s="22">
        <v>36.930194999999998</v>
      </c>
      <c r="G1557" s="22">
        <v>42.873632000000001</v>
      </c>
      <c r="H1557" s="21" t="s">
        <v>2819</v>
      </c>
      <c r="I1557" s="21" t="s">
        <v>2993</v>
      </c>
      <c r="J1557" s="21"/>
      <c r="K1557" s="24">
        <v>19</v>
      </c>
      <c r="L1557" s="24">
        <v>114</v>
      </c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19</v>
      </c>
      <c r="Z1557" s="23"/>
      <c r="AA1557" s="23"/>
      <c r="AB1557" s="23"/>
      <c r="AC1557" s="23"/>
      <c r="AD1557" s="23"/>
      <c r="AE1557" s="23"/>
      <c r="AF1557" s="23"/>
      <c r="AG1557" s="23"/>
      <c r="AH1557" s="23">
        <v>19</v>
      </c>
      <c r="AI1557" s="23"/>
      <c r="AJ1557" s="23"/>
      <c r="AK1557" s="23"/>
      <c r="AL1557" s="23"/>
      <c r="AM1557" s="23"/>
      <c r="AN1557" s="23"/>
      <c r="AO1557" s="23"/>
      <c r="AP1557" s="23">
        <v>2</v>
      </c>
      <c r="AQ1557" s="23">
        <v>17</v>
      </c>
      <c r="AR1557" s="23"/>
      <c r="AS1557" s="23"/>
      <c r="AT1557" s="23"/>
      <c r="AU1557" s="14" t="str">
        <f>HYPERLINK("http://www.openstreetmap.org/?mlat=36.9302&amp;mlon=42.8736&amp;zoom=12#map=12/36.9302/42.8736","Maplink1")</f>
        <v>Maplink1</v>
      </c>
      <c r="AV1557" s="14" t="str">
        <f>HYPERLINK("https://www.google.iq/maps/search/+36.9302,42.8736/@36.9302,42.8736,14z?hl=en","Maplink2")</f>
        <v>Maplink2</v>
      </c>
      <c r="AW1557" s="14" t="str">
        <f>HYPERLINK("http://www.bing.com/maps/?lvl=14&amp;sty=h&amp;cp=36.9302~42.8736&amp;sp=point.36.9302_42.8736_Al Angaa","Maplink3")</f>
        <v>Maplink3</v>
      </c>
    </row>
    <row r="1558" spans="1:49" ht="15" customHeight="1" x14ac:dyDescent="0.25">
      <c r="A1558" s="21">
        <v>24800</v>
      </c>
      <c r="B1558" s="22" t="s">
        <v>13</v>
      </c>
      <c r="C1558" s="22" t="s">
        <v>2990</v>
      </c>
      <c r="D1558" s="22" t="s">
        <v>2994</v>
      </c>
      <c r="E1558" s="22" t="s">
        <v>2995</v>
      </c>
      <c r="F1558" s="22">
        <v>36.854900000000001</v>
      </c>
      <c r="G1558" s="22">
        <v>42.895299999999999</v>
      </c>
      <c r="H1558" s="21" t="s">
        <v>2819</v>
      </c>
      <c r="I1558" s="21" t="s">
        <v>2993</v>
      </c>
      <c r="J1558" s="21"/>
      <c r="K1558" s="24">
        <v>1592</v>
      </c>
      <c r="L1558" s="24">
        <v>9552</v>
      </c>
      <c r="M1558" s="23">
        <v>2</v>
      </c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1583</v>
      </c>
      <c r="Z1558" s="23"/>
      <c r="AA1558" s="23">
        <v>7</v>
      </c>
      <c r="AB1558" s="23"/>
      <c r="AC1558" s="23"/>
      <c r="AD1558" s="23"/>
      <c r="AE1558" s="23"/>
      <c r="AF1558" s="23">
        <v>186</v>
      </c>
      <c r="AG1558" s="23"/>
      <c r="AH1558" s="23"/>
      <c r="AI1558" s="23"/>
      <c r="AJ1558" s="23"/>
      <c r="AK1558" s="23">
        <v>1406</v>
      </c>
      <c r="AL1558" s="23"/>
      <c r="AM1558" s="23"/>
      <c r="AN1558" s="23"/>
      <c r="AO1558" s="23">
        <v>2</v>
      </c>
      <c r="AP1558" s="23">
        <v>1211</v>
      </c>
      <c r="AQ1558" s="23">
        <v>379</v>
      </c>
      <c r="AR1558" s="23"/>
      <c r="AS1558" s="23"/>
      <c r="AT1558" s="23"/>
      <c r="AU1558" s="14" t="str">
        <f>HYPERLINK("http://www.openstreetmap.org/?mlat=36.8549&amp;mlon=42.8953&amp;zoom=12#map=12/36.8549/42.8953","Maplink1")</f>
        <v>Maplink1</v>
      </c>
      <c r="AV1558" s="14" t="str">
        <f>HYPERLINK("https://www.google.iq/maps/search/+36.8549,42.8953/@36.8549,42.8953,14z?hl=en","Maplink2")</f>
        <v>Maplink2</v>
      </c>
      <c r="AW1558" s="14" t="str">
        <f>HYPERLINK("http://www.bing.com/maps/?lvl=14&amp;sty=h&amp;cp=36.8549~42.8953&amp;sp=point.36.8549_42.8953_Avro City","Maplink3")</f>
        <v>Maplink3</v>
      </c>
    </row>
    <row r="1559" spans="1:49" ht="15" customHeight="1" x14ac:dyDescent="0.25">
      <c r="A1559" s="21">
        <v>24790</v>
      </c>
      <c r="B1559" s="22" t="s">
        <v>13</v>
      </c>
      <c r="C1559" s="22" t="s">
        <v>2990</v>
      </c>
      <c r="D1559" s="22" t="s">
        <v>8626</v>
      </c>
      <c r="E1559" s="22" t="s">
        <v>2999</v>
      </c>
      <c r="F1559" s="22">
        <v>37.0535</v>
      </c>
      <c r="G1559" s="22">
        <v>42.440899999999999</v>
      </c>
      <c r="H1559" s="21" t="s">
        <v>2819</v>
      </c>
      <c r="I1559" s="21" t="s">
        <v>2993</v>
      </c>
      <c r="J1559" s="21"/>
      <c r="K1559" s="24">
        <v>2058</v>
      </c>
      <c r="L1559" s="24">
        <v>12348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2058</v>
      </c>
      <c r="Z1559" s="23"/>
      <c r="AA1559" s="23"/>
      <c r="AB1559" s="23"/>
      <c r="AC1559" s="23"/>
      <c r="AD1559" s="23"/>
      <c r="AE1559" s="23">
        <v>2058</v>
      </c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>
        <v>2052</v>
      </c>
      <c r="AR1559" s="23"/>
      <c r="AS1559" s="23">
        <v>6</v>
      </c>
      <c r="AT1559" s="23"/>
      <c r="AU1559" s="14" t="str">
        <f>HYPERLINK("http://www.openstreetmap.org/?mlat=37.0535&amp;mlon=42.4409&amp;zoom=12#map=12/37.0535/42.4409","Maplink1")</f>
        <v>Maplink1</v>
      </c>
      <c r="AV1559" s="14" t="str">
        <f>HYPERLINK("https://www.google.iq/maps/search/+37.0535,42.4409/@37.0535,42.4409,14z?hl=en","Maplink2")</f>
        <v>Maplink2</v>
      </c>
      <c r="AW1559" s="14" t="str">
        <f>HYPERLINK("http://www.bing.com/maps/?lvl=14&amp;sty=h&amp;cp=37.0535~42.4409&amp;sp=point.37.0535_42.4409_Bajit Kandala Camp","Maplink3")</f>
        <v>Maplink3</v>
      </c>
    </row>
    <row r="1560" spans="1:49" ht="15" customHeight="1" x14ac:dyDescent="0.25">
      <c r="A1560" s="21">
        <v>8044</v>
      </c>
      <c r="B1560" s="22" t="s">
        <v>13</v>
      </c>
      <c r="C1560" s="22" t="s">
        <v>2990</v>
      </c>
      <c r="D1560" s="22" t="s">
        <v>2996</v>
      </c>
      <c r="E1560" s="22" t="s">
        <v>2997</v>
      </c>
      <c r="F1560" s="22">
        <v>37.048292000000004</v>
      </c>
      <c r="G1560" s="22">
        <v>42.450941999999998</v>
      </c>
      <c r="H1560" s="21" t="s">
        <v>2819</v>
      </c>
      <c r="I1560" s="21" t="s">
        <v>2993</v>
      </c>
      <c r="J1560" s="21" t="s">
        <v>2998</v>
      </c>
      <c r="K1560" s="24">
        <v>236</v>
      </c>
      <c r="L1560" s="24">
        <v>1416</v>
      </c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236</v>
      </c>
      <c r="Z1560" s="23"/>
      <c r="AA1560" s="23"/>
      <c r="AB1560" s="23"/>
      <c r="AC1560" s="23"/>
      <c r="AD1560" s="23"/>
      <c r="AE1560" s="23"/>
      <c r="AF1560" s="23">
        <v>152</v>
      </c>
      <c r="AG1560" s="23"/>
      <c r="AH1560" s="23">
        <v>44</v>
      </c>
      <c r="AI1560" s="23"/>
      <c r="AJ1560" s="23"/>
      <c r="AK1560" s="23">
        <v>27</v>
      </c>
      <c r="AL1560" s="23"/>
      <c r="AM1560" s="23">
        <v>13</v>
      </c>
      <c r="AN1560" s="23"/>
      <c r="AO1560" s="23"/>
      <c r="AP1560" s="23"/>
      <c r="AQ1560" s="23">
        <v>236</v>
      </c>
      <c r="AR1560" s="23"/>
      <c r="AS1560" s="23"/>
      <c r="AT1560" s="23"/>
      <c r="AU1560" s="14" t="str">
        <f>HYPERLINK("http://www.openstreetmap.org/?mlat=37.0483&amp;mlon=42.4509&amp;zoom=12#map=12/37.0483/42.4509","Maplink1")</f>
        <v>Maplink1</v>
      </c>
      <c r="AV1560" s="14" t="str">
        <f>HYPERLINK("https://www.google.iq/maps/search/+37.0483,42.4509/@37.0483,42.4509,14z?hl=en","Maplink2")</f>
        <v>Maplink2</v>
      </c>
      <c r="AW1560" s="14" t="str">
        <f>HYPERLINK("http://www.bing.com/maps/?lvl=14&amp;sty=h&amp;cp=37.0483~42.4509&amp;sp=point.37.0483_42.4509_Bajit Kandal Village","Maplink3")</f>
        <v>Maplink3</v>
      </c>
    </row>
    <row r="1561" spans="1:49" ht="15" customHeight="1" x14ac:dyDescent="0.25">
      <c r="A1561" s="21">
        <v>8019</v>
      </c>
      <c r="B1561" s="22" t="s">
        <v>13</v>
      </c>
      <c r="C1561" s="22" t="s">
        <v>2990</v>
      </c>
      <c r="D1561" s="22" t="s">
        <v>3000</v>
      </c>
      <c r="E1561" s="22" t="s">
        <v>3001</v>
      </c>
      <c r="F1561" s="22">
        <v>36.799999999999997</v>
      </c>
      <c r="G1561" s="22">
        <v>42.85</v>
      </c>
      <c r="H1561" s="21" t="s">
        <v>2819</v>
      </c>
      <c r="I1561" s="21" t="s">
        <v>2993</v>
      </c>
      <c r="J1561" s="21" t="s">
        <v>3002</v>
      </c>
      <c r="K1561" s="24">
        <v>79</v>
      </c>
      <c r="L1561" s="24">
        <v>474</v>
      </c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79</v>
      </c>
      <c r="Z1561" s="23"/>
      <c r="AA1561" s="23"/>
      <c r="AB1561" s="23"/>
      <c r="AC1561" s="23"/>
      <c r="AD1561" s="23"/>
      <c r="AE1561" s="23"/>
      <c r="AF1561" s="23">
        <v>7</v>
      </c>
      <c r="AG1561" s="23"/>
      <c r="AH1561" s="23">
        <v>20</v>
      </c>
      <c r="AI1561" s="23"/>
      <c r="AJ1561" s="23">
        <v>2</v>
      </c>
      <c r="AK1561" s="23">
        <v>31</v>
      </c>
      <c r="AL1561" s="23"/>
      <c r="AM1561" s="23">
        <v>19</v>
      </c>
      <c r="AN1561" s="23"/>
      <c r="AO1561" s="23"/>
      <c r="AP1561" s="23"/>
      <c r="AQ1561" s="23">
        <v>79</v>
      </c>
      <c r="AR1561" s="23"/>
      <c r="AS1561" s="23"/>
      <c r="AT1561" s="23"/>
      <c r="AU1561" s="14" t="str">
        <f>HYPERLINK("http://www.openstreetmap.org/?mlat=36.8&amp;mlon=42.85&amp;zoom=12#map=12/36.8/42.85","Maplink1")</f>
        <v>Maplink1</v>
      </c>
      <c r="AV1561" s="14" t="str">
        <f>HYPERLINK("https://www.google.iq/maps/search/+36.8,42.85/@36.8,42.85,14z?hl=en","Maplink2")</f>
        <v>Maplink2</v>
      </c>
      <c r="AW1561" s="14" t="str">
        <f>HYPERLINK("http://www.bing.com/maps/?lvl=14&amp;sty=h&amp;cp=36.8~42.85&amp;sp=point.36.8_42.85_Bakhitme","Maplink3")</f>
        <v>Maplink3</v>
      </c>
    </row>
    <row r="1562" spans="1:49" ht="15" customHeight="1" x14ac:dyDescent="0.25">
      <c r="A1562" s="21">
        <v>25993</v>
      </c>
      <c r="B1562" s="22" t="s">
        <v>13</v>
      </c>
      <c r="C1562" s="22" t="s">
        <v>2990</v>
      </c>
      <c r="D1562" s="22" t="s">
        <v>8627</v>
      </c>
      <c r="E1562" s="22" t="s">
        <v>3003</v>
      </c>
      <c r="F1562" s="22">
        <v>36.956119000000001</v>
      </c>
      <c r="G1562" s="22">
        <v>42.723373000000002</v>
      </c>
      <c r="H1562" s="21" t="s">
        <v>2819</v>
      </c>
      <c r="I1562" s="21" t="s">
        <v>2993</v>
      </c>
      <c r="J1562" s="21"/>
      <c r="K1562" s="24">
        <v>412</v>
      </c>
      <c r="L1562" s="24">
        <v>2472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412</v>
      </c>
      <c r="Z1562" s="23"/>
      <c r="AA1562" s="23"/>
      <c r="AB1562" s="23"/>
      <c r="AC1562" s="23"/>
      <c r="AD1562" s="23"/>
      <c r="AE1562" s="23"/>
      <c r="AF1562" s="23">
        <v>226</v>
      </c>
      <c r="AG1562" s="23"/>
      <c r="AH1562" s="23"/>
      <c r="AI1562" s="23"/>
      <c r="AJ1562" s="23"/>
      <c r="AK1562" s="23">
        <v>73</v>
      </c>
      <c r="AL1562" s="23"/>
      <c r="AM1562" s="23">
        <v>113</v>
      </c>
      <c r="AN1562" s="23"/>
      <c r="AO1562" s="23"/>
      <c r="AP1562" s="23"/>
      <c r="AQ1562" s="23">
        <v>412</v>
      </c>
      <c r="AR1562" s="23"/>
      <c r="AS1562" s="23"/>
      <c r="AT1562" s="23"/>
      <c r="AU1562" s="14" t="str">
        <f>HYPERLINK("http://www.openstreetmap.org/?mlat=36.9561&amp;mlon=42.7234&amp;zoom=12#map=12/36.9561/42.7234","Maplink1")</f>
        <v>Maplink1</v>
      </c>
      <c r="AV1562" s="14" t="str">
        <f>HYPERLINK("https://www.google.iq/maps/search/+36.9561,42.7234/@36.9561,42.7234,14z?hl=en","Maplink2")</f>
        <v>Maplink2</v>
      </c>
      <c r="AW1562" s="14" t="str">
        <f>HYPERLINK("http://www.bing.com/maps/?lvl=14&amp;sty=h&amp;cp=36.9561~42.7234&amp;sp=point.36.9561_42.7234_Basteki","Maplink3")</f>
        <v>Maplink3</v>
      </c>
    </row>
    <row r="1563" spans="1:49" ht="15" customHeight="1" x14ac:dyDescent="0.25">
      <c r="A1563" s="21">
        <v>8196</v>
      </c>
      <c r="B1563" s="22" t="s">
        <v>13</v>
      </c>
      <c r="C1563" s="22" t="s">
        <v>2990</v>
      </c>
      <c r="D1563" s="22" t="s">
        <v>3004</v>
      </c>
      <c r="E1563" s="22" t="s">
        <v>3005</v>
      </c>
      <c r="F1563" s="22">
        <v>36.96</v>
      </c>
      <c r="G1563" s="22">
        <v>42.68</v>
      </c>
      <c r="H1563" s="21" t="s">
        <v>2819</v>
      </c>
      <c r="I1563" s="21" t="s">
        <v>2993</v>
      </c>
      <c r="J1563" s="21" t="s">
        <v>3006</v>
      </c>
      <c r="K1563" s="24">
        <v>236</v>
      </c>
      <c r="L1563" s="24">
        <v>1416</v>
      </c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236</v>
      </c>
      <c r="Z1563" s="23"/>
      <c r="AA1563" s="23"/>
      <c r="AB1563" s="23"/>
      <c r="AC1563" s="23"/>
      <c r="AD1563" s="23"/>
      <c r="AE1563" s="23"/>
      <c r="AF1563" s="23">
        <v>120</v>
      </c>
      <c r="AG1563" s="23"/>
      <c r="AH1563" s="23">
        <v>4</v>
      </c>
      <c r="AI1563" s="23"/>
      <c r="AJ1563" s="23"/>
      <c r="AK1563" s="23">
        <v>21</v>
      </c>
      <c r="AL1563" s="23"/>
      <c r="AM1563" s="23">
        <v>91</v>
      </c>
      <c r="AN1563" s="23"/>
      <c r="AO1563" s="23"/>
      <c r="AP1563" s="23">
        <v>43</v>
      </c>
      <c r="AQ1563" s="23">
        <v>188</v>
      </c>
      <c r="AR1563" s="23"/>
      <c r="AS1563" s="23">
        <v>5</v>
      </c>
      <c r="AT1563" s="23"/>
      <c r="AU1563" s="14" t="str">
        <f>HYPERLINK("http://www.openstreetmap.org/?mlat=36.96&amp;mlon=42.68&amp;zoom=12#map=12/36.96/42.68","Maplink1")</f>
        <v>Maplink1</v>
      </c>
      <c r="AV1563" s="14" t="str">
        <f>HYPERLINK("https://www.google.iq/maps/search/+36.96,42.68/@36.96,42.68,14z?hl=en","Maplink2")</f>
        <v>Maplink2</v>
      </c>
      <c r="AW1563" s="14" t="str">
        <f>HYPERLINK("http://www.bing.com/maps/?lvl=14&amp;sty=h&amp;cp=36.96~42.68&amp;sp=point.36.96_42.68_Batel","Maplink3")</f>
        <v>Maplink3</v>
      </c>
    </row>
    <row r="1564" spans="1:49" ht="15" customHeight="1" x14ac:dyDescent="0.25">
      <c r="A1564" s="21">
        <v>8018</v>
      </c>
      <c r="B1564" s="22" t="s">
        <v>13</v>
      </c>
      <c r="C1564" s="22" t="s">
        <v>2990</v>
      </c>
      <c r="D1564" s="22" t="s">
        <v>3007</v>
      </c>
      <c r="E1564" s="22" t="s">
        <v>3008</v>
      </c>
      <c r="F1564" s="22">
        <v>36.82</v>
      </c>
      <c r="G1564" s="22">
        <v>42.88</v>
      </c>
      <c r="H1564" s="21" t="s">
        <v>2819</v>
      </c>
      <c r="I1564" s="21" t="s">
        <v>2993</v>
      </c>
      <c r="J1564" s="21" t="s">
        <v>3009</v>
      </c>
      <c r="K1564" s="24">
        <v>60</v>
      </c>
      <c r="L1564" s="24">
        <v>360</v>
      </c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60</v>
      </c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>
        <v>60</v>
      </c>
      <c r="AN1564" s="23"/>
      <c r="AO1564" s="23"/>
      <c r="AP1564" s="23"/>
      <c r="AQ1564" s="23">
        <v>60</v>
      </c>
      <c r="AR1564" s="23"/>
      <c r="AS1564" s="23"/>
      <c r="AT1564" s="23"/>
      <c r="AU1564" s="14" t="str">
        <f>HYPERLINK("http://www.openstreetmap.org/?mlat=36.82&amp;mlon=42.88&amp;zoom=12#map=12/36.82/42.88","Maplink1")</f>
        <v>Maplink1</v>
      </c>
      <c r="AV1564" s="14" t="str">
        <f>HYPERLINK("https://www.google.iq/maps/search/+36.82,42.88/@36.82,42.88,14z?hl=en","Maplink2")</f>
        <v>Maplink2</v>
      </c>
      <c r="AW1564" s="14" t="str">
        <f>HYPERLINK("http://www.bing.com/maps/?lvl=14&amp;sty=h&amp;cp=36.82~42.88&amp;sp=point.36.82_42.88_Bazalan","Maplink3")</f>
        <v>Maplink3</v>
      </c>
    </row>
    <row r="1565" spans="1:49" ht="15" customHeight="1" x14ac:dyDescent="0.25">
      <c r="A1565" s="21">
        <v>25777</v>
      </c>
      <c r="B1565" s="22" t="s">
        <v>13</v>
      </c>
      <c r="C1565" s="22" t="s">
        <v>2990</v>
      </c>
      <c r="D1565" s="22" t="s">
        <v>8628</v>
      </c>
      <c r="E1565" s="22" t="s">
        <v>3041</v>
      </c>
      <c r="F1565" s="22">
        <v>36.841273999999999</v>
      </c>
      <c r="G1565" s="22">
        <v>42.901184000000001</v>
      </c>
      <c r="H1565" s="21" t="s">
        <v>2819</v>
      </c>
      <c r="I1565" s="21" t="s">
        <v>2993</v>
      </c>
      <c r="J1565" s="21"/>
      <c r="K1565" s="24">
        <v>68</v>
      </c>
      <c r="L1565" s="24">
        <v>408</v>
      </c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68</v>
      </c>
      <c r="Z1565" s="23"/>
      <c r="AA1565" s="23"/>
      <c r="AB1565" s="23"/>
      <c r="AC1565" s="23"/>
      <c r="AD1565" s="23"/>
      <c r="AE1565" s="23"/>
      <c r="AF1565" s="23">
        <v>8</v>
      </c>
      <c r="AG1565" s="23"/>
      <c r="AH1565" s="23"/>
      <c r="AI1565" s="23"/>
      <c r="AJ1565" s="23"/>
      <c r="AK1565" s="23">
        <v>43</v>
      </c>
      <c r="AL1565" s="23"/>
      <c r="AM1565" s="23">
        <v>17</v>
      </c>
      <c r="AN1565" s="23"/>
      <c r="AO1565" s="23"/>
      <c r="AP1565" s="23">
        <v>12</v>
      </c>
      <c r="AQ1565" s="23">
        <v>56</v>
      </c>
      <c r="AR1565" s="23"/>
      <c r="AS1565" s="23"/>
      <c r="AT1565" s="23"/>
      <c r="AU1565" s="14" t="str">
        <f>HYPERLINK("http://www.openstreetmap.org/?mlat=36.8413&amp;mlon=42.9012&amp;zoom=12#map=12/36.8413/42.9012","Maplink1")</f>
        <v>Maplink1</v>
      </c>
      <c r="AV1565" s="14" t="str">
        <f>HYPERLINK("https://www.google.iq/maps/search/+36.8413,42.9012/@36.8413,42.9012,14z?hl=en","Maplink2")</f>
        <v>Maplink2</v>
      </c>
      <c r="AW1565" s="14" t="str">
        <f>HYPERLINK("http://www.bing.com/maps/?lvl=14&amp;sty=h&amp;cp=36.8413~42.9012&amp;sp=point.36.8413_42.9012_Markaz Sumel-Dolib","Maplink3")</f>
        <v>Maplink3</v>
      </c>
    </row>
    <row r="1566" spans="1:49" ht="15" customHeight="1" x14ac:dyDescent="0.25">
      <c r="A1566" s="21">
        <v>26123</v>
      </c>
      <c r="B1566" s="22" t="s">
        <v>13</v>
      </c>
      <c r="C1566" s="22" t="s">
        <v>2990</v>
      </c>
      <c r="D1566" s="22" t="s">
        <v>7463</v>
      </c>
      <c r="E1566" s="22" t="s">
        <v>3010</v>
      </c>
      <c r="F1566" s="22">
        <v>36.789000000000001</v>
      </c>
      <c r="G1566" s="22">
        <v>42.900700000000001</v>
      </c>
      <c r="H1566" s="21" t="s">
        <v>2819</v>
      </c>
      <c r="I1566" s="21" t="s">
        <v>2993</v>
      </c>
      <c r="J1566" s="21"/>
      <c r="K1566" s="24">
        <v>451</v>
      </c>
      <c r="L1566" s="24">
        <v>2706</v>
      </c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451</v>
      </c>
      <c r="Z1566" s="23"/>
      <c r="AA1566" s="23"/>
      <c r="AB1566" s="23"/>
      <c r="AC1566" s="23"/>
      <c r="AD1566" s="23"/>
      <c r="AE1566" s="23"/>
      <c r="AF1566" s="23">
        <v>58</v>
      </c>
      <c r="AG1566" s="23"/>
      <c r="AH1566" s="23"/>
      <c r="AI1566" s="23"/>
      <c r="AJ1566" s="23"/>
      <c r="AK1566" s="23">
        <v>373</v>
      </c>
      <c r="AL1566" s="23"/>
      <c r="AM1566" s="23">
        <v>20</v>
      </c>
      <c r="AN1566" s="23"/>
      <c r="AO1566" s="23"/>
      <c r="AP1566" s="23">
        <v>381</v>
      </c>
      <c r="AQ1566" s="23">
        <v>70</v>
      </c>
      <c r="AR1566" s="23"/>
      <c r="AS1566" s="23"/>
      <c r="AT1566" s="23"/>
      <c r="AU1566" s="14" t="str">
        <f>HYPERLINK("http://www.openstreetmap.org/?mlat=36.789&amp;mlon=42.9007&amp;zoom=12#map=12/36.789/42.9007","Maplink1")</f>
        <v>Maplink1</v>
      </c>
      <c r="AV1566" s="14" t="str">
        <f>HYPERLINK("https://www.google.iq/maps/search/+36.789,42.9007/@36.789,42.9007,14z?hl=en","Maplink2")</f>
        <v>Maplink2</v>
      </c>
      <c r="AW1566" s="14" t="str">
        <f>HYPERLINK("http://www.bing.com/maps/?lvl=14&amp;sty=h&amp;cp=36.789~42.9007&amp;sp=point.36.789_42.9007_Domiz - Halat","Maplink3")</f>
        <v>Maplink3</v>
      </c>
    </row>
    <row r="1567" spans="1:49" ht="15" customHeight="1" x14ac:dyDescent="0.25">
      <c r="A1567" s="21">
        <v>26122</v>
      </c>
      <c r="B1567" s="22" t="s">
        <v>13</v>
      </c>
      <c r="C1567" s="22" t="s">
        <v>2990</v>
      </c>
      <c r="D1567" s="22" t="s">
        <v>8629</v>
      </c>
      <c r="E1567" s="22" t="s">
        <v>3011</v>
      </c>
      <c r="F1567" s="22">
        <v>36.787999999999997</v>
      </c>
      <c r="G1567" s="22">
        <v>42.900500000000001</v>
      </c>
      <c r="H1567" s="21" t="s">
        <v>2819</v>
      </c>
      <c r="I1567" s="21" t="s">
        <v>2993</v>
      </c>
      <c r="J1567" s="21"/>
      <c r="K1567" s="24">
        <v>223</v>
      </c>
      <c r="L1567" s="24">
        <v>1338</v>
      </c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223</v>
      </c>
      <c r="Z1567" s="23"/>
      <c r="AA1567" s="23"/>
      <c r="AB1567" s="23"/>
      <c r="AC1567" s="23"/>
      <c r="AD1567" s="23"/>
      <c r="AE1567" s="23"/>
      <c r="AF1567" s="23">
        <v>20</v>
      </c>
      <c r="AG1567" s="23"/>
      <c r="AH1567" s="23"/>
      <c r="AI1567" s="23"/>
      <c r="AJ1567" s="23"/>
      <c r="AK1567" s="23">
        <v>194</v>
      </c>
      <c r="AL1567" s="23"/>
      <c r="AM1567" s="23">
        <v>9</v>
      </c>
      <c r="AN1567" s="23"/>
      <c r="AO1567" s="23"/>
      <c r="AP1567" s="23">
        <v>214</v>
      </c>
      <c r="AQ1567" s="23">
        <v>9</v>
      </c>
      <c r="AR1567" s="23"/>
      <c r="AS1567" s="23"/>
      <c r="AT1567" s="23"/>
      <c r="AU1567" s="14" t="str">
        <f>HYPERLINK("http://www.openstreetmap.org/?mlat=36.788&amp;mlon=42.9005&amp;zoom=12#map=12/36.788/42.9005","Maplink1")</f>
        <v>Maplink1</v>
      </c>
      <c r="AV1567" s="14" t="str">
        <f>HYPERLINK("https://www.google.iq/maps/search/+36.788,42.9005/@36.788,42.9005,14z?hl=en","Maplink2")</f>
        <v>Maplink2</v>
      </c>
      <c r="AW1567" s="14" t="str">
        <f>HYPERLINK("http://www.bing.com/maps/?lvl=14&amp;sty=h&amp;cp=36.788~42.9005&amp;sp=point.36.788_42.9005_Domiz - Roz","Maplink3")</f>
        <v>Maplink3</v>
      </c>
    </row>
    <row r="1568" spans="1:49" ht="15" customHeight="1" x14ac:dyDescent="0.25">
      <c r="A1568" s="21">
        <v>8239</v>
      </c>
      <c r="B1568" s="22" t="s">
        <v>13</v>
      </c>
      <c r="C1568" s="22" t="s">
        <v>2990</v>
      </c>
      <c r="D1568" s="22" t="s">
        <v>3012</v>
      </c>
      <c r="E1568" s="22" t="s">
        <v>3013</v>
      </c>
      <c r="F1568" s="22">
        <v>36.751899999999999</v>
      </c>
      <c r="G1568" s="22">
        <v>42.928699999999999</v>
      </c>
      <c r="H1568" s="21" t="s">
        <v>2819</v>
      </c>
      <c r="I1568" s="21" t="s">
        <v>2993</v>
      </c>
      <c r="J1568" s="21" t="s">
        <v>3014</v>
      </c>
      <c r="K1568" s="24">
        <v>375</v>
      </c>
      <c r="L1568" s="24">
        <v>2250</v>
      </c>
      <c r="M1568" s="23">
        <v>12</v>
      </c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363</v>
      </c>
      <c r="Z1568" s="23"/>
      <c r="AA1568" s="23"/>
      <c r="AB1568" s="23"/>
      <c r="AC1568" s="23"/>
      <c r="AD1568" s="23"/>
      <c r="AE1568" s="23"/>
      <c r="AF1568" s="23">
        <v>54</v>
      </c>
      <c r="AG1568" s="23"/>
      <c r="AH1568" s="23"/>
      <c r="AI1568" s="23"/>
      <c r="AJ1568" s="23"/>
      <c r="AK1568" s="23">
        <v>291</v>
      </c>
      <c r="AL1568" s="23"/>
      <c r="AM1568" s="23">
        <v>30</v>
      </c>
      <c r="AN1568" s="23"/>
      <c r="AO1568" s="23">
        <v>12</v>
      </c>
      <c r="AP1568" s="23">
        <v>180</v>
      </c>
      <c r="AQ1568" s="23">
        <v>183</v>
      </c>
      <c r="AR1568" s="23"/>
      <c r="AS1568" s="23"/>
      <c r="AT1568" s="23"/>
      <c r="AU1568" s="14" t="str">
        <f>HYPERLINK("http://www.openstreetmap.org/?mlat=36.7519&amp;mlon=42.9287&amp;zoom=12#map=12/36.7519/42.9287","Maplink1")</f>
        <v>Maplink1</v>
      </c>
      <c r="AV1568" s="14" t="str">
        <f>HYPERLINK("https://www.google.iq/maps/search/+36.7519,42.9287/@36.7519,42.9287,14z?hl=en","Maplink2")</f>
        <v>Maplink2</v>
      </c>
      <c r="AW1568" s="14" t="str">
        <f>HYPERLINK("http://www.bing.com/maps/?lvl=14&amp;sty=h&amp;cp=36.7519~42.9287&amp;sp=point.36.7519_42.9287_Fayda","Maplink3")</f>
        <v>Maplink3</v>
      </c>
    </row>
    <row r="1569" spans="1:49" ht="15" customHeight="1" x14ac:dyDescent="0.25">
      <c r="A1569" s="21">
        <v>8246</v>
      </c>
      <c r="B1569" s="22" t="s">
        <v>13</v>
      </c>
      <c r="C1569" s="22" t="s">
        <v>2990</v>
      </c>
      <c r="D1569" s="22" t="s">
        <v>3017</v>
      </c>
      <c r="E1569" s="22" t="s">
        <v>3018</v>
      </c>
      <c r="F1569" s="22">
        <v>36.993206999999998</v>
      </c>
      <c r="G1569" s="22">
        <v>42.599805000000003</v>
      </c>
      <c r="H1569" s="21" t="s">
        <v>2819</v>
      </c>
      <c r="I1569" s="21" t="s">
        <v>2993</v>
      </c>
      <c r="J1569" s="21" t="s">
        <v>3019</v>
      </c>
      <c r="K1569" s="24">
        <v>167</v>
      </c>
      <c r="L1569" s="24">
        <v>1002</v>
      </c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167</v>
      </c>
      <c r="Z1569" s="23"/>
      <c r="AA1569" s="23"/>
      <c r="AB1569" s="23"/>
      <c r="AC1569" s="23"/>
      <c r="AD1569" s="23"/>
      <c r="AE1569" s="23"/>
      <c r="AF1569" s="23">
        <v>63</v>
      </c>
      <c r="AG1569" s="23"/>
      <c r="AH1569" s="23"/>
      <c r="AI1569" s="23"/>
      <c r="AJ1569" s="23"/>
      <c r="AK1569" s="23">
        <v>26</v>
      </c>
      <c r="AL1569" s="23"/>
      <c r="AM1569" s="23">
        <v>78</v>
      </c>
      <c r="AN1569" s="23"/>
      <c r="AO1569" s="23"/>
      <c r="AP1569" s="23">
        <v>29</v>
      </c>
      <c r="AQ1569" s="23">
        <v>138</v>
      </c>
      <c r="AR1569" s="23"/>
      <c r="AS1569" s="23"/>
      <c r="AT1569" s="23"/>
      <c r="AU1569" s="14" t="str">
        <f>HYPERLINK("http://www.openstreetmap.org/?mlat=36.9932&amp;mlon=42.5998&amp;zoom=12#map=12/36.9932/42.5998","Maplink1")</f>
        <v>Maplink1</v>
      </c>
      <c r="AV1569" s="14" t="str">
        <f>HYPERLINK("https://www.google.iq/maps/search/+36.9932,42.5998/@36.9932,42.5998,14z?hl=en","Maplink2")</f>
        <v>Maplink2</v>
      </c>
      <c r="AW1569" s="14" t="str">
        <f>HYPERLINK("http://www.bing.com/maps/?lvl=14&amp;sty=h&amp;cp=36.9932~42.5998&amp;sp=point.36.9932_42.5998_Girsheen","Maplink3")</f>
        <v>Maplink3</v>
      </c>
    </row>
    <row r="1570" spans="1:49" ht="15" customHeight="1" x14ac:dyDescent="0.25">
      <c r="A1570" s="21">
        <v>27126</v>
      </c>
      <c r="B1570" s="22" t="s">
        <v>13</v>
      </c>
      <c r="C1570" s="22" t="s">
        <v>2990</v>
      </c>
      <c r="D1570" s="22" t="s">
        <v>3020</v>
      </c>
      <c r="E1570" s="22" t="s">
        <v>3021</v>
      </c>
      <c r="F1570" s="22">
        <v>36.777839999999998</v>
      </c>
      <c r="G1570" s="22">
        <v>42.78698</v>
      </c>
      <c r="H1570" s="21" t="s">
        <v>2819</v>
      </c>
      <c r="I1570" s="21" t="s">
        <v>2993</v>
      </c>
      <c r="J1570" s="21"/>
      <c r="K1570" s="24">
        <v>277</v>
      </c>
      <c r="L1570" s="24">
        <v>1662</v>
      </c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277</v>
      </c>
      <c r="Z1570" s="23"/>
      <c r="AA1570" s="23"/>
      <c r="AB1570" s="23"/>
      <c r="AC1570" s="23"/>
      <c r="AD1570" s="23"/>
      <c r="AE1570" s="23"/>
      <c r="AF1570" s="23">
        <v>105</v>
      </c>
      <c r="AG1570" s="23"/>
      <c r="AH1570" s="23"/>
      <c r="AI1570" s="23"/>
      <c r="AJ1570" s="23"/>
      <c r="AK1570" s="23">
        <v>67</v>
      </c>
      <c r="AL1570" s="23"/>
      <c r="AM1570" s="23">
        <v>105</v>
      </c>
      <c r="AN1570" s="23"/>
      <c r="AO1570" s="23"/>
      <c r="AP1570" s="23"/>
      <c r="AQ1570" s="23">
        <v>277</v>
      </c>
      <c r="AR1570" s="23"/>
      <c r="AS1570" s="23"/>
      <c r="AT1570" s="23"/>
      <c r="AU1570" s="14" t="str">
        <f>HYPERLINK("http://www.openstreetmap.org/?mlat=36.7778&amp;mlon=42.787&amp;zoom=12#map=12/36.7778/42.787","Maplink1")</f>
        <v>Maplink1</v>
      </c>
      <c r="AV1570" s="14" t="str">
        <f>HYPERLINK("https://www.google.iq/maps/search/+36.7778,42.787/@36.7778,42.787,14z?hl=en","Maplink2")</f>
        <v>Maplink2</v>
      </c>
      <c r="AW1570" s="14" t="str">
        <f>HYPERLINK("http://www.bing.com/maps/?lvl=14&amp;sty=h&amp;cp=36.7778~42.787&amp;sp=point.36.7778_42.787_Haweri","Maplink3")</f>
        <v>Maplink3</v>
      </c>
    </row>
    <row r="1571" spans="1:49" ht="15" customHeight="1" x14ac:dyDescent="0.25">
      <c r="A1571" s="21">
        <v>25778</v>
      </c>
      <c r="B1571" s="22" t="s">
        <v>13</v>
      </c>
      <c r="C1571" s="22" t="s">
        <v>2990</v>
      </c>
      <c r="D1571" s="22" t="s">
        <v>8630</v>
      </c>
      <c r="E1571" s="22" t="s">
        <v>8214</v>
      </c>
      <c r="F1571" s="22">
        <v>36.867297000000001</v>
      </c>
      <c r="G1571" s="22">
        <v>42.888576</v>
      </c>
      <c r="H1571" s="21" t="s">
        <v>2819</v>
      </c>
      <c r="I1571" s="21" t="s">
        <v>2993</v>
      </c>
      <c r="J1571" s="21"/>
      <c r="K1571" s="24">
        <v>18</v>
      </c>
      <c r="L1571" s="24">
        <v>108</v>
      </c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18</v>
      </c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>
        <v>18</v>
      </c>
      <c r="AL1571" s="23"/>
      <c r="AM1571" s="23"/>
      <c r="AN1571" s="23"/>
      <c r="AO1571" s="23"/>
      <c r="AP1571" s="23">
        <v>4</v>
      </c>
      <c r="AQ1571" s="23">
        <v>14</v>
      </c>
      <c r="AR1571" s="23"/>
      <c r="AS1571" s="23"/>
      <c r="AT1571" s="23"/>
      <c r="AU1571" s="14" t="str">
        <f>HYPERLINK("http://www.openstreetmap.org/?mlat=36.8673&amp;mlon=42.8886&amp;zoom=12#map=12/36.8673/42.8886","Maplink1")</f>
        <v>Maplink1</v>
      </c>
      <c r="AV1571" s="14" t="str">
        <f>HYPERLINK("https://www.google.iq/maps/search/+36.8673,42.8886/@36.8673,42.8886,14z?hl=en","Maplink2")</f>
        <v>Maplink2</v>
      </c>
      <c r="AW1571" s="14" t="str">
        <f>HYPERLINK("http://www.bing.com/maps/?lvl=14&amp;sty=h&amp;cp=36.8673~42.8886&amp;sp=point.36.8673_42.8886_Markaz Sumel-Hawshke","Maplink3")</f>
        <v>Maplink3</v>
      </c>
    </row>
    <row r="1572" spans="1:49" ht="15" customHeight="1" x14ac:dyDescent="0.25">
      <c r="A1572" s="21">
        <v>8015</v>
      </c>
      <c r="B1572" s="22" t="s">
        <v>13</v>
      </c>
      <c r="C1572" s="22" t="s">
        <v>2990</v>
      </c>
      <c r="D1572" s="22" t="s">
        <v>3022</v>
      </c>
      <c r="E1572" s="22" t="s">
        <v>3023</v>
      </c>
      <c r="F1572" s="22">
        <v>36.77843</v>
      </c>
      <c r="G1572" s="22">
        <v>42.785490000000003</v>
      </c>
      <c r="H1572" s="21" t="s">
        <v>2819</v>
      </c>
      <c r="I1572" s="21" t="s">
        <v>2993</v>
      </c>
      <c r="J1572" s="21" t="s">
        <v>3024</v>
      </c>
      <c r="K1572" s="24">
        <v>215</v>
      </c>
      <c r="L1572" s="24">
        <v>1290</v>
      </c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215</v>
      </c>
      <c r="Z1572" s="23"/>
      <c r="AA1572" s="23"/>
      <c r="AB1572" s="23"/>
      <c r="AC1572" s="23"/>
      <c r="AD1572" s="23"/>
      <c r="AE1572" s="23"/>
      <c r="AF1572" s="23">
        <v>31</v>
      </c>
      <c r="AG1572" s="23"/>
      <c r="AH1572" s="23"/>
      <c r="AI1572" s="23"/>
      <c r="AJ1572" s="23"/>
      <c r="AK1572" s="23">
        <v>23</v>
      </c>
      <c r="AL1572" s="23"/>
      <c r="AM1572" s="23">
        <v>161</v>
      </c>
      <c r="AN1572" s="23"/>
      <c r="AO1572" s="23"/>
      <c r="AP1572" s="23"/>
      <c r="AQ1572" s="23">
        <v>215</v>
      </c>
      <c r="AR1572" s="23"/>
      <c r="AS1572" s="23"/>
      <c r="AT1572" s="23"/>
      <c r="AU1572" s="14" t="str">
        <f>HYPERLINK("http://www.openstreetmap.org/?mlat=36.7784&amp;mlon=42.7855&amp;zoom=12#map=12/36.7784/42.7855","Maplink1")</f>
        <v>Maplink1</v>
      </c>
      <c r="AV1572" s="14" t="str">
        <f>HYPERLINK("https://www.google.iq/maps/search/+36.7784,42.7855/@36.7784,42.7855,14z?hl=en","Maplink2")</f>
        <v>Maplink2</v>
      </c>
      <c r="AW1572" s="14" t="str">
        <f>HYPERLINK("http://www.bing.com/maps/?lvl=14&amp;sty=h&amp;cp=36.7784~42.7855&amp;sp=point.36.7784_42.7855_Kabarto","Maplink3")</f>
        <v>Maplink3</v>
      </c>
    </row>
    <row r="1573" spans="1:49" ht="15" customHeight="1" x14ac:dyDescent="0.25">
      <c r="A1573" s="21">
        <v>24794</v>
      </c>
      <c r="B1573" s="22" t="s">
        <v>13</v>
      </c>
      <c r="C1573" s="22" t="s">
        <v>2990</v>
      </c>
      <c r="D1573" s="22" t="s">
        <v>3025</v>
      </c>
      <c r="E1573" s="22" t="s">
        <v>3026</v>
      </c>
      <c r="F1573" s="22">
        <v>36.786299999999997</v>
      </c>
      <c r="G1573" s="22">
        <v>42.854900000000001</v>
      </c>
      <c r="H1573" s="21" t="s">
        <v>2819</v>
      </c>
      <c r="I1573" s="21" t="s">
        <v>2993</v>
      </c>
      <c r="J1573" s="21"/>
      <c r="K1573" s="24">
        <v>2396</v>
      </c>
      <c r="L1573" s="24">
        <v>14376</v>
      </c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2396</v>
      </c>
      <c r="Z1573" s="23"/>
      <c r="AA1573" s="23"/>
      <c r="AB1573" s="23"/>
      <c r="AC1573" s="23"/>
      <c r="AD1573" s="23"/>
      <c r="AE1573" s="23">
        <v>2396</v>
      </c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>
        <v>2396</v>
      </c>
      <c r="AR1573" s="23"/>
      <c r="AS1573" s="23"/>
      <c r="AT1573" s="23"/>
      <c r="AU1573" s="14" t="str">
        <f>HYPERLINK("http://www.openstreetmap.org/?mlat=36.7863&amp;mlon=42.8549&amp;zoom=12#map=12/36.7863/42.8549","Maplink1")</f>
        <v>Maplink1</v>
      </c>
      <c r="AV1573" s="14" t="str">
        <f>HYPERLINK("https://www.google.iq/maps/search/+36.7863,42.8549/@36.7863,42.8549,14z?hl=en","Maplink2")</f>
        <v>Maplink2</v>
      </c>
      <c r="AW1573" s="14" t="str">
        <f>HYPERLINK("http://www.bing.com/maps/?lvl=14&amp;sty=h&amp;cp=36.7863~42.8549&amp;sp=point.36.7863_42.8549_Kabarto 1 Camp","Maplink3")</f>
        <v>Maplink3</v>
      </c>
    </row>
    <row r="1574" spans="1:49" ht="15" customHeight="1" x14ac:dyDescent="0.25">
      <c r="A1574" s="21">
        <v>24795</v>
      </c>
      <c r="B1574" s="22" t="s">
        <v>13</v>
      </c>
      <c r="C1574" s="22" t="s">
        <v>2990</v>
      </c>
      <c r="D1574" s="22" t="s">
        <v>3027</v>
      </c>
      <c r="E1574" s="22" t="s">
        <v>3028</v>
      </c>
      <c r="F1574" s="22">
        <v>36.7864</v>
      </c>
      <c r="G1574" s="22">
        <v>42.855499999999999</v>
      </c>
      <c r="H1574" s="21" t="s">
        <v>2819</v>
      </c>
      <c r="I1574" s="21" t="s">
        <v>2993</v>
      </c>
      <c r="J1574" s="21"/>
      <c r="K1574" s="24">
        <v>2444</v>
      </c>
      <c r="L1574" s="24">
        <v>14664</v>
      </c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2444</v>
      </c>
      <c r="Z1574" s="23"/>
      <c r="AA1574" s="23"/>
      <c r="AB1574" s="23"/>
      <c r="AC1574" s="23"/>
      <c r="AD1574" s="23"/>
      <c r="AE1574" s="23">
        <v>2444</v>
      </c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>
        <v>2444</v>
      </c>
      <c r="AR1574" s="23"/>
      <c r="AS1574" s="23"/>
      <c r="AT1574" s="23"/>
      <c r="AU1574" s="14" t="str">
        <f>HYPERLINK("http://www.openstreetmap.org/?mlat=36.7864&amp;mlon=42.8555&amp;zoom=12#map=12/36.7864/42.8555","Maplink1")</f>
        <v>Maplink1</v>
      </c>
      <c r="AV1574" s="14" t="str">
        <f>HYPERLINK("https://www.google.iq/maps/search/+36.7864,42.8555/@36.7864,42.8555,14z?hl=en","Maplink2")</f>
        <v>Maplink2</v>
      </c>
      <c r="AW1574" s="14" t="str">
        <f>HYPERLINK("http://www.bing.com/maps/?lvl=14&amp;sty=h&amp;cp=36.7864~42.8555&amp;sp=point.36.7864_42.8555_Kabarto 2 Camp","Maplink3")</f>
        <v>Maplink3</v>
      </c>
    </row>
    <row r="1575" spans="1:49" ht="15" customHeight="1" x14ac:dyDescent="0.25">
      <c r="A1575" s="21">
        <v>27128</v>
      </c>
      <c r="B1575" s="22" t="s">
        <v>13</v>
      </c>
      <c r="C1575" s="22" t="s">
        <v>2990</v>
      </c>
      <c r="D1575" s="22" t="s">
        <v>3029</v>
      </c>
      <c r="E1575" s="22" t="s">
        <v>3030</v>
      </c>
      <c r="F1575" s="22">
        <v>36.766770000000001</v>
      </c>
      <c r="G1575" s="22">
        <v>42.767110000000002</v>
      </c>
      <c r="H1575" s="21" t="s">
        <v>2819</v>
      </c>
      <c r="I1575" s="21" t="s">
        <v>2993</v>
      </c>
      <c r="J1575" s="21"/>
      <c r="K1575" s="24">
        <v>35</v>
      </c>
      <c r="L1575" s="24">
        <v>210</v>
      </c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35</v>
      </c>
      <c r="Z1575" s="23"/>
      <c r="AA1575" s="23"/>
      <c r="AB1575" s="23"/>
      <c r="AC1575" s="23"/>
      <c r="AD1575" s="23"/>
      <c r="AE1575" s="23"/>
      <c r="AF1575" s="23">
        <v>10</v>
      </c>
      <c r="AG1575" s="23"/>
      <c r="AH1575" s="23"/>
      <c r="AI1575" s="23"/>
      <c r="AJ1575" s="23"/>
      <c r="AK1575" s="23">
        <v>11</v>
      </c>
      <c r="AL1575" s="23"/>
      <c r="AM1575" s="23">
        <v>14</v>
      </c>
      <c r="AN1575" s="23"/>
      <c r="AO1575" s="23"/>
      <c r="AP1575" s="23"/>
      <c r="AQ1575" s="23">
        <v>35</v>
      </c>
      <c r="AR1575" s="23"/>
      <c r="AS1575" s="23"/>
      <c r="AT1575" s="23"/>
      <c r="AU1575" s="14" t="str">
        <f>HYPERLINK("http://www.openstreetmap.org/?mlat=36.7668&amp;mlon=42.7671&amp;zoom=12#map=12/36.7668/42.7671","Maplink1")</f>
        <v>Maplink1</v>
      </c>
      <c r="AV1575" s="14" t="str">
        <f>HYPERLINK("https://www.google.iq/maps/search/+36.7668,42.7671/@36.7668,42.7671,14z?hl=en","Maplink2")</f>
        <v>Maplink2</v>
      </c>
      <c r="AW1575" s="14" t="str">
        <f>HYPERLINK("http://www.bing.com/maps/?lvl=14&amp;sty=h&amp;cp=36.7668~42.7671&amp;sp=point.36.7668_42.7671_Kamona","Maplink3")</f>
        <v>Maplink3</v>
      </c>
    </row>
    <row r="1576" spans="1:49" ht="15" customHeight="1" x14ac:dyDescent="0.25">
      <c r="A1576" s="21">
        <v>29614</v>
      </c>
      <c r="B1576" s="22" t="s">
        <v>13</v>
      </c>
      <c r="C1576" s="22" t="s">
        <v>2990</v>
      </c>
      <c r="D1576" s="22" t="s">
        <v>8631</v>
      </c>
      <c r="E1576" s="22" t="s">
        <v>8632</v>
      </c>
      <c r="F1576" s="22">
        <v>36.891506</v>
      </c>
      <c r="G1576" s="22">
        <v>42.799025999999998</v>
      </c>
      <c r="H1576" s="21" t="s">
        <v>2819</v>
      </c>
      <c r="I1576" s="21" t="s">
        <v>2993</v>
      </c>
      <c r="J1576" s="21"/>
      <c r="K1576" s="24">
        <v>77</v>
      </c>
      <c r="L1576" s="24">
        <v>462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77</v>
      </c>
      <c r="Z1576" s="23"/>
      <c r="AA1576" s="23"/>
      <c r="AB1576" s="23"/>
      <c r="AC1576" s="23"/>
      <c r="AD1576" s="23"/>
      <c r="AE1576" s="23"/>
      <c r="AF1576" s="23">
        <v>5</v>
      </c>
      <c r="AG1576" s="23"/>
      <c r="AH1576" s="23"/>
      <c r="AI1576" s="23"/>
      <c r="AJ1576" s="23"/>
      <c r="AK1576" s="23">
        <v>72</v>
      </c>
      <c r="AL1576" s="23"/>
      <c r="AM1576" s="23"/>
      <c r="AN1576" s="23"/>
      <c r="AO1576" s="23"/>
      <c r="AP1576" s="23">
        <v>36</v>
      </c>
      <c r="AQ1576" s="23">
        <v>40</v>
      </c>
      <c r="AR1576" s="23"/>
      <c r="AS1576" s="23">
        <v>1</v>
      </c>
      <c r="AT1576" s="23"/>
      <c r="AU1576" s="14" t="str">
        <f>HYPERLINK("http://www.openstreetmap.org/?mlat=36.8915&amp;mlon=42.799&amp;zoom=12#map=12/36.8915/42.799","Maplink1")</f>
        <v>Maplink1</v>
      </c>
      <c r="AV1576" s="14" t="str">
        <f>HYPERLINK("https://www.google.iq/maps/search/+36.8915,42.799/@36.8915,42.799,14z?hl=en","Maplink2")</f>
        <v>Maplink2</v>
      </c>
      <c r="AW1576" s="14" t="str">
        <f>HYPERLINK("http://www.bing.com/maps/?lvl=14&amp;sty=h&amp;cp=36.8915~42.799&amp;sp=point.36.8915_42.799","Maplink3")</f>
        <v>Maplink3</v>
      </c>
    </row>
    <row r="1577" spans="1:49" ht="15" customHeight="1" x14ac:dyDescent="0.25">
      <c r="A1577" s="21">
        <v>8656</v>
      </c>
      <c r="B1577" s="22" t="s">
        <v>13</v>
      </c>
      <c r="C1577" s="22" t="s">
        <v>2990</v>
      </c>
      <c r="D1577" s="22" t="s">
        <v>3031</v>
      </c>
      <c r="E1577" s="22" t="s">
        <v>3032</v>
      </c>
      <c r="F1577" s="22">
        <v>36.780250000000002</v>
      </c>
      <c r="G1577" s="22">
        <v>42.774709999999999</v>
      </c>
      <c r="H1577" s="21" t="s">
        <v>2819</v>
      </c>
      <c r="I1577" s="21" t="s">
        <v>2993</v>
      </c>
      <c r="J1577" s="21" t="s">
        <v>3033</v>
      </c>
      <c r="K1577" s="24">
        <v>2864</v>
      </c>
      <c r="L1577" s="24">
        <v>17184</v>
      </c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2864</v>
      </c>
      <c r="Z1577" s="23"/>
      <c r="AA1577" s="23"/>
      <c r="AB1577" s="23"/>
      <c r="AC1577" s="23"/>
      <c r="AD1577" s="23"/>
      <c r="AE1577" s="23">
        <v>2864</v>
      </c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>
        <v>2864</v>
      </c>
      <c r="AR1577" s="23"/>
      <c r="AS1577" s="23"/>
      <c r="AT1577" s="23"/>
      <c r="AU1577" s="14" t="str">
        <f>HYPERLINK("http://www.openstreetmap.org/?mlat=36.7803&amp;mlon=42.7747&amp;zoom=12#map=12/36.7803/42.7747","Maplink1")</f>
        <v>Maplink1</v>
      </c>
      <c r="AV1577" s="14" t="str">
        <f>HYPERLINK("https://www.google.iq/maps/search/+36.7803,42.7747/@36.7803,42.7747,14z?hl=en","Maplink2")</f>
        <v>Maplink2</v>
      </c>
      <c r="AW1577" s="14" t="str">
        <f>HYPERLINK("http://www.bing.com/maps/?lvl=14&amp;sty=h&amp;cp=36.7803~42.7747&amp;sp=point.36.7803_42.7747_Khanke Camp","Maplink3")</f>
        <v>Maplink3</v>
      </c>
    </row>
    <row r="1578" spans="1:49" ht="15" customHeight="1" x14ac:dyDescent="0.25">
      <c r="A1578" s="21">
        <v>27121</v>
      </c>
      <c r="B1578" s="22" t="s">
        <v>13</v>
      </c>
      <c r="C1578" s="22" t="s">
        <v>2990</v>
      </c>
      <c r="D1578" s="22" t="s">
        <v>3034</v>
      </c>
      <c r="E1578" s="22" t="s">
        <v>3035</v>
      </c>
      <c r="F1578" s="22">
        <v>36.770650000000003</v>
      </c>
      <c r="G1578" s="22">
        <v>42.774030000000003</v>
      </c>
      <c r="H1578" s="21" t="s">
        <v>2819</v>
      </c>
      <c r="I1578" s="21" t="s">
        <v>2993</v>
      </c>
      <c r="J1578" s="21"/>
      <c r="K1578" s="24">
        <v>403</v>
      </c>
      <c r="L1578" s="24">
        <v>2418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403</v>
      </c>
      <c r="Z1578" s="23"/>
      <c r="AA1578" s="23"/>
      <c r="AB1578" s="23"/>
      <c r="AC1578" s="23"/>
      <c r="AD1578" s="23"/>
      <c r="AE1578" s="23"/>
      <c r="AF1578" s="23">
        <v>28</v>
      </c>
      <c r="AG1578" s="23"/>
      <c r="AH1578" s="23">
        <v>93</v>
      </c>
      <c r="AI1578" s="23"/>
      <c r="AJ1578" s="23"/>
      <c r="AK1578" s="23">
        <v>60</v>
      </c>
      <c r="AL1578" s="23"/>
      <c r="AM1578" s="23">
        <v>222</v>
      </c>
      <c r="AN1578" s="23"/>
      <c r="AO1578" s="23"/>
      <c r="AP1578" s="23"/>
      <c r="AQ1578" s="23">
        <v>403</v>
      </c>
      <c r="AR1578" s="23"/>
      <c r="AS1578" s="23"/>
      <c r="AT1578" s="23"/>
      <c r="AU1578" s="14" t="str">
        <f>HYPERLINK("http://www.openstreetmap.org/?mlat=36.7707&amp;mlon=42.774&amp;zoom=12#map=12/36.7707/42.774","Maplink1")</f>
        <v>Maplink1</v>
      </c>
      <c r="AV1578" s="14" t="str">
        <f>HYPERLINK("https://www.google.iq/maps/search/+36.7707,42.774/@36.7707,42.774,14z?hl=en","Maplink2")</f>
        <v>Maplink2</v>
      </c>
      <c r="AW1578" s="14" t="str">
        <f>HYPERLINK("http://www.bing.com/maps/?lvl=14&amp;sty=h&amp;cp=36.7707~42.774&amp;sp=point.36.7707_42.774_Khanke Qadima","Maplink3")</f>
        <v>Maplink3</v>
      </c>
    </row>
    <row r="1579" spans="1:49" ht="15" customHeight="1" x14ac:dyDescent="0.25">
      <c r="A1579" s="21">
        <v>8800</v>
      </c>
      <c r="B1579" s="22" t="s">
        <v>13</v>
      </c>
      <c r="C1579" s="22" t="s">
        <v>2990</v>
      </c>
      <c r="D1579" s="22" t="s">
        <v>3036</v>
      </c>
      <c r="E1579" s="22" t="s">
        <v>3037</v>
      </c>
      <c r="F1579" s="22">
        <v>36.775910000000003</v>
      </c>
      <c r="G1579" s="22">
        <v>42.782780000000002</v>
      </c>
      <c r="H1579" s="21" t="s">
        <v>2819</v>
      </c>
      <c r="I1579" s="21" t="s">
        <v>2993</v>
      </c>
      <c r="J1579" s="21" t="s">
        <v>3038</v>
      </c>
      <c r="K1579" s="24">
        <v>302</v>
      </c>
      <c r="L1579" s="24">
        <v>1812</v>
      </c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302</v>
      </c>
      <c r="Z1579" s="23"/>
      <c r="AA1579" s="23"/>
      <c r="AB1579" s="23"/>
      <c r="AC1579" s="23"/>
      <c r="AD1579" s="23"/>
      <c r="AE1579" s="23"/>
      <c r="AF1579" s="23">
        <v>50</v>
      </c>
      <c r="AG1579" s="23"/>
      <c r="AH1579" s="23">
        <v>10</v>
      </c>
      <c r="AI1579" s="23"/>
      <c r="AJ1579" s="23"/>
      <c r="AK1579" s="23">
        <v>60</v>
      </c>
      <c r="AL1579" s="23"/>
      <c r="AM1579" s="23">
        <v>182</v>
      </c>
      <c r="AN1579" s="23"/>
      <c r="AO1579" s="23"/>
      <c r="AP1579" s="23"/>
      <c r="AQ1579" s="23">
        <v>302</v>
      </c>
      <c r="AR1579" s="23"/>
      <c r="AS1579" s="23"/>
      <c r="AT1579" s="23"/>
      <c r="AU1579" s="14" t="str">
        <f>HYPERLINK("http://www.openstreetmap.org/?mlat=36.7759&amp;mlon=42.7828&amp;zoom=12#map=12/36.7759/42.7828","Maplink1")</f>
        <v>Maplink1</v>
      </c>
      <c r="AV1579" s="14" t="str">
        <f>HYPERLINK("https://www.google.iq/maps/search/+36.7759,42.7828/@36.7759,42.7828,14z?hl=en","Maplink2")</f>
        <v>Maplink2</v>
      </c>
      <c r="AW1579" s="14" t="str">
        <f>HYPERLINK("http://www.bing.com/maps/?lvl=14&amp;sty=h&amp;cp=36.7759~42.7828&amp;sp=point.36.7759_42.7828_Kherava","Maplink3")</f>
        <v>Maplink3</v>
      </c>
    </row>
    <row r="1580" spans="1:49" ht="15" customHeight="1" x14ac:dyDescent="0.25">
      <c r="A1580" s="21">
        <v>8013</v>
      </c>
      <c r="B1580" s="22" t="s">
        <v>13</v>
      </c>
      <c r="C1580" s="22" t="s">
        <v>2990</v>
      </c>
      <c r="D1580" s="22" t="s">
        <v>8633</v>
      </c>
      <c r="E1580" s="22" t="s">
        <v>8634</v>
      </c>
      <c r="F1580" s="22">
        <v>36.910196999999997</v>
      </c>
      <c r="G1580" s="22">
        <v>42.793644999999998</v>
      </c>
      <c r="H1580" s="21" t="s">
        <v>2819</v>
      </c>
      <c r="I1580" s="21" t="s">
        <v>2993</v>
      </c>
      <c r="J1580" s="21" t="s">
        <v>8635</v>
      </c>
      <c r="K1580" s="24">
        <v>84</v>
      </c>
      <c r="L1580" s="24">
        <v>504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84</v>
      </c>
      <c r="Z1580" s="23"/>
      <c r="AA1580" s="23"/>
      <c r="AB1580" s="23"/>
      <c r="AC1580" s="23"/>
      <c r="AD1580" s="23"/>
      <c r="AE1580" s="23"/>
      <c r="AF1580" s="23">
        <v>13</v>
      </c>
      <c r="AG1580" s="23"/>
      <c r="AH1580" s="23"/>
      <c r="AI1580" s="23"/>
      <c r="AJ1580" s="23"/>
      <c r="AK1580" s="23">
        <v>59</v>
      </c>
      <c r="AL1580" s="23"/>
      <c r="AM1580" s="23">
        <v>12</v>
      </c>
      <c r="AN1580" s="23"/>
      <c r="AO1580" s="23"/>
      <c r="AP1580" s="23">
        <v>10</v>
      </c>
      <c r="AQ1580" s="23">
        <v>74</v>
      </c>
      <c r="AR1580" s="23"/>
      <c r="AS1580" s="23"/>
      <c r="AT1580" s="23"/>
      <c r="AU1580" s="14" t="str">
        <f>HYPERLINK("http://www.openstreetmap.org/?mlat=36.9102&amp;mlon=42.7936&amp;zoom=12#map=12/36.9102/42.7936","Maplink1")</f>
        <v>Maplink1</v>
      </c>
      <c r="AV1580" s="14" t="str">
        <f>HYPERLINK("https://www.google.iq/maps/search/+36.9102,42.7936/@36.9102,42.7936,14z?hl=en","Maplink2")</f>
        <v>Maplink2</v>
      </c>
      <c r="AW1580" s="14" t="str">
        <f>HYPERLINK("http://www.bing.com/maps/?lvl=14&amp;sty=h&amp;cp=36.9102~42.7936&amp;sp=point.36.9102_42.7936","Maplink3")</f>
        <v>Maplink3</v>
      </c>
    </row>
    <row r="1581" spans="1:49" ht="15" customHeight="1" x14ac:dyDescent="0.25">
      <c r="A1581" s="21">
        <v>8873</v>
      </c>
      <c r="B1581" s="22" t="s">
        <v>13</v>
      </c>
      <c r="C1581" s="22" t="s">
        <v>2990</v>
      </c>
      <c r="D1581" s="22" t="s">
        <v>3042</v>
      </c>
      <c r="E1581" s="22" t="s">
        <v>3043</v>
      </c>
      <c r="F1581" s="22">
        <v>36.864207</v>
      </c>
      <c r="G1581" s="22">
        <v>42.807639999999999</v>
      </c>
      <c r="H1581" s="21" t="s">
        <v>2819</v>
      </c>
      <c r="I1581" s="21" t="s">
        <v>2993</v>
      </c>
      <c r="J1581" s="21" t="s">
        <v>3044</v>
      </c>
      <c r="K1581" s="24">
        <v>1356</v>
      </c>
      <c r="L1581" s="24">
        <v>8136</v>
      </c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1351</v>
      </c>
      <c r="Z1581" s="23"/>
      <c r="AA1581" s="23">
        <v>5</v>
      </c>
      <c r="AB1581" s="23"/>
      <c r="AC1581" s="23"/>
      <c r="AD1581" s="23"/>
      <c r="AE1581" s="23"/>
      <c r="AF1581" s="23">
        <v>174</v>
      </c>
      <c r="AG1581" s="23"/>
      <c r="AH1581" s="23"/>
      <c r="AI1581" s="23"/>
      <c r="AJ1581" s="23"/>
      <c r="AK1581" s="23">
        <v>1008</v>
      </c>
      <c r="AL1581" s="23"/>
      <c r="AM1581" s="23">
        <v>174</v>
      </c>
      <c r="AN1581" s="23"/>
      <c r="AO1581" s="23"/>
      <c r="AP1581" s="23">
        <v>723</v>
      </c>
      <c r="AQ1581" s="23">
        <v>633</v>
      </c>
      <c r="AR1581" s="23"/>
      <c r="AS1581" s="23"/>
      <c r="AT1581" s="23"/>
      <c r="AU1581" s="14" t="str">
        <f>HYPERLINK("http://www.openstreetmap.org/?mlat=36.8642&amp;mlon=42.8076&amp;zoom=12#map=12/36.8642/42.8076","Maplink1")</f>
        <v>Maplink1</v>
      </c>
      <c r="AV1581" s="14" t="str">
        <f>HYPERLINK("https://www.google.iq/maps/search/+36.8642,42.8076/@36.8642,42.8076,14z?hl=en","Maplink2")</f>
        <v>Maplink2</v>
      </c>
      <c r="AW1581" s="14" t="str">
        <f>HYPERLINK("http://www.bing.com/maps/?lvl=14&amp;sty=h&amp;cp=36.8642~42.8076&amp;sp=point.36.8642_42.8076_Misereek","Maplink3")</f>
        <v>Maplink3</v>
      </c>
    </row>
    <row r="1582" spans="1:49" ht="15" customHeight="1" x14ac:dyDescent="0.25">
      <c r="A1582" s="21">
        <v>25622</v>
      </c>
      <c r="B1582" s="22" t="s">
        <v>13</v>
      </c>
      <c r="C1582" s="22" t="s">
        <v>2990</v>
      </c>
      <c r="D1582" s="22" t="s">
        <v>8636</v>
      </c>
      <c r="E1582" s="22" t="s">
        <v>3015</v>
      </c>
      <c r="F1582" s="22">
        <v>36.789900000000003</v>
      </c>
      <c r="G1582" s="22">
        <v>42.917299999999997</v>
      </c>
      <c r="H1582" s="21" t="s">
        <v>2819</v>
      </c>
      <c r="I1582" s="21" t="s">
        <v>2993</v>
      </c>
      <c r="J1582" s="21"/>
      <c r="K1582" s="24">
        <v>340</v>
      </c>
      <c r="L1582" s="24">
        <v>2040</v>
      </c>
      <c r="M1582" s="23">
        <v>10</v>
      </c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330</v>
      </c>
      <c r="Z1582" s="23"/>
      <c r="AA1582" s="23"/>
      <c r="AB1582" s="23"/>
      <c r="AC1582" s="23"/>
      <c r="AD1582" s="23"/>
      <c r="AE1582" s="23"/>
      <c r="AF1582" s="23">
        <v>22</v>
      </c>
      <c r="AG1582" s="23"/>
      <c r="AH1582" s="23"/>
      <c r="AI1582" s="23"/>
      <c r="AJ1582" s="23"/>
      <c r="AK1582" s="23">
        <v>300</v>
      </c>
      <c r="AL1582" s="23"/>
      <c r="AM1582" s="23">
        <v>18</v>
      </c>
      <c r="AN1582" s="23"/>
      <c r="AO1582" s="23">
        <v>10</v>
      </c>
      <c r="AP1582" s="23">
        <v>282</v>
      </c>
      <c r="AQ1582" s="23">
        <v>48</v>
      </c>
      <c r="AR1582" s="23"/>
      <c r="AS1582" s="23"/>
      <c r="AT1582" s="23"/>
      <c r="AU1582" s="14" t="str">
        <f>HYPERLINK("http://www.openstreetmap.org/?mlat=36.7899&amp;mlon=42.9173&amp;zoom=12#map=12/36.7899/42.9173","Maplink1")</f>
        <v>Maplink1</v>
      </c>
      <c r="AV1582" s="14" t="str">
        <f>HYPERLINK("https://www.google.iq/maps/search/+36.7899,42.9173/@36.7899,42.9173,14z?hl=en","Maplink2")</f>
        <v>Maplink2</v>
      </c>
      <c r="AW1582" s="14" t="str">
        <f>HYPERLINK("http://www.bing.com/maps/?lvl=14&amp;sty=h&amp;cp=36.7899~42.9173&amp;sp=point.36.7899_42.9173_Fayida-Moaskar Domiz","Maplink3")</f>
        <v>Maplink3</v>
      </c>
    </row>
    <row r="1583" spans="1:49" ht="15" customHeight="1" x14ac:dyDescent="0.25">
      <c r="A1583" s="21">
        <v>7990</v>
      </c>
      <c r="B1583" s="22" t="s">
        <v>13</v>
      </c>
      <c r="C1583" s="22" t="s">
        <v>2990</v>
      </c>
      <c r="D1583" s="22" t="s">
        <v>3045</v>
      </c>
      <c r="E1583" s="22" t="s">
        <v>3046</v>
      </c>
      <c r="F1583" s="22">
        <v>36.738430000000001</v>
      </c>
      <c r="G1583" s="22">
        <v>42.878100000000003</v>
      </c>
      <c r="H1583" s="21" t="s">
        <v>2819</v>
      </c>
      <c r="I1583" s="21" t="s">
        <v>2993</v>
      </c>
      <c r="J1583" s="21" t="s">
        <v>3047</v>
      </c>
      <c r="K1583" s="24">
        <v>18</v>
      </c>
      <c r="L1583" s="24">
        <v>108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18</v>
      </c>
      <c r="Z1583" s="23"/>
      <c r="AA1583" s="23"/>
      <c r="AB1583" s="23"/>
      <c r="AC1583" s="23"/>
      <c r="AD1583" s="23"/>
      <c r="AE1583" s="23"/>
      <c r="AF1583" s="23">
        <v>5</v>
      </c>
      <c r="AG1583" s="23"/>
      <c r="AH1583" s="23"/>
      <c r="AI1583" s="23"/>
      <c r="AJ1583" s="23"/>
      <c r="AK1583" s="23">
        <v>3</v>
      </c>
      <c r="AL1583" s="23"/>
      <c r="AM1583" s="23">
        <v>10</v>
      </c>
      <c r="AN1583" s="23"/>
      <c r="AO1583" s="23"/>
      <c r="AP1583" s="23">
        <v>16</v>
      </c>
      <c r="AQ1583" s="23">
        <v>1</v>
      </c>
      <c r="AR1583" s="23"/>
      <c r="AS1583" s="23">
        <v>1</v>
      </c>
      <c r="AT1583" s="23"/>
      <c r="AU1583" s="14" t="str">
        <f>HYPERLINK("http://www.openstreetmap.org/?mlat=36.7384&amp;mlon=42.8781&amp;zoom=12#map=12/36.7384/42.8781","Maplink1")</f>
        <v>Maplink1</v>
      </c>
      <c r="AV1583" s="14" t="str">
        <f>HYPERLINK("https://www.google.iq/maps/search/+36.7384,42.8781/@36.7384,42.8781,14z?hl=en","Maplink2")</f>
        <v>Maplink2</v>
      </c>
      <c r="AW1583" s="14" t="str">
        <f>HYPERLINK("http://www.bing.com/maps/?lvl=14&amp;sty=h&amp;cp=36.7384~42.8781&amp;sp=point.36.7384_42.8781_Namrike","Maplink3")</f>
        <v>Maplink3</v>
      </c>
    </row>
    <row r="1584" spans="1:49" ht="15" customHeight="1" x14ac:dyDescent="0.25">
      <c r="A1584" s="21">
        <v>29597</v>
      </c>
      <c r="B1584" s="22" t="s">
        <v>13</v>
      </c>
      <c r="C1584" s="22" t="s">
        <v>2990</v>
      </c>
      <c r="D1584" s="22" t="s">
        <v>8215</v>
      </c>
      <c r="E1584" s="22" t="s">
        <v>8216</v>
      </c>
      <c r="F1584" s="22">
        <v>36.870387999999998</v>
      </c>
      <c r="G1584" s="22">
        <v>42.892062000000003</v>
      </c>
      <c r="H1584" s="21" t="s">
        <v>2819</v>
      </c>
      <c r="I1584" s="21" t="s">
        <v>2993</v>
      </c>
      <c r="J1584" s="21"/>
      <c r="K1584" s="24">
        <v>82</v>
      </c>
      <c r="L1584" s="24">
        <v>492</v>
      </c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82</v>
      </c>
      <c r="Z1584" s="23"/>
      <c r="AA1584" s="23"/>
      <c r="AB1584" s="23"/>
      <c r="AC1584" s="23"/>
      <c r="AD1584" s="23"/>
      <c r="AE1584" s="23"/>
      <c r="AF1584" s="23">
        <v>5</v>
      </c>
      <c r="AG1584" s="23"/>
      <c r="AH1584" s="23"/>
      <c r="AI1584" s="23"/>
      <c r="AJ1584" s="23"/>
      <c r="AK1584" s="23">
        <v>77</v>
      </c>
      <c r="AL1584" s="23"/>
      <c r="AM1584" s="23"/>
      <c r="AN1584" s="23"/>
      <c r="AO1584" s="23"/>
      <c r="AP1584" s="23">
        <v>43</v>
      </c>
      <c r="AQ1584" s="23">
        <v>39</v>
      </c>
      <c r="AR1584" s="23"/>
      <c r="AS1584" s="23"/>
      <c r="AT1584" s="23"/>
      <c r="AU1584" s="14" t="str">
        <f>HYPERLINK("http://www.openstreetmap.org/?mlat=36.8704&amp;mlon=42.8921&amp;zoom=12#map=12/36.8704/42.8921","Maplink1")</f>
        <v>Maplink1</v>
      </c>
      <c r="AV1584" s="14" t="str">
        <f>HYPERLINK("https://www.google.iq/maps/search/+36.8704,42.8921/@36.8704,42.8921,14z?hl=en","Maplink2")</f>
        <v>Maplink2</v>
      </c>
      <c r="AW1584" s="14" t="str">
        <f>HYPERLINK("http://www.bing.com/maps/?lvl=14&amp;sty=h&amp;cp=36.8704~42.8921&amp;sp=point.36.8704_42.8921","Maplink3")</f>
        <v>Maplink3</v>
      </c>
    </row>
    <row r="1585" spans="1:49" ht="15" customHeight="1" x14ac:dyDescent="0.25">
      <c r="A1585" s="21">
        <v>27124</v>
      </c>
      <c r="B1585" s="22" t="s">
        <v>13</v>
      </c>
      <c r="C1585" s="22" t="s">
        <v>2990</v>
      </c>
      <c r="D1585" s="22" t="s">
        <v>8637</v>
      </c>
      <c r="E1585" s="22" t="s">
        <v>3076</v>
      </c>
      <c r="F1585" s="22">
        <v>36.784840000000003</v>
      </c>
      <c r="G1585" s="22">
        <v>42.786149999999999</v>
      </c>
      <c r="H1585" s="21" t="s">
        <v>2819</v>
      </c>
      <c r="I1585" s="21" t="s">
        <v>2993</v>
      </c>
      <c r="J1585" s="21"/>
      <c r="K1585" s="24">
        <v>600</v>
      </c>
      <c r="L1585" s="24">
        <v>3600</v>
      </c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>
        <v>600</v>
      </c>
      <c r="Z1585" s="23"/>
      <c r="AA1585" s="23"/>
      <c r="AB1585" s="23"/>
      <c r="AC1585" s="23"/>
      <c r="AD1585" s="23"/>
      <c r="AE1585" s="23"/>
      <c r="AF1585" s="23">
        <v>50</v>
      </c>
      <c r="AG1585" s="23"/>
      <c r="AH1585" s="23">
        <v>260</v>
      </c>
      <c r="AI1585" s="23"/>
      <c r="AJ1585" s="23"/>
      <c r="AK1585" s="23">
        <v>66</v>
      </c>
      <c r="AL1585" s="23"/>
      <c r="AM1585" s="23">
        <v>224</v>
      </c>
      <c r="AN1585" s="23"/>
      <c r="AO1585" s="23"/>
      <c r="AP1585" s="23"/>
      <c r="AQ1585" s="23">
        <v>600</v>
      </c>
      <c r="AR1585" s="23"/>
      <c r="AS1585" s="23"/>
      <c r="AT1585" s="23"/>
      <c r="AU1585" s="14" t="str">
        <f>HYPERLINK("http://www.openstreetmap.org/?mlat=36.7848&amp;mlon=42.7861&amp;zoom=12#map=12/36.7848/42.7861","Maplink1")</f>
        <v>Maplink1</v>
      </c>
      <c r="AV1585" s="14" t="str">
        <f>HYPERLINK("https://www.google.iq/maps/search/+36.7848,42.7861/@36.7848,42.7861,14z?hl=en","Maplink2")</f>
        <v>Maplink2</v>
      </c>
      <c r="AW1585" s="14" t="str">
        <f>HYPERLINK("http://www.bing.com/maps/?lvl=14&amp;sty=h&amp;cp=36.7848~42.7861&amp;sp=point.36.7848_42.7861_Zayniya Jadida","Maplink3")</f>
        <v>Maplink3</v>
      </c>
    </row>
    <row r="1586" spans="1:49" ht="15" customHeight="1" x14ac:dyDescent="0.25">
      <c r="A1586" s="21">
        <v>27127</v>
      </c>
      <c r="B1586" s="22" t="s">
        <v>13</v>
      </c>
      <c r="C1586" s="22" t="s">
        <v>2990</v>
      </c>
      <c r="D1586" s="22" t="s">
        <v>8638</v>
      </c>
      <c r="E1586" s="22" t="s">
        <v>3039</v>
      </c>
      <c r="F1586" s="22">
        <v>36.80639</v>
      </c>
      <c r="G1586" s="22">
        <v>42.7697</v>
      </c>
      <c r="H1586" s="21" t="s">
        <v>2819</v>
      </c>
      <c r="I1586" s="21" t="s">
        <v>2993</v>
      </c>
      <c r="J1586" s="21"/>
      <c r="K1586" s="24">
        <v>149</v>
      </c>
      <c r="L1586" s="24">
        <v>894</v>
      </c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>
        <v>149</v>
      </c>
      <c r="Z1586" s="23"/>
      <c r="AA1586" s="23"/>
      <c r="AB1586" s="23"/>
      <c r="AC1586" s="23"/>
      <c r="AD1586" s="23"/>
      <c r="AE1586" s="23"/>
      <c r="AF1586" s="23">
        <v>15</v>
      </c>
      <c r="AG1586" s="23"/>
      <c r="AH1586" s="23">
        <v>39</v>
      </c>
      <c r="AI1586" s="23"/>
      <c r="AJ1586" s="23"/>
      <c r="AK1586" s="23"/>
      <c r="AL1586" s="23"/>
      <c r="AM1586" s="23">
        <v>95</v>
      </c>
      <c r="AN1586" s="23"/>
      <c r="AO1586" s="23"/>
      <c r="AP1586" s="23"/>
      <c r="AQ1586" s="23">
        <v>149</v>
      </c>
      <c r="AR1586" s="23"/>
      <c r="AS1586" s="23"/>
      <c r="AT1586" s="23"/>
      <c r="AU1586" s="14" t="str">
        <f>HYPERLINK("http://www.openstreetmap.org/?mlat=36.8064&amp;mlon=42.7697&amp;zoom=12#map=12/36.8064/42.7697","Maplink1")</f>
        <v>Maplink1</v>
      </c>
      <c r="AV1586" s="14" t="str">
        <f>HYPERLINK("https://www.google.iq/maps/search/+36.8064,42.7697/@36.8064,42.7697,14z?hl=en","Maplink2")</f>
        <v>Maplink2</v>
      </c>
      <c r="AW1586" s="14" t="str">
        <f>HYPERLINK("http://www.bing.com/maps/?lvl=14&amp;sty=h&amp;cp=36.8064~42.7697&amp;sp=point.36.8064_42.7697_Mam Shvana Qadima","Maplink3")</f>
        <v>Maplink3</v>
      </c>
    </row>
    <row r="1587" spans="1:49" ht="15" customHeight="1" x14ac:dyDescent="0.25">
      <c r="A1587" s="21">
        <v>27125</v>
      </c>
      <c r="B1587" s="22" t="s">
        <v>13</v>
      </c>
      <c r="C1587" s="22" t="s">
        <v>2990</v>
      </c>
      <c r="D1587" s="22" t="s">
        <v>8639</v>
      </c>
      <c r="E1587" s="22" t="s">
        <v>3051</v>
      </c>
      <c r="F1587" s="22">
        <v>36.820489999999999</v>
      </c>
      <c r="G1587" s="22">
        <v>42.806750000000001</v>
      </c>
      <c r="H1587" s="21" t="s">
        <v>2819</v>
      </c>
      <c r="I1587" s="21" t="s">
        <v>2993</v>
      </c>
      <c r="J1587" s="21"/>
      <c r="K1587" s="24">
        <v>300</v>
      </c>
      <c r="L1587" s="24">
        <v>1800</v>
      </c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>
        <v>300</v>
      </c>
      <c r="Z1587" s="23"/>
      <c r="AA1587" s="23"/>
      <c r="AB1587" s="23"/>
      <c r="AC1587" s="23"/>
      <c r="AD1587" s="23"/>
      <c r="AE1587" s="23"/>
      <c r="AF1587" s="23">
        <v>30</v>
      </c>
      <c r="AG1587" s="23"/>
      <c r="AH1587" s="23">
        <v>35</v>
      </c>
      <c r="AI1587" s="23"/>
      <c r="AJ1587" s="23"/>
      <c r="AK1587" s="23">
        <v>15</v>
      </c>
      <c r="AL1587" s="23"/>
      <c r="AM1587" s="23">
        <v>220</v>
      </c>
      <c r="AN1587" s="23"/>
      <c r="AO1587" s="23"/>
      <c r="AP1587" s="23"/>
      <c r="AQ1587" s="23">
        <v>300</v>
      </c>
      <c r="AR1587" s="23"/>
      <c r="AS1587" s="23"/>
      <c r="AT1587" s="23"/>
      <c r="AU1587" s="14" t="str">
        <f>HYPERLINK("http://www.openstreetmap.org/?mlat=36.8205&amp;mlon=42.8068&amp;zoom=12#map=12/36.8205/42.8068","Maplink1")</f>
        <v>Maplink1</v>
      </c>
      <c r="AV1587" s="14" t="str">
        <f>HYPERLINK("https://www.google.iq/maps/search/+36.8205,42.8068/@36.8205,42.8068,14z?hl=en","Maplink2")</f>
        <v>Maplink2</v>
      </c>
      <c r="AW1587" s="14" t="str">
        <f>HYPERLINK("http://www.bing.com/maps/?lvl=14&amp;sty=h&amp;cp=36.8205~42.8068&amp;sp=point.36.8205_42.8068_Qasr Yazddin Qadima","Maplink3")</f>
        <v>Maplink3</v>
      </c>
    </row>
    <row r="1588" spans="1:49" ht="15" customHeight="1" x14ac:dyDescent="0.25">
      <c r="A1588" s="21">
        <v>27130</v>
      </c>
      <c r="B1588" s="22" t="s">
        <v>13</v>
      </c>
      <c r="C1588" s="22" t="s">
        <v>2990</v>
      </c>
      <c r="D1588" s="22" t="s">
        <v>8640</v>
      </c>
      <c r="E1588" s="22" t="s">
        <v>3070</v>
      </c>
      <c r="F1588" s="22">
        <v>36.809190000000001</v>
      </c>
      <c r="G1588" s="22">
        <v>42.827500000000001</v>
      </c>
      <c r="H1588" s="21" t="s">
        <v>2819</v>
      </c>
      <c r="I1588" s="21" t="s">
        <v>2993</v>
      </c>
      <c r="J1588" s="21"/>
      <c r="K1588" s="24">
        <v>135</v>
      </c>
      <c r="L1588" s="24">
        <v>810</v>
      </c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135</v>
      </c>
      <c r="Z1588" s="23"/>
      <c r="AA1588" s="23"/>
      <c r="AB1588" s="23"/>
      <c r="AC1588" s="23"/>
      <c r="AD1588" s="23"/>
      <c r="AE1588" s="23"/>
      <c r="AF1588" s="23">
        <v>67</v>
      </c>
      <c r="AG1588" s="23"/>
      <c r="AH1588" s="23">
        <v>13</v>
      </c>
      <c r="AI1588" s="23"/>
      <c r="AJ1588" s="23"/>
      <c r="AK1588" s="23">
        <v>16</v>
      </c>
      <c r="AL1588" s="23"/>
      <c r="AM1588" s="23">
        <v>39</v>
      </c>
      <c r="AN1588" s="23"/>
      <c r="AO1588" s="23"/>
      <c r="AP1588" s="23"/>
      <c r="AQ1588" s="23">
        <v>135</v>
      </c>
      <c r="AR1588" s="23"/>
      <c r="AS1588" s="23"/>
      <c r="AT1588" s="23"/>
      <c r="AU1588" s="14" t="str">
        <f>HYPERLINK("http://www.openstreetmap.org/?mlat=36.8092&amp;mlon=42.8275&amp;zoom=12#map=12/36.8092/42.8275","Maplink1")</f>
        <v>Maplink1</v>
      </c>
      <c r="AV1588" s="14" t="str">
        <f>HYPERLINK("https://www.google.iq/maps/search/+36.8092,42.8275/@36.8092,42.8275,14z?hl=en","Maplink2")</f>
        <v>Maplink2</v>
      </c>
      <c r="AW1588" s="14" t="str">
        <f>HYPERLINK("http://www.bing.com/maps/?lvl=14&amp;sty=h&amp;cp=36.8092~42.8275&amp;sp=point.36.8092_42.8275_Sorka Qadima","Maplink3")</f>
        <v>Maplink3</v>
      </c>
    </row>
    <row r="1589" spans="1:49" ht="15" customHeight="1" x14ac:dyDescent="0.25">
      <c r="A1589" s="21">
        <v>27123</v>
      </c>
      <c r="B1589" s="22" t="s">
        <v>13</v>
      </c>
      <c r="C1589" s="22" t="s">
        <v>2990</v>
      </c>
      <c r="D1589" s="22" t="s">
        <v>8641</v>
      </c>
      <c r="E1589" s="22" t="s">
        <v>3077</v>
      </c>
      <c r="F1589" s="22">
        <v>36.776710000000001</v>
      </c>
      <c r="G1589" s="22">
        <v>42.792830000000002</v>
      </c>
      <c r="H1589" s="21" t="s">
        <v>2819</v>
      </c>
      <c r="I1589" s="21" t="s">
        <v>2993</v>
      </c>
      <c r="J1589" s="21"/>
      <c r="K1589" s="24">
        <v>270</v>
      </c>
      <c r="L1589" s="24">
        <v>1620</v>
      </c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>
        <v>270</v>
      </c>
      <c r="Z1589" s="23"/>
      <c r="AA1589" s="23"/>
      <c r="AB1589" s="23"/>
      <c r="AC1589" s="23"/>
      <c r="AD1589" s="23"/>
      <c r="AE1589" s="23"/>
      <c r="AF1589" s="23">
        <v>75</v>
      </c>
      <c r="AG1589" s="23"/>
      <c r="AH1589" s="23"/>
      <c r="AI1589" s="23"/>
      <c r="AJ1589" s="23"/>
      <c r="AK1589" s="23">
        <v>34</v>
      </c>
      <c r="AL1589" s="23"/>
      <c r="AM1589" s="23">
        <v>161</v>
      </c>
      <c r="AN1589" s="23"/>
      <c r="AO1589" s="23"/>
      <c r="AP1589" s="23"/>
      <c r="AQ1589" s="23">
        <v>270</v>
      </c>
      <c r="AR1589" s="23"/>
      <c r="AS1589" s="23"/>
      <c r="AT1589" s="23"/>
      <c r="AU1589" s="14" t="str">
        <f>HYPERLINK("http://www.openstreetmap.org/?mlat=36.7767&amp;mlon=42.7928&amp;zoom=12#map=12/36.7767/42.7928","Maplink1")</f>
        <v>Maplink1</v>
      </c>
      <c r="AV1589" s="14" t="str">
        <f>HYPERLINK("https://www.google.iq/maps/search/+36.7767,42.7928/@36.7767,42.7928,14z?hl=en","Maplink2")</f>
        <v>Maplink2</v>
      </c>
      <c r="AW1589" s="14" t="str">
        <f>HYPERLINK("http://www.bing.com/maps/?lvl=14&amp;sty=h&amp;cp=36.7767~42.7928&amp;sp=point.36.7767_42.7928_Zinya Kavn","Maplink3")</f>
        <v>Maplink3</v>
      </c>
    </row>
    <row r="1590" spans="1:49" ht="15" customHeight="1" x14ac:dyDescent="0.25">
      <c r="A1590" s="21">
        <v>8582</v>
      </c>
      <c r="B1590" s="22" t="s">
        <v>13</v>
      </c>
      <c r="C1590" s="22" t="s">
        <v>2990</v>
      </c>
      <c r="D1590" s="22" t="s">
        <v>3048</v>
      </c>
      <c r="E1590" s="22" t="s">
        <v>3049</v>
      </c>
      <c r="F1590" s="22">
        <v>36.787770000000002</v>
      </c>
      <c r="G1590" s="22">
        <v>42.790219999999998</v>
      </c>
      <c r="H1590" s="21" t="s">
        <v>2819</v>
      </c>
      <c r="I1590" s="21" t="s">
        <v>2993</v>
      </c>
      <c r="J1590" s="21" t="s">
        <v>3050</v>
      </c>
      <c r="K1590" s="24">
        <v>779</v>
      </c>
      <c r="L1590" s="24">
        <v>4674</v>
      </c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>
        <v>779</v>
      </c>
      <c r="Z1590" s="23"/>
      <c r="AA1590" s="23"/>
      <c r="AB1590" s="23"/>
      <c r="AC1590" s="23"/>
      <c r="AD1590" s="23"/>
      <c r="AE1590" s="23"/>
      <c r="AF1590" s="23">
        <v>34</v>
      </c>
      <c r="AG1590" s="23"/>
      <c r="AH1590" s="23">
        <v>484</v>
      </c>
      <c r="AI1590" s="23"/>
      <c r="AJ1590" s="23"/>
      <c r="AK1590" s="23">
        <v>80</v>
      </c>
      <c r="AL1590" s="23"/>
      <c r="AM1590" s="23">
        <v>181</v>
      </c>
      <c r="AN1590" s="23"/>
      <c r="AO1590" s="23"/>
      <c r="AP1590" s="23"/>
      <c r="AQ1590" s="23">
        <v>779</v>
      </c>
      <c r="AR1590" s="23"/>
      <c r="AS1590" s="23"/>
      <c r="AT1590" s="23"/>
      <c r="AU1590" s="14" t="str">
        <f>HYPERLINK("http://www.openstreetmap.org/?mlat=36.7878&amp;mlon=42.7902&amp;zoom=12#map=12/36.7878/42.7902","Maplink1")</f>
        <v>Maplink1</v>
      </c>
      <c r="AV1590" s="14" t="str">
        <f>HYPERLINK("https://www.google.iq/maps/search/+36.7878,42.7902/@36.7878,42.7902,14z?hl=en","Maplink2")</f>
        <v>Maplink2</v>
      </c>
      <c r="AW1590" s="14" t="str">
        <f>HYPERLINK("http://www.bing.com/maps/?lvl=14&amp;sty=h&amp;cp=36.7878~42.7902&amp;sp=point.36.7878_42.7902_Qasr Yazddin","Maplink3")</f>
        <v>Maplink3</v>
      </c>
    </row>
    <row r="1591" spans="1:49" ht="15" customHeight="1" x14ac:dyDescent="0.25">
      <c r="A1591" s="21">
        <v>25776</v>
      </c>
      <c r="B1591" s="22" t="s">
        <v>13</v>
      </c>
      <c r="C1591" s="22" t="s">
        <v>2990</v>
      </c>
      <c r="D1591" s="22" t="s">
        <v>8642</v>
      </c>
      <c r="E1591" s="22" t="s">
        <v>8217</v>
      </c>
      <c r="F1591" s="22">
        <v>36.862482999999997</v>
      </c>
      <c r="G1591" s="22">
        <v>42.898432999999997</v>
      </c>
      <c r="H1591" s="21" t="s">
        <v>2819</v>
      </c>
      <c r="I1591" s="21" t="s">
        <v>2993</v>
      </c>
      <c r="J1591" s="21"/>
      <c r="K1591" s="24">
        <v>204</v>
      </c>
      <c r="L1591" s="24">
        <v>1224</v>
      </c>
      <c r="M1591" s="23">
        <v>1</v>
      </c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>
        <v>202</v>
      </c>
      <c r="Z1591" s="23"/>
      <c r="AA1591" s="23">
        <v>1</v>
      </c>
      <c r="AB1591" s="23"/>
      <c r="AC1591" s="23"/>
      <c r="AD1591" s="23"/>
      <c r="AE1591" s="23"/>
      <c r="AF1591" s="23">
        <v>8</v>
      </c>
      <c r="AG1591" s="23"/>
      <c r="AH1591" s="23"/>
      <c r="AI1591" s="23"/>
      <c r="AJ1591" s="23"/>
      <c r="AK1591" s="23">
        <v>196</v>
      </c>
      <c r="AL1591" s="23"/>
      <c r="AM1591" s="23"/>
      <c r="AN1591" s="23"/>
      <c r="AO1591" s="23">
        <v>1</v>
      </c>
      <c r="AP1591" s="23">
        <v>75</v>
      </c>
      <c r="AQ1591" s="23">
        <v>128</v>
      </c>
      <c r="AR1591" s="23"/>
      <c r="AS1591" s="23"/>
      <c r="AT1591" s="23"/>
      <c r="AU1591" s="14" t="str">
        <f>HYPERLINK("http://www.openstreetmap.org/?mlat=36.8625&amp;mlon=42.8984&amp;zoom=12#map=12/36.8625/42.8984","Maplink1")</f>
        <v>Maplink1</v>
      </c>
      <c r="AV1591" s="14" t="str">
        <f>HYPERLINK("https://www.google.iq/maps/search/+36.8625,42.8984/@36.8625,42.8984,14z?hl=en","Maplink2")</f>
        <v>Maplink2</v>
      </c>
      <c r="AW1591" s="14" t="str">
        <f>HYPERLINK("http://www.bing.com/maps/?lvl=14&amp;sty=h&amp;cp=36.8625~42.8984&amp;sp=point.36.8625_42.8984_Sumel-Ramilan City","Maplink3")</f>
        <v>Maplink3</v>
      </c>
    </row>
    <row r="1592" spans="1:49" ht="15" customHeight="1" x14ac:dyDescent="0.25">
      <c r="A1592" s="21">
        <v>8366</v>
      </c>
      <c r="B1592" s="22" t="s">
        <v>13</v>
      </c>
      <c r="C1592" s="22" t="s">
        <v>2990</v>
      </c>
      <c r="D1592" s="22" t="s">
        <v>3052</v>
      </c>
      <c r="E1592" s="22" t="s">
        <v>3053</v>
      </c>
      <c r="F1592" s="22">
        <v>36.781410000000001</v>
      </c>
      <c r="G1592" s="22">
        <v>42.788870000000003</v>
      </c>
      <c r="H1592" s="21" t="s">
        <v>2819</v>
      </c>
      <c r="I1592" s="21" t="s">
        <v>2993</v>
      </c>
      <c r="J1592" s="21" t="s">
        <v>3054</v>
      </c>
      <c r="K1592" s="24">
        <v>375</v>
      </c>
      <c r="L1592" s="24">
        <v>2250</v>
      </c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>
        <v>375</v>
      </c>
      <c r="Z1592" s="23"/>
      <c r="AA1592" s="23"/>
      <c r="AB1592" s="23"/>
      <c r="AC1592" s="23"/>
      <c r="AD1592" s="23"/>
      <c r="AE1592" s="23"/>
      <c r="AF1592" s="23">
        <v>125</v>
      </c>
      <c r="AG1592" s="23"/>
      <c r="AH1592" s="23"/>
      <c r="AI1592" s="23"/>
      <c r="AJ1592" s="23"/>
      <c r="AK1592" s="23">
        <v>120</v>
      </c>
      <c r="AL1592" s="23"/>
      <c r="AM1592" s="23">
        <v>130</v>
      </c>
      <c r="AN1592" s="23"/>
      <c r="AO1592" s="23"/>
      <c r="AP1592" s="23"/>
      <c r="AQ1592" s="23">
        <v>375</v>
      </c>
      <c r="AR1592" s="23"/>
      <c r="AS1592" s="23"/>
      <c r="AT1592" s="23"/>
      <c r="AU1592" s="14" t="str">
        <f>HYPERLINK("http://www.openstreetmap.org/?mlat=36.7814&amp;mlon=42.7889&amp;zoom=12#map=12/36.7814/42.7889","Maplink1")</f>
        <v>Maplink1</v>
      </c>
      <c r="AV1592" s="14" t="str">
        <f>HYPERLINK("https://www.google.iq/maps/search/+36.7814,42.7889/@36.7814,42.7889,14z?hl=en","Maplink2")</f>
        <v>Maplink2</v>
      </c>
      <c r="AW1592" s="14" t="str">
        <f>HYPERLINK("http://www.bing.com/maps/?lvl=14&amp;sty=h&amp;cp=36.7814~42.7889&amp;sp=point.36.7814_42.7889_Ribeybi","Maplink3")</f>
        <v>Maplink3</v>
      </c>
    </row>
    <row r="1593" spans="1:49" ht="15" customHeight="1" x14ac:dyDescent="0.25">
      <c r="A1593" s="21">
        <v>24791</v>
      </c>
      <c r="B1593" s="22" t="s">
        <v>13</v>
      </c>
      <c r="C1593" s="22" t="s">
        <v>2990</v>
      </c>
      <c r="D1593" s="22" t="s">
        <v>7316</v>
      </c>
      <c r="E1593" s="22" t="s">
        <v>8001</v>
      </c>
      <c r="F1593" s="22">
        <v>37.058678999999998</v>
      </c>
      <c r="G1593" s="22">
        <v>42.619680000000002</v>
      </c>
      <c r="H1593" s="21" t="s">
        <v>2819</v>
      </c>
      <c r="I1593" s="21" t="s">
        <v>2993</v>
      </c>
      <c r="J1593" s="21"/>
      <c r="K1593" s="24">
        <v>2697</v>
      </c>
      <c r="L1593" s="24">
        <v>16182</v>
      </c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>
        <v>2697</v>
      </c>
      <c r="Z1593" s="23"/>
      <c r="AA1593" s="23"/>
      <c r="AB1593" s="23"/>
      <c r="AC1593" s="23"/>
      <c r="AD1593" s="23"/>
      <c r="AE1593" s="23">
        <v>2697</v>
      </c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>
        <v>2697</v>
      </c>
      <c r="AR1593" s="23"/>
      <c r="AS1593" s="23"/>
      <c r="AT1593" s="23"/>
      <c r="AU1593" s="14" t="str">
        <f>HYPERLINK("http://www.openstreetmap.org/?mlat=37.0528&amp;mlon=42.6173&amp;zoom=12#map=12/37.0528/42.6173","Maplink1")</f>
        <v>Maplink1</v>
      </c>
      <c r="AV1593" s="14" t="str">
        <f>HYPERLINK("https://www.google.iq/maps/search/+37.0528,42.6173/@37.0528,42.6173,14z?hl=en","Maplink2")</f>
        <v>Maplink2</v>
      </c>
      <c r="AW1593" s="14" t="str">
        <f>HYPERLINK("http://www.bing.com/maps/?lvl=14&amp;sty=h&amp;cp=37.0528~42.6173&amp;sp=point.37.0528_42.6173_Qadia Camp","Maplink3")</f>
        <v>Maplink3</v>
      </c>
    </row>
    <row r="1594" spans="1:49" ht="15" customHeight="1" x14ac:dyDescent="0.25">
      <c r="A1594" s="21">
        <v>7989</v>
      </c>
      <c r="B1594" s="22" t="s">
        <v>13</v>
      </c>
      <c r="C1594" s="22" t="s">
        <v>2990</v>
      </c>
      <c r="D1594" s="22" t="s">
        <v>3055</v>
      </c>
      <c r="E1594" s="22" t="s">
        <v>3056</v>
      </c>
      <c r="F1594" s="22">
        <v>36.909999999999997</v>
      </c>
      <c r="G1594" s="22">
        <v>42.88</v>
      </c>
      <c r="H1594" s="21" t="s">
        <v>2819</v>
      </c>
      <c r="I1594" s="21" t="s">
        <v>2993</v>
      </c>
      <c r="J1594" s="21" t="s">
        <v>3057</v>
      </c>
      <c r="K1594" s="24">
        <v>1144</v>
      </c>
      <c r="L1594" s="24">
        <v>6864</v>
      </c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>
        <v>1144</v>
      </c>
      <c r="Z1594" s="23"/>
      <c r="AA1594" s="23"/>
      <c r="AB1594" s="23"/>
      <c r="AC1594" s="23"/>
      <c r="AD1594" s="23"/>
      <c r="AE1594" s="23"/>
      <c r="AF1594" s="23">
        <v>10</v>
      </c>
      <c r="AG1594" s="23"/>
      <c r="AH1594" s="23"/>
      <c r="AI1594" s="23"/>
      <c r="AJ1594" s="23">
        <v>5</v>
      </c>
      <c r="AK1594" s="23">
        <v>198</v>
      </c>
      <c r="AL1594" s="23"/>
      <c r="AM1594" s="23">
        <v>931</v>
      </c>
      <c r="AN1594" s="23"/>
      <c r="AO1594" s="23"/>
      <c r="AP1594" s="23">
        <v>55</v>
      </c>
      <c r="AQ1594" s="23">
        <v>1089</v>
      </c>
      <c r="AR1594" s="23"/>
      <c r="AS1594" s="23"/>
      <c r="AT1594" s="23"/>
      <c r="AU1594" s="14" t="str">
        <f>HYPERLINK("http://www.openstreetmap.org/?mlat=36.91&amp;mlon=42.88&amp;zoom=12#map=12/36.91/42.88","Maplink1")</f>
        <v>Maplink1</v>
      </c>
      <c r="AV1594" s="14" t="str">
        <f>HYPERLINK("https://www.google.iq/maps/search/+36.91,42.88/@36.91,42.88,14z?hl=en","Maplink2")</f>
        <v>Maplink2</v>
      </c>
      <c r="AW1594" s="14" t="str">
        <f>HYPERLINK("http://www.bing.com/maps/?lvl=14&amp;sty=h&amp;cp=36.91~42.88&amp;sp=point.36.91_42.88_Seje","Maplink3")</f>
        <v>Maplink3</v>
      </c>
    </row>
    <row r="1595" spans="1:49" ht="15" customHeight="1" x14ac:dyDescent="0.25">
      <c r="A1595" s="21">
        <v>8336</v>
      </c>
      <c r="B1595" s="22" t="s">
        <v>13</v>
      </c>
      <c r="C1595" s="22" t="s">
        <v>2990</v>
      </c>
      <c r="D1595" s="22" t="s">
        <v>3058</v>
      </c>
      <c r="E1595" s="22" t="s">
        <v>3059</v>
      </c>
      <c r="F1595" s="22">
        <v>36.85</v>
      </c>
      <c r="G1595" s="22">
        <v>42.84</v>
      </c>
      <c r="H1595" s="21" t="s">
        <v>2819</v>
      </c>
      <c r="I1595" s="21" t="s">
        <v>2993</v>
      </c>
      <c r="J1595" s="21" t="s">
        <v>3060</v>
      </c>
      <c r="K1595" s="24">
        <v>1253</v>
      </c>
      <c r="L1595" s="24">
        <v>7518</v>
      </c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>
        <v>1253</v>
      </c>
      <c r="Z1595" s="23"/>
      <c r="AA1595" s="23"/>
      <c r="AB1595" s="23"/>
      <c r="AC1595" s="23"/>
      <c r="AD1595" s="23"/>
      <c r="AE1595" s="23"/>
      <c r="AF1595" s="23">
        <v>9</v>
      </c>
      <c r="AG1595" s="23"/>
      <c r="AH1595" s="23"/>
      <c r="AI1595" s="23"/>
      <c r="AJ1595" s="23">
        <v>16</v>
      </c>
      <c r="AK1595" s="23">
        <v>1162</v>
      </c>
      <c r="AL1595" s="23"/>
      <c r="AM1595" s="23">
        <v>66</v>
      </c>
      <c r="AN1595" s="23"/>
      <c r="AO1595" s="23"/>
      <c r="AP1595" s="23">
        <v>882</v>
      </c>
      <c r="AQ1595" s="23">
        <v>371</v>
      </c>
      <c r="AR1595" s="23"/>
      <c r="AS1595" s="23"/>
      <c r="AT1595" s="23"/>
      <c r="AU1595" s="14" t="str">
        <f>HYPERLINK("http://www.openstreetmap.org/?mlat=36.85&amp;mlon=42.84&amp;zoom=12#map=12/36.85/42.84","Maplink1")</f>
        <v>Maplink1</v>
      </c>
      <c r="AV1595" s="14" t="str">
        <f>HYPERLINK("https://www.google.iq/maps/search/+36.85,42.84/@36.85,42.84,14z?hl=en","Maplink2")</f>
        <v>Maplink2</v>
      </c>
      <c r="AW1595" s="14" t="str">
        <f>HYPERLINK("http://www.bing.com/maps/?lvl=14&amp;sty=h&amp;cp=36.85~42.84&amp;sp=point.36.85_42.84_Semel","Maplink3")</f>
        <v>Maplink3</v>
      </c>
    </row>
    <row r="1596" spans="1:49" ht="15" customHeight="1" x14ac:dyDescent="0.25">
      <c r="A1596" s="21">
        <v>8369</v>
      </c>
      <c r="B1596" s="22" t="s">
        <v>13</v>
      </c>
      <c r="C1596" s="22" t="s">
        <v>2990</v>
      </c>
      <c r="D1596" s="22" t="s">
        <v>3061</v>
      </c>
      <c r="E1596" s="22" t="s">
        <v>8002</v>
      </c>
      <c r="F1596" s="22">
        <v>36.789698999999999</v>
      </c>
      <c r="G1596" s="22">
        <v>42.971715000000003</v>
      </c>
      <c r="H1596" s="21" t="s">
        <v>2819</v>
      </c>
      <c r="I1596" s="21" t="s">
        <v>2993</v>
      </c>
      <c r="J1596" s="21" t="s">
        <v>3062</v>
      </c>
      <c r="K1596" s="24">
        <v>4456</v>
      </c>
      <c r="L1596" s="24">
        <v>26736</v>
      </c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>
        <v>4456</v>
      </c>
      <c r="Z1596" s="23"/>
      <c r="AA1596" s="23"/>
      <c r="AB1596" s="23"/>
      <c r="AC1596" s="23"/>
      <c r="AD1596" s="23"/>
      <c r="AE1596" s="23"/>
      <c r="AF1596" s="23">
        <v>267</v>
      </c>
      <c r="AG1596" s="23"/>
      <c r="AH1596" s="23">
        <v>905</v>
      </c>
      <c r="AI1596" s="23"/>
      <c r="AJ1596" s="23"/>
      <c r="AK1596" s="23">
        <v>586</v>
      </c>
      <c r="AL1596" s="23"/>
      <c r="AM1596" s="23">
        <v>2698</v>
      </c>
      <c r="AN1596" s="23"/>
      <c r="AO1596" s="23"/>
      <c r="AP1596" s="23"/>
      <c r="AQ1596" s="23">
        <v>4456</v>
      </c>
      <c r="AR1596" s="23"/>
      <c r="AS1596" s="23"/>
      <c r="AT1596" s="23"/>
      <c r="AU1596" s="14" t="str">
        <f>HYPERLINK("http://www.openstreetmap.org/?mlat=36.7897&amp;mlon=42.9717&amp;zoom=12#map=12/36.7897/42.9717","Maplink1")</f>
        <v>Maplink1</v>
      </c>
      <c r="AV1596" s="14" t="str">
        <f>HYPERLINK("https://www.google.iq/maps/search/+36.7897,42.9717/@36.7897,42.9717,14z?hl=en","Maplink2")</f>
        <v>Maplink2</v>
      </c>
      <c r="AW1596" s="14" t="str">
        <f>HYPERLINK("http://www.bing.com/maps/?lvl=14&amp;sty=h&amp;cp=36.7897~42.9717&amp;sp=point.36.7897_42.9717_Shariya","Maplink3")</f>
        <v>Maplink3</v>
      </c>
    </row>
    <row r="1597" spans="1:49" ht="15" customHeight="1" x14ac:dyDescent="0.25">
      <c r="A1597" s="21">
        <v>24827</v>
      </c>
      <c r="B1597" s="22" t="s">
        <v>13</v>
      </c>
      <c r="C1597" s="22" t="s">
        <v>2990</v>
      </c>
      <c r="D1597" s="22" t="s">
        <v>3063</v>
      </c>
      <c r="E1597" s="22" t="s">
        <v>3064</v>
      </c>
      <c r="F1597" s="22">
        <v>36.798245000000001</v>
      </c>
      <c r="G1597" s="22">
        <v>42.963887</v>
      </c>
      <c r="H1597" s="21" t="s">
        <v>2819</v>
      </c>
      <c r="I1597" s="21" t="s">
        <v>2993</v>
      </c>
      <c r="J1597" s="21"/>
      <c r="K1597" s="24">
        <v>3183</v>
      </c>
      <c r="L1597" s="24">
        <v>19098</v>
      </c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>
        <v>3183</v>
      </c>
      <c r="Z1597" s="23"/>
      <c r="AA1597" s="23"/>
      <c r="AB1597" s="23"/>
      <c r="AC1597" s="23"/>
      <c r="AD1597" s="23"/>
      <c r="AE1597" s="23">
        <v>3183</v>
      </c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>
        <v>3183</v>
      </c>
      <c r="AR1597" s="23"/>
      <c r="AS1597" s="23"/>
      <c r="AT1597" s="23"/>
      <c r="AU1597" s="14" t="str">
        <f>HYPERLINK("http://www.openstreetmap.org/?mlat=36.7982&amp;mlon=42.9639&amp;zoom=12#map=12/36.7982/42.9639","Maplink1")</f>
        <v>Maplink1</v>
      </c>
      <c r="AV1597" s="14" t="str">
        <f>HYPERLINK("https://www.google.iq/maps/search/+36.7982,42.9639/@36.7982,42.9639,14z?hl=en","Maplink2")</f>
        <v>Maplink2</v>
      </c>
      <c r="AW1597" s="14" t="str">
        <f>HYPERLINK("http://www.bing.com/maps/?lvl=14&amp;sty=h&amp;cp=36.7982~42.9639&amp;sp=point.36.7982_42.9639_Shariya Camp","Maplink3")</f>
        <v>Maplink3</v>
      </c>
    </row>
    <row r="1598" spans="1:49" ht="15" customHeight="1" x14ac:dyDescent="0.25">
      <c r="A1598" s="21">
        <v>27122</v>
      </c>
      <c r="B1598" s="22" t="s">
        <v>13</v>
      </c>
      <c r="C1598" s="22" t="s">
        <v>2990</v>
      </c>
      <c r="D1598" s="22" t="s">
        <v>3065</v>
      </c>
      <c r="E1598" s="22" t="s">
        <v>3066</v>
      </c>
      <c r="F1598" s="22">
        <v>36.784280000000003</v>
      </c>
      <c r="G1598" s="22">
        <v>42.79027</v>
      </c>
      <c r="H1598" s="21" t="s">
        <v>2819</v>
      </c>
      <c r="I1598" s="21" t="s">
        <v>2993</v>
      </c>
      <c r="J1598" s="21"/>
      <c r="K1598" s="24">
        <v>210</v>
      </c>
      <c r="L1598" s="24">
        <v>1260</v>
      </c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>
        <v>210</v>
      </c>
      <c r="Z1598" s="23"/>
      <c r="AA1598" s="23"/>
      <c r="AB1598" s="23"/>
      <c r="AC1598" s="23"/>
      <c r="AD1598" s="23"/>
      <c r="AE1598" s="23"/>
      <c r="AF1598" s="23">
        <v>40</v>
      </c>
      <c r="AG1598" s="23"/>
      <c r="AH1598" s="23"/>
      <c r="AI1598" s="23"/>
      <c r="AJ1598" s="23"/>
      <c r="AK1598" s="23">
        <v>68</v>
      </c>
      <c r="AL1598" s="23"/>
      <c r="AM1598" s="23">
        <v>102</v>
      </c>
      <c r="AN1598" s="23"/>
      <c r="AO1598" s="23"/>
      <c r="AP1598" s="23"/>
      <c r="AQ1598" s="23">
        <v>210</v>
      </c>
      <c r="AR1598" s="23"/>
      <c r="AS1598" s="23"/>
      <c r="AT1598" s="23"/>
      <c r="AU1598" s="14" t="str">
        <f>HYPERLINK("http://www.openstreetmap.org/?mlat=36.7843&amp;mlon=42.7903&amp;zoom=12#map=12/36.7843/42.7903","Maplink1")</f>
        <v>Maplink1</v>
      </c>
      <c r="AV1598" s="14" t="str">
        <f>HYPERLINK("https://www.google.iq/maps/search/+36.7843,42.7903/@36.7843,42.7903,14z?hl=en","Maplink2")</f>
        <v>Maplink2</v>
      </c>
      <c r="AW1598" s="14" t="str">
        <f>HYPERLINK("http://www.bing.com/maps/?lvl=14&amp;sty=h&amp;cp=36.7843~42.7903&amp;sp=point.36.7843_42.7903_Shorash","Maplink3")</f>
        <v>Maplink3</v>
      </c>
    </row>
    <row r="1599" spans="1:49" ht="15" customHeight="1" x14ac:dyDescent="0.25">
      <c r="A1599" s="21">
        <v>27129</v>
      </c>
      <c r="B1599" s="22" t="s">
        <v>13</v>
      </c>
      <c r="C1599" s="22" t="s">
        <v>2990</v>
      </c>
      <c r="D1599" s="22" t="s">
        <v>8643</v>
      </c>
      <c r="E1599" s="22" t="s">
        <v>3040</v>
      </c>
      <c r="F1599" s="22">
        <v>36.779870000000003</v>
      </c>
      <c r="G1599" s="22">
        <v>42.786270000000002</v>
      </c>
      <c r="H1599" s="21" t="s">
        <v>2819</v>
      </c>
      <c r="I1599" s="21" t="s">
        <v>2993</v>
      </c>
      <c r="J1599" s="21"/>
      <c r="K1599" s="24">
        <v>105</v>
      </c>
      <c r="L1599" s="24">
        <v>630</v>
      </c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>
        <v>105</v>
      </c>
      <c r="Z1599" s="23"/>
      <c r="AA1599" s="23"/>
      <c r="AB1599" s="23"/>
      <c r="AC1599" s="23"/>
      <c r="AD1599" s="23"/>
      <c r="AE1599" s="23"/>
      <c r="AF1599" s="23">
        <v>24</v>
      </c>
      <c r="AG1599" s="23"/>
      <c r="AH1599" s="23">
        <v>20</v>
      </c>
      <c r="AI1599" s="23"/>
      <c r="AJ1599" s="23">
        <v>13</v>
      </c>
      <c r="AK1599" s="23"/>
      <c r="AL1599" s="23"/>
      <c r="AM1599" s="23">
        <v>48</v>
      </c>
      <c r="AN1599" s="23"/>
      <c r="AO1599" s="23"/>
      <c r="AP1599" s="23"/>
      <c r="AQ1599" s="23">
        <v>105</v>
      </c>
      <c r="AR1599" s="23"/>
      <c r="AS1599" s="23"/>
      <c r="AT1599" s="23"/>
      <c r="AU1599" s="14" t="str">
        <f>HYPERLINK("http://www.openstreetmap.org/?mlat=36.7799&amp;mlon=42.7863&amp;zoom=12#map=12/36.7799/42.7863","Maplink1")</f>
        <v>Maplink1</v>
      </c>
      <c r="AV1599" s="14" t="str">
        <f>HYPERLINK("https://www.google.iq/maps/search/+36.7799,42.7863/@36.7799,42.7863,14z?hl=en","Maplink2")</f>
        <v>Maplink2</v>
      </c>
      <c r="AW1599" s="14" t="str">
        <f>HYPERLINK("http://www.bing.com/maps/?lvl=14&amp;sty=h&amp;cp=36.7799~42.7863&amp;sp=point.36.7799_42.7863_Mam Shvana Saghira","Maplink3")</f>
        <v>Maplink3</v>
      </c>
    </row>
    <row r="1600" spans="1:49" ht="15" customHeight="1" x14ac:dyDescent="0.25">
      <c r="A1600" s="21">
        <v>8476</v>
      </c>
      <c r="B1600" s="22" t="s">
        <v>13</v>
      </c>
      <c r="C1600" s="22" t="s">
        <v>2990</v>
      </c>
      <c r="D1600" s="22" t="s">
        <v>3067</v>
      </c>
      <c r="E1600" s="22" t="s">
        <v>3068</v>
      </c>
      <c r="F1600" s="22">
        <v>37.003028</v>
      </c>
      <c r="G1600" s="22">
        <v>42.485129999999998</v>
      </c>
      <c r="H1600" s="21" t="s">
        <v>2819</v>
      </c>
      <c r="I1600" s="21" t="s">
        <v>2993</v>
      </c>
      <c r="J1600" s="21" t="s">
        <v>3069</v>
      </c>
      <c r="K1600" s="24">
        <v>318</v>
      </c>
      <c r="L1600" s="24">
        <v>1908</v>
      </c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>
        <v>318</v>
      </c>
      <c r="Z1600" s="23"/>
      <c r="AA1600" s="23"/>
      <c r="AB1600" s="23"/>
      <c r="AC1600" s="23"/>
      <c r="AD1600" s="23"/>
      <c r="AE1600" s="23"/>
      <c r="AF1600" s="23">
        <v>184</v>
      </c>
      <c r="AG1600" s="23"/>
      <c r="AH1600" s="23">
        <v>63</v>
      </c>
      <c r="AI1600" s="23"/>
      <c r="AJ1600" s="23"/>
      <c r="AK1600" s="23">
        <v>18</v>
      </c>
      <c r="AL1600" s="23"/>
      <c r="AM1600" s="23">
        <v>53</v>
      </c>
      <c r="AN1600" s="23"/>
      <c r="AO1600" s="23"/>
      <c r="AP1600" s="23"/>
      <c r="AQ1600" s="23">
        <v>313</v>
      </c>
      <c r="AR1600" s="23"/>
      <c r="AS1600" s="23">
        <v>5</v>
      </c>
      <c r="AT1600" s="23"/>
      <c r="AU1600" s="14" t="str">
        <f>HYPERLINK("http://www.openstreetmap.org/?mlat=37.003&amp;mlon=42.4851&amp;zoom=12#map=12/37.003/42.4851","Maplink1")</f>
        <v>Maplink1</v>
      </c>
      <c r="AV1600" s="14" t="str">
        <f>HYPERLINK("https://www.google.iq/maps/search/+37.003,42.4851/@37.003,42.4851,14z?hl=en","Maplink2")</f>
        <v>Maplink2</v>
      </c>
      <c r="AW1600" s="14" t="str">
        <f>HYPERLINK("http://www.bing.com/maps/?lvl=14&amp;sty=h&amp;cp=37.003~42.4851&amp;sp=point.37.003_42.4851_Soriya","Maplink3")</f>
        <v>Maplink3</v>
      </c>
    </row>
    <row r="1601" spans="1:49" ht="15" customHeight="1" x14ac:dyDescent="0.25">
      <c r="A1601" s="21">
        <v>24596</v>
      </c>
      <c r="B1601" s="22" t="s">
        <v>13</v>
      </c>
      <c r="C1601" s="22" t="s">
        <v>2990</v>
      </c>
      <c r="D1601" s="22" t="s">
        <v>3071</v>
      </c>
      <c r="E1601" s="22" t="s">
        <v>3072</v>
      </c>
      <c r="F1601" s="22">
        <v>36.808473999999997</v>
      </c>
      <c r="G1601" s="22">
        <v>42.922545999999997</v>
      </c>
      <c r="H1601" s="21" t="s">
        <v>2819</v>
      </c>
      <c r="I1601" s="21" t="s">
        <v>2993</v>
      </c>
      <c r="J1601" s="21"/>
      <c r="K1601" s="24">
        <v>173</v>
      </c>
      <c r="L1601" s="24">
        <v>1038</v>
      </c>
      <c r="M1601" s="23">
        <v>3</v>
      </c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>
        <v>168</v>
      </c>
      <c r="Z1601" s="23"/>
      <c r="AA1601" s="23">
        <v>2</v>
      </c>
      <c r="AB1601" s="23"/>
      <c r="AC1601" s="23"/>
      <c r="AD1601" s="23"/>
      <c r="AE1601" s="23"/>
      <c r="AF1601" s="23">
        <v>3</v>
      </c>
      <c r="AG1601" s="23"/>
      <c r="AH1601" s="23"/>
      <c r="AI1601" s="23"/>
      <c r="AJ1601" s="23"/>
      <c r="AK1601" s="23">
        <v>155</v>
      </c>
      <c r="AL1601" s="23"/>
      <c r="AM1601" s="23">
        <v>15</v>
      </c>
      <c r="AN1601" s="23"/>
      <c r="AO1601" s="23">
        <v>3</v>
      </c>
      <c r="AP1601" s="23">
        <v>77</v>
      </c>
      <c r="AQ1601" s="23">
        <v>93</v>
      </c>
      <c r="AR1601" s="23"/>
      <c r="AS1601" s="23"/>
      <c r="AT1601" s="23"/>
      <c r="AU1601" s="14" t="str">
        <f>HYPERLINK("http://www.openstreetmap.org/?mlat=36.8085&amp;mlon=42.9225&amp;zoom=12#map=12/36.8085/42.9225","Maplink1")</f>
        <v>Maplink1</v>
      </c>
      <c r="AV1601" s="14" t="str">
        <f>HYPERLINK("https://www.google.iq/maps/search/+36.8085,42.9225/@36.8085,42.9225,14z?hl=en","Maplink2")</f>
        <v>Maplink2</v>
      </c>
      <c r="AW1601" s="14" t="str">
        <f>HYPERLINK("http://www.bing.com/maps/?lvl=14&amp;sty=h&amp;cp=36.8085~42.9225&amp;sp=point.36.8085_42.9225_Tanahi","Maplink3")</f>
        <v>Maplink3</v>
      </c>
    </row>
    <row r="1602" spans="1:49" ht="15" customHeight="1" x14ac:dyDescent="0.25">
      <c r="A1602" s="21">
        <v>25623</v>
      </c>
      <c r="B1602" s="22" t="s">
        <v>13</v>
      </c>
      <c r="C1602" s="22" t="s">
        <v>2990</v>
      </c>
      <c r="D1602" s="22" t="s">
        <v>8644</v>
      </c>
      <c r="E1602" s="22" t="s">
        <v>3016</v>
      </c>
      <c r="F1602" s="22">
        <v>36.802999999999997</v>
      </c>
      <c r="G1602" s="22">
        <v>42.9131</v>
      </c>
      <c r="H1602" s="21" t="s">
        <v>2819</v>
      </c>
      <c r="I1602" s="21" t="s">
        <v>2993</v>
      </c>
      <c r="J1602" s="21"/>
      <c r="K1602" s="24">
        <v>372</v>
      </c>
      <c r="L1602" s="24">
        <v>2232</v>
      </c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>
        <v>352</v>
      </c>
      <c r="Z1602" s="23"/>
      <c r="AA1602" s="23">
        <v>20</v>
      </c>
      <c r="AB1602" s="23"/>
      <c r="AC1602" s="23"/>
      <c r="AD1602" s="23"/>
      <c r="AE1602" s="23"/>
      <c r="AF1602" s="23">
        <v>15</v>
      </c>
      <c r="AG1602" s="23"/>
      <c r="AH1602" s="23"/>
      <c r="AI1602" s="23"/>
      <c r="AJ1602" s="23"/>
      <c r="AK1602" s="23">
        <v>341</v>
      </c>
      <c r="AL1602" s="23"/>
      <c r="AM1602" s="23">
        <v>16</v>
      </c>
      <c r="AN1602" s="23"/>
      <c r="AO1602" s="23"/>
      <c r="AP1602" s="23">
        <v>191</v>
      </c>
      <c r="AQ1602" s="23">
        <v>181</v>
      </c>
      <c r="AR1602" s="23"/>
      <c r="AS1602" s="23"/>
      <c r="AT1602" s="23"/>
      <c r="AU1602" s="14" t="str">
        <f>HYPERLINK("http://www.openstreetmap.org/?mlat=36.803&amp;mlon=42.9131&amp;zoom=12#map=12/36.803/42.9131","Maplink1")</f>
        <v>Maplink1</v>
      </c>
      <c r="AV1602" s="14" t="str">
        <f>HYPERLINK("https://www.google.iq/maps/search/+36.803,42.9131/@36.803,42.9131,14z?hl=en","Maplink2")</f>
        <v>Maplink2</v>
      </c>
      <c r="AW1602" s="14" t="str">
        <f>HYPERLINK("http://www.bing.com/maps/?lvl=14&amp;sty=h&amp;cp=36.803~42.9131&amp;sp=point.36.803_42.9131_Fayida-Waarvin city","Maplink3")</f>
        <v>Maplink3</v>
      </c>
    </row>
    <row r="1603" spans="1:49" ht="15" customHeight="1" x14ac:dyDescent="0.25">
      <c r="A1603" s="21">
        <v>23645</v>
      </c>
      <c r="B1603" s="22" t="s">
        <v>13</v>
      </c>
      <c r="C1603" s="22" t="s">
        <v>2990</v>
      </c>
      <c r="D1603" s="22" t="s">
        <v>3073</v>
      </c>
      <c r="E1603" s="22" t="s">
        <v>3074</v>
      </c>
      <c r="F1603" s="22">
        <v>36.777999999999999</v>
      </c>
      <c r="G1603" s="22">
        <v>42.913499999999999</v>
      </c>
      <c r="H1603" s="21" t="s">
        <v>2819</v>
      </c>
      <c r="I1603" s="21" t="s">
        <v>2993</v>
      </c>
      <c r="J1603" s="21" t="s">
        <v>3075</v>
      </c>
      <c r="K1603" s="24">
        <v>240</v>
      </c>
      <c r="L1603" s="24">
        <v>1440</v>
      </c>
      <c r="M1603" s="23">
        <v>22</v>
      </c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>
        <v>218</v>
      </c>
      <c r="Z1603" s="23"/>
      <c r="AA1603" s="23"/>
      <c r="AB1603" s="23"/>
      <c r="AC1603" s="23"/>
      <c r="AD1603" s="23"/>
      <c r="AE1603" s="23"/>
      <c r="AF1603" s="23">
        <v>18</v>
      </c>
      <c r="AG1603" s="23"/>
      <c r="AH1603" s="23"/>
      <c r="AI1603" s="23"/>
      <c r="AJ1603" s="23"/>
      <c r="AK1603" s="23">
        <v>222</v>
      </c>
      <c r="AL1603" s="23"/>
      <c r="AM1603" s="23"/>
      <c r="AN1603" s="23"/>
      <c r="AO1603" s="23">
        <v>22</v>
      </c>
      <c r="AP1603" s="23">
        <v>158</v>
      </c>
      <c r="AQ1603" s="23">
        <v>60</v>
      </c>
      <c r="AR1603" s="23"/>
      <c r="AS1603" s="23"/>
      <c r="AT1603" s="23"/>
      <c r="AU1603" s="14" t="str">
        <f>HYPERLINK("http://www.openstreetmap.org/?mlat=36.778&amp;mlon=42.9135&amp;zoom=12#map=12/36.778/42.9135","Maplink1")</f>
        <v>Maplink1</v>
      </c>
      <c r="AV1603" s="14" t="str">
        <f>HYPERLINK("https://www.google.iq/maps/search/+36.778,42.9135/@36.778,42.9135,14z?hl=en","Maplink2")</f>
        <v>Maplink2</v>
      </c>
      <c r="AW1603" s="14" t="str">
        <f>HYPERLINK("http://www.bing.com/maps/?lvl=14&amp;sty=h&amp;cp=36.778~42.9135&amp;sp=point.36.778_42.9135_War City","Maplink3")</f>
        <v>Maplink3</v>
      </c>
    </row>
    <row r="1604" spans="1:49" ht="15" customHeight="1" x14ac:dyDescent="0.25">
      <c r="A1604" s="21">
        <v>8103</v>
      </c>
      <c r="B1604" s="22" t="s">
        <v>13</v>
      </c>
      <c r="C1604" s="22" t="s">
        <v>3078</v>
      </c>
      <c r="D1604" s="22" t="s">
        <v>3079</v>
      </c>
      <c r="E1604" s="22" t="s">
        <v>3080</v>
      </c>
      <c r="F1604" s="22">
        <v>37.130000000000003</v>
      </c>
      <c r="G1604" s="22">
        <v>42.7</v>
      </c>
      <c r="H1604" s="21" t="s">
        <v>2819</v>
      </c>
      <c r="I1604" s="21" t="s">
        <v>3081</v>
      </c>
      <c r="J1604" s="21" t="s">
        <v>3082</v>
      </c>
      <c r="K1604" s="24">
        <v>2580</v>
      </c>
      <c r="L1604" s="24">
        <v>15480</v>
      </c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>
        <v>2580</v>
      </c>
      <c r="Z1604" s="23"/>
      <c r="AA1604" s="23"/>
      <c r="AB1604" s="23"/>
      <c r="AC1604" s="23"/>
      <c r="AD1604" s="23"/>
      <c r="AE1604" s="23"/>
      <c r="AF1604" s="23">
        <v>42</v>
      </c>
      <c r="AG1604" s="23"/>
      <c r="AH1604" s="23"/>
      <c r="AI1604" s="23"/>
      <c r="AJ1604" s="23"/>
      <c r="AK1604" s="23">
        <v>2332</v>
      </c>
      <c r="AL1604" s="23"/>
      <c r="AM1604" s="23">
        <v>206</v>
      </c>
      <c r="AN1604" s="23"/>
      <c r="AO1604" s="23"/>
      <c r="AP1604" s="23">
        <v>984</v>
      </c>
      <c r="AQ1604" s="23">
        <v>1586</v>
      </c>
      <c r="AR1604" s="23"/>
      <c r="AS1604" s="23">
        <v>10</v>
      </c>
      <c r="AT1604" s="23"/>
      <c r="AU1604" s="14" t="str">
        <f>HYPERLINK("http://www.openstreetmap.org/?mlat=37.13&amp;mlon=42.7&amp;zoom=12#map=12/37.13/42.7","Maplink1")</f>
        <v>Maplink1</v>
      </c>
      <c r="AV1604" s="14" t="str">
        <f>HYPERLINK("https://www.google.iq/maps/search/+37.13,42.7/@37.13,42.7,14z?hl=en","Maplink2")</f>
        <v>Maplink2</v>
      </c>
      <c r="AW1604" s="14" t="str">
        <f>HYPERLINK("http://www.bing.com/maps/?lvl=14&amp;sty=h&amp;cp=37.13~42.7&amp;sp=point.37.13_42.7_Abbasiya","Maplink3")</f>
        <v>Maplink3</v>
      </c>
    </row>
    <row r="1605" spans="1:49" ht="15" customHeight="1" x14ac:dyDescent="0.25">
      <c r="A1605" s="21">
        <v>8119</v>
      </c>
      <c r="B1605" s="22" t="s">
        <v>13</v>
      </c>
      <c r="C1605" s="22" t="s">
        <v>3078</v>
      </c>
      <c r="D1605" s="22" t="s">
        <v>3083</v>
      </c>
      <c r="E1605" s="22" t="s">
        <v>3084</v>
      </c>
      <c r="F1605" s="22">
        <v>37.135187999999999</v>
      </c>
      <c r="G1605" s="22">
        <v>42.655461000000003</v>
      </c>
      <c r="H1605" s="21" t="s">
        <v>2819</v>
      </c>
      <c r="I1605" s="21" t="s">
        <v>3081</v>
      </c>
      <c r="J1605" s="21" t="s">
        <v>3085</v>
      </c>
      <c r="K1605" s="24">
        <v>20</v>
      </c>
      <c r="L1605" s="24">
        <v>120</v>
      </c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>
        <v>20</v>
      </c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>
        <v>20</v>
      </c>
      <c r="AL1605" s="23"/>
      <c r="AM1605" s="23"/>
      <c r="AN1605" s="23"/>
      <c r="AO1605" s="23"/>
      <c r="AP1605" s="23"/>
      <c r="AQ1605" s="23">
        <v>20</v>
      </c>
      <c r="AR1605" s="23"/>
      <c r="AS1605" s="23"/>
      <c r="AT1605" s="23"/>
      <c r="AU1605" s="14" t="str">
        <f>HYPERLINK("http://www.openstreetmap.org/?mlat=37.1352&amp;mlon=42.6555&amp;zoom=12#map=12/37.1352/42.6555","Maplink1")</f>
        <v>Maplink1</v>
      </c>
      <c r="AV1605" s="14" t="str">
        <f>HYPERLINK("https://www.google.iq/maps/search/+37.1352,42.6555/@37.1352,42.6555,14z?hl=en","Maplink2")</f>
        <v>Maplink2</v>
      </c>
      <c r="AW1605" s="14" t="str">
        <f>HYPERLINK("http://www.bing.com/maps/?lvl=14&amp;sty=h&amp;cp=37.1352~42.6555&amp;sp=point.37.1352_42.6555_Afirma","Maplink3")</f>
        <v>Maplink3</v>
      </c>
    </row>
    <row r="1606" spans="1:49" ht="15" customHeight="1" x14ac:dyDescent="0.25">
      <c r="A1606" s="21">
        <v>24130</v>
      </c>
      <c r="B1606" s="22" t="s">
        <v>13</v>
      </c>
      <c r="C1606" s="22" t="s">
        <v>3078</v>
      </c>
      <c r="D1606" s="22" t="s">
        <v>3086</v>
      </c>
      <c r="E1606" s="22" t="s">
        <v>3087</v>
      </c>
      <c r="F1606" s="22">
        <v>37.083500000000001</v>
      </c>
      <c r="G1606" s="22">
        <v>42.411499999999997</v>
      </c>
      <c r="H1606" s="21" t="s">
        <v>2819</v>
      </c>
      <c r="I1606" s="21" t="s">
        <v>3081</v>
      </c>
      <c r="J1606" s="21" t="s">
        <v>3088</v>
      </c>
      <c r="K1606" s="24">
        <v>145</v>
      </c>
      <c r="L1606" s="24">
        <v>870</v>
      </c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>
        <v>145</v>
      </c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>
        <v>133</v>
      </c>
      <c r="AL1606" s="23"/>
      <c r="AM1606" s="23">
        <v>12</v>
      </c>
      <c r="AN1606" s="23"/>
      <c r="AO1606" s="23"/>
      <c r="AP1606" s="23">
        <v>93</v>
      </c>
      <c r="AQ1606" s="23">
        <v>52</v>
      </c>
      <c r="AR1606" s="23"/>
      <c r="AS1606" s="23"/>
      <c r="AT1606" s="23"/>
      <c r="AU1606" s="14" t="str">
        <f>HYPERLINK("http://www.openstreetmap.org/?mlat=37.0835&amp;mlon=42.4115&amp;zoom=12#map=12/37.0835/42.4115","Maplink1")</f>
        <v>Maplink1</v>
      </c>
      <c r="AV1606" s="14" t="str">
        <f>HYPERLINK("https://www.google.iq/maps/search/+37.0835,42.4115/@37.0835,42.4115,14z?hl=en","Maplink2")</f>
        <v>Maplink2</v>
      </c>
      <c r="AW1606" s="14" t="str">
        <f>HYPERLINK("http://www.bing.com/maps/?lvl=14&amp;sty=h&amp;cp=37.0835~42.4115&amp;sp=point.37.0835_42.4115_Barzan","Maplink3")</f>
        <v>Maplink3</v>
      </c>
    </row>
    <row r="1607" spans="1:49" ht="15" customHeight="1" x14ac:dyDescent="0.25">
      <c r="A1607" s="21">
        <v>8849</v>
      </c>
      <c r="B1607" s="22" t="s">
        <v>13</v>
      </c>
      <c r="C1607" s="22" t="s">
        <v>3078</v>
      </c>
      <c r="D1607" s="22" t="s">
        <v>3089</v>
      </c>
      <c r="E1607" s="22" t="s">
        <v>3090</v>
      </c>
      <c r="F1607" s="22">
        <v>37.173099999999998</v>
      </c>
      <c r="G1607" s="22">
        <v>43.014099999999999</v>
      </c>
      <c r="H1607" s="21" t="s">
        <v>2819</v>
      </c>
      <c r="I1607" s="21" t="s">
        <v>3081</v>
      </c>
      <c r="J1607" s="21" t="s">
        <v>3091</v>
      </c>
      <c r="K1607" s="24">
        <v>483</v>
      </c>
      <c r="L1607" s="24">
        <v>2898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>
        <v>483</v>
      </c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>
        <v>200</v>
      </c>
      <c r="AL1607" s="23"/>
      <c r="AM1607" s="23">
        <v>283</v>
      </c>
      <c r="AN1607" s="23"/>
      <c r="AO1607" s="23"/>
      <c r="AP1607" s="23"/>
      <c r="AQ1607" s="23">
        <v>456</v>
      </c>
      <c r="AR1607" s="23"/>
      <c r="AS1607" s="23">
        <v>27</v>
      </c>
      <c r="AT1607" s="23"/>
      <c r="AU1607" s="14" t="str">
        <f>HYPERLINK("http://www.openstreetmap.org/?mlat=37.1731&amp;mlon=43.0141&amp;zoom=12#map=12/37.1731/43.0141","Maplink1")</f>
        <v>Maplink1</v>
      </c>
      <c r="AV1607" s="14" t="str">
        <f>HYPERLINK("https://www.google.iq/maps/search/+37.1731,43.0141/@37.1731,43.0141,14z?hl=en","Maplink2")</f>
        <v>Maplink2</v>
      </c>
      <c r="AW1607" s="14" t="str">
        <f>HYPERLINK("http://www.bing.com/maps/?lvl=14&amp;sty=h&amp;cp=37.1731~43.0141&amp;sp=point.37.1731_43.0141_Batifa","Maplink3")</f>
        <v>Maplink3</v>
      </c>
    </row>
    <row r="1608" spans="1:49" ht="15" customHeight="1" x14ac:dyDescent="0.25">
      <c r="A1608" s="21">
        <v>8093</v>
      </c>
      <c r="B1608" s="22" t="s">
        <v>13</v>
      </c>
      <c r="C1608" s="22" t="s">
        <v>3078</v>
      </c>
      <c r="D1608" s="22" t="s">
        <v>3092</v>
      </c>
      <c r="E1608" s="22" t="s">
        <v>3093</v>
      </c>
      <c r="F1608" s="22">
        <v>37.0837</v>
      </c>
      <c r="G1608" s="22">
        <v>42.392099999999999</v>
      </c>
      <c r="H1608" s="21" t="s">
        <v>2819</v>
      </c>
      <c r="I1608" s="21" t="s">
        <v>3081</v>
      </c>
      <c r="J1608" s="21" t="s">
        <v>3094</v>
      </c>
      <c r="K1608" s="24">
        <v>131</v>
      </c>
      <c r="L1608" s="24">
        <v>786</v>
      </c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>
        <v>131</v>
      </c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>
        <v>61</v>
      </c>
      <c r="AL1608" s="23"/>
      <c r="AM1608" s="23">
        <v>70</v>
      </c>
      <c r="AN1608" s="23"/>
      <c r="AO1608" s="23"/>
      <c r="AP1608" s="23">
        <v>30</v>
      </c>
      <c r="AQ1608" s="23">
        <v>101</v>
      </c>
      <c r="AR1608" s="23"/>
      <c r="AS1608" s="23"/>
      <c r="AT1608" s="23"/>
      <c r="AU1608" s="14" t="str">
        <f>HYPERLINK("http://www.openstreetmap.org/?mlat=37.0837&amp;mlon=42.3921&amp;zoom=12#map=12/37.0837/42.3921","Maplink1")</f>
        <v>Maplink1</v>
      </c>
      <c r="AV1608" s="14" t="str">
        <f>HYPERLINK("https://www.google.iq/maps/search/+37.0837,42.3921/@37.0837,42.3921,14z?hl=en","Maplink2")</f>
        <v>Maplink2</v>
      </c>
      <c r="AW1608" s="14" t="str">
        <f>HYPERLINK("http://www.bing.com/maps/?lvl=14&amp;sty=h&amp;cp=37.0837~42.3921&amp;sp=point.37.0837_42.3921_Bedar","Maplink3")</f>
        <v>Maplink3</v>
      </c>
    </row>
    <row r="1609" spans="1:49" ht="15" customHeight="1" x14ac:dyDescent="0.25">
      <c r="A1609" s="21">
        <v>24789</v>
      </c>
      <c r="B1609" s="22" t="s">
        <v>13</v>
      </c>
      <c r="C1609" s="22" t="s">
        <v>3078</v>
      </c>
      <c r="D1609" s="22" t="s">
        <v>3095</v>
      </c>
      <c r="E1609" s="22" t="s">
        <v>8003</v>
      </c>
      <c r="F1609" s="22">
        <v>37.180900000000001</v>
      </c>
      <c r="G1609" s="22">
        <v>42.853900000000003</v>
      </c>
      <c r="H1609" s="21" t="s">
        <v>2819</v>
      </c>
      <c r="I1609" s="21" t="s">
        <v>3081</v>
      </c>
      <c r="J1609" s="21"/>
      <c r="K1609" s="24">
        <v>1882</v>
      </c>
      <c r="L1609" s="24">
        <v>11292</v>
      </c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>
        <v>1882</v>
      </c>
      <c r="Z1609" s="23"/>
      <c r="AA1609" s="23"/>
      <c r="AB1609" s="23"/>
      <c r="AC1609" s="23"/>
      <c r="AD1609" s="23"/>
      <c r="AE1609" s="23">
        <v>1882</v>
      </c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>
        <v>180</v>
      </c>
      <c r="AQ1609" s="23">
        <v>1686</v>
      </c>
      <c r="AR1609" s="23"/>
      <c r="AS1609" s="23">
        <v>16</v>
      </c>
      <c r="AT1609" s="23"/>
      <c r="AU1609" s="14" t="str">
        <f>HYPERLINK("http://www.openstreetmap.org/?mlat=37.1809&amp;mlon=42.8539&amp;zoom=12#map=12/37.1809/42.8539","Maplink1")</f>
        <v>Maplink1</v>
      </c>
      <c r="AV1609" s="14" t="str">
        <f>HYPERLINK("https://www.google.iq/maps/search/+37.1809,42.8539/@37.1809,42.8539,14z?hl=en","Maplink2")</f>
        <v>Maplink2</v>
      </c>
      <c r="AW1609" s="14" t="str">
        <f>HYPERLINK("http://www.bing.com/maps/?lvl=14&amp;sty=h&amp;cp=37.1809~42.8539&amp;sp=point.37.1809_42.8539_Bersive 1 Camp","Maplink3")</f>
        <v>Maplink3</v>
      </c>
    </row>
    <row r="1610" spans="1:49" ht="15" customHeight="1" x14ac:dyDescent="0.25">
      <c r="A1610" s="21">
        <v>24792</v>
      </c>
      <c r="B1610" s="22" t="s">
        <v>13</v>
      </c>
      <c r="C1610" s="22" t="s">
        <v>3078</v>
      </c>
      <c r="D1610" s="22" t="s">
        <v>3096</v>
      </c>
      <c r="E1610" s="22" t="s">
        <v>8004</v>
      </c>
      <c r="F1610" s="22">
        <v>37.179400000000001</v>
      </c>
      <c r="G1610" s="22">
        <v>42.862200000000001</v>
      </c>
      <c r="H1610" s="21" t="s">
        <v>2819</v>
      </c>
      <c r="I1610" s="21" t="s">
        <v>3081</v>
      </c>
      <c r="J1610" s="21"/>
      <c r="K1610" s="24">
        <v>1657</v>
      </c>
      <c r="L1610" s="24">
        <v>9942</v>
      </c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>
        <v>1657</v>
      </c>
      <c r="Z1610" s="23"/>
      <c r="AA1610" s="23"/>
      <c r="AB1610" s="23"/>
      <c r="AC1610" s="23"/>
      <c r="AD1610" s="23"/>
      <c r="AE1610" s="23">
        <v>1657</v>
      </c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>
        <v>1657</v>
      </c>
      <c r="AR1610" s="23"/>
      <c r="AS1610" s="23"/>
      <c r="AT1610" s="23"/>
      <c r="AU1610" s="14" t="str">
        <f>HYPERLINK("http://www.openstreetmap.org/?mlat=37.1794&amp;mlon=42.8622&amp;zoom=12#map=12/37.1794/42.8622","Maplink1")</f>
        <v>Maplink1</v>
      </c>
      <c r="AV1610" s="14" t="str">
        <f>HYPERLINK("https://www.google.iq/maps/search/+37.1794,42.8622/@37.1794,42.8622,14z?hl=en","Maplink2")</f>
        <v>Maplink2</v>
      </c>
      <c r="AW1610" s="14" t="str">
        <f>HYPERLINK("http://www.bing.com/maps/?lvl=14&amp;sty=h&amp;cp=37.1794~42.8622&amp;sp=point.37.1794_42.8622_Bersive 2 Camp","Maplink3")</f>
        <v>Maplink3</v>
      </c>
    </row>
    <row r="1611" spans="1:49" ht="15" customHeight="1" x14ac:dyDescent="0.25">
      <c r="A1611" s="21">
        <v>24704</v>
      </c>
      <c r="B1611" s="22" t="s">
        <v>13</v>
      </c>
      <c r="C1611" s="22" t="s">
        <v>3078</v>
      </c>
      <c r="D1611" s="22" t="s">
        <v>3097</v>
      </c>
      <c r="E1611" s="22" t="s">
        <v>3098</v>
      </c>
      <c r="F1611" s="22">
        <v>37.060927999999997</v>
      </c>
      <c r="G1611" s="22">
        <v>42.734501999999999</v>
      </c>
      <c r="H1611" s="21" t="s">
        <v>2819</v>
      </c>
      <c r="I1611" s="21" t="s">
        <v>3081</v>
      </c>
      <c r="J1611" s="21"/>
      <c r="K1611" s="24">
        <v>455</v>
      </c>
      <c r="L1611" s="24">
        <v>2730</v>
      </c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>
        <v>455</v>
      </c>
      <c r="Z1611" s="23"/>
      <c r="AA1611" s="23"/>
      <c r="AB1611" s="23"/>
      <c r="AC1611" s="23"/>
      <c r="AD1611" s="23"/>
      <c r="AE1611" s="23"/>
      <c r="AF1611" s="23">
        <v>20</v>
      </c>
      <c r="AG1611" s="23"/>
      <c r="AH1611" s="23"/>
      <c r="AI1611" s="23"/>
      <c r="AJ1611" s="23"/>
      <c r="AK1611" s="23">
        <v>285</v>
      </c>
      <c r="AL1611" s="23"/>
      <c r="AM1611" s="23">
        <v>150</v>
      </c>
      <c r="AN1611" s="23"/>
      <c r="AO1611" s="23"/>
      <c r="AP1611" s="23">
        <v>144</v>
      </c>
      <c r="AQ1611" s="23">
        <v>311</v>
      </c>
      <c r="AR1611" s="23"/>
      <c r="AS1611" s="23"/>
      <c r="AT1611" s="23"/>
      <c r="AU1611" s="14" t="str">
        <f>HYPERLINK("http://www.openstreetmap.org/?mlat=37.0609&amp;mlon=42.7345&amp;zoom=12#map=12/37.0609/42.7345","Maplink1")</f>
        <v>Maplink1</v>
      </c>
      <c r="AV1611" s="14" t="str">
        <f>HYPERLINK("https://www.google.iq/maps/search/+37.0609,42.7345/@37.0609,42.7345,14z?hl=en","Maplink2")</f>
        <v>Maplink2</v>
      </c>
      <c r="AW1611" s="14" t="str">
        <f>HYPERLINK("http://www.bing.com/maps/?lvl=14&amp;sty=h&amp;cp=37.0609~42.7345&amp;sp=point.37.0609_42.7345_Betasi","Maplink3")</f>
        <v>Maplink3</v>
      </c>
    </row>
    <row r="1612" spans="1:49" ht="15" customHeight="1" x14ac:dyDescent="0.25">
      <c r="A1612" s="21">
        <v>24793</v>
      </c>
      <c r="B1612" s="22" t="s">
        <v>13</v>
      </c>
      <c r="C1612" s="22" t="s">
        <v>3078</v>
      </c>
      <c r="D1612" s="22" t="s">
        <v>3099</v>
      </c>
      <c r="E1612" s="22" t="s">
        <v>8005</v>
      </c>
      <c r="F1612" s="22">
        <v>37.178699999999999</v>
      </c>
      <c r="G1612" s="22">
        <v>42.67</v>
      </c>
      <c r="H1612" s="21" t="s">
        <v>2819</v>
      </c>
      <c r="I1612" s="21" t="s">
        <v>3081</v>
      </c>
      <c r="J1612" s="21"/>
      <c r="K1612" s="24">
        <v>4700</v>
      </c>
      <c r="L1612" s="24">
        <v>28200</v>
      </c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>
        <v>4700</v>
      </c>
      <c r="Z1612" s="23"/>
      <c r="AA1612" s="23"/>
      <c r="AB1612" s="23"/>
      <c r="AC1612" s="23"/>
      <c r="AD1612" s="23"/>
      <c r="AE1612" s="23">
        <v>4700</v>
      </c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>
        <v>4700</v>
      </c>
      <c r="AR1612" s="23"/>
      <c r="AS1612" s="23"/>
      <c r="AT1612" s="23"/>
      <c r="AU1612" s="14" t="str">
        <f>HYPERLINK("http://www.openstreetmap.org/?mlat=37.1787&amp;mlon=42.67&amp;zoom=12#map=12/37.1787/42.67","Maplink1")</f>
        <v>Maplink1</v>
      </c>
      <c r="AV1612" s="14" t="str">
        <f>HYPERLINK("https://www.google.iq/maps/search/+37.1787,42.67/@37.1787,42.67,14z?hl=en","Maplink2")</f>
        <v>Maplink2</v>
      </c>
      <c r="AW1612" s="14" t="str">
        <f>HYPERLINK("http://www.bing.com/maps/?lvl=14&amp;sty=h&amp;cp=37.1787~42.67&amp;sp=point.37.1787_42.67_Chamishku Camp","Maplink3")</f>
        <v>Maplink3</v>
      </c>
    </row>
    <row r="1613" spans="1:49" ht="15" customHeight="1" x14ac:dyDescent="0.25">
      <c r="A1613" s="21">
        <v>8766</v>
      </c>
      <c r="B1613" s="22" t="s">
        <v>13</v>
      </c>
      <c r="C1613" s="22" t="s">
        <v>3078</v>
      </c>
      <c r="D1613" s="22" t="s">
        <v>3100</v>
      </c>
      <c r="E1613" s="22" t="s">
        <v>3101</v>
      </c>
      <c r="F1613" s="22">
        <v>37.137416000000002</v>
      </c>
      <c r="G1613" s="22">
        <v>42.608558000000002</v>
      </c>
      <c r="H1613" s="21" t="s">
        <v>2819</v>
      </c>
      <c r="I1613" s="21" t="s">
        <v>3081</v>
      </c>
      <c r="J1613" s="21" t="s">
        <v>3102</v>
      </c>
      <c r="K1613" s="24">
        <v>107</v>
      </c>
      <c r="L1613" s="24">
        <v>642</v>
      </c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>
        <v>107</v>
      </c>
      <c r="Z1613" s="23"/>
      <c r="AA1613" s="23"/>
      <c r="AB1613" s="23"/>
      <c r="AC1613" s="23"/>
      <c r="AD1613" s="23"/>
      <c r="AE1613" s="23"/>
      <c r="AF1613" s="23">
        <v>8</v>
      </c>
      <c r="AG1613" s="23"/>
      <c r="AH1613" s="23"/>
      <c r="AI1613" s="23"/>
      <c r="AJ1613" s="23"/>
      <c r="AK1613" s="23">
        <v>99</v>
      </c>
      <c r="AL1613" s="23"/>
      <c r="AM1613" s="23"/>
      <c r="AN1613" s="23"/>
      <c r="AO1613" s="23"/>
      <c r="AP1613" s="23"/>
      <c r="AQ1613" s="23">
        <v>107</v>
      </c>
      <c r="AR1613" s="23"/>
      <c r="AS1613" s="23"/>
      <c r="AT1613" s="23"/>
      <c r="AU1613" s="14" t="str">
        <f>HYPERLINK("http://www.openstreetmap.org/?mlat=37.1374&amp;mlon=42.6086&amp;zoom=12#map=12/37.1374/42.6086","Maplink1")</f>
        <v>Maplink1</v>
      </c>
      <c r="AV1613" s="14" t="str">
        <f>HYPERLINK("https://www.google.iq/maps/search/+37.1374,42.6086/@37.1374,42.6086,14z?hl=en","Maplink2")</f>
        <v>Maplink2</v>
      </c>
      <c r="AW1613" s="14" t="str">
        <f>HYPERLINK("http://www.bing.com/maps/?lvl=14&amp;sty=h&amp;cp=37.1374~42.6086&amp;sp=point.37.1374_42.6086_Chamkork","Maplink3")</f>
        <v>Maplink3</v>
      </c>
    </row>
    <row r="1614" spans="1:49" ht="15" customHeight="1" x14ac:dyDescent="0.25">
      <c r="A1614" s="21">
        <v>8399</v>
      </c>
      <c r="B1614" s="22" t="s">
        <v>13</v>
      </c>
      <c r="C1614" s="22" t="s">
        <v>3078</v>
      </c>
      <c r="D1614" s="22" t="s">
        <v>3103</v>
      </c>
      <c r="E1614" s="22" t="s">
        <v>3104</v>
      </c>
      <c r="F1614" s="22">
        <v>37.133429999999997</v>
      </c>
      <c r="G1614" s="22">
        <v>42.724640000000001</v>
      </c>
      <c r="H1614" s="21" t="s">
        <v>2819</v>
      </c>
      <c r="I1614" s="21" t="s">
        <v>3081</v>
      </c>
      <c r="J1614" s="21" t="s">
        <v>3105</v>
      </c>
      <c r="K1614" s="24">
        <v>75</v>
      </c>
      <c r="L1614" s="24">
        <v>450</v>
      </c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>
        <v>75</v>
      </c>
      <c r="Z1614" s="23"/>
      <c r="AA1614" s="23"/>
      <c r="AB1614" s="23"/>
      <c r="AC1614" s="23"/>
      <c r="AD1614" s="23"/>
      <c r="AE1614" s="23"/>
      <c r="AF1614" s="23">
        <v>9</v>
      </c>
      <c r="AG1614" s="23"/>
      <c r="AH1614" s="23"/>
      <c r="AI1614" s="23"/>
      <c r="AJ1614" s="23"/>
      <c r="AK1614" s="23">
        <v>17</v>
      </c>
      <c r="AL1614" s="23"/>
      <c r="AM1614" s="23">
        <v>49</v>
      </c>
      <c r="AN1614" s="23"/>
      <c r="AO1614" s="23"/>
      <c r="AP1614" s="23"/>
      <c r="AQ1614" s="23">
        <v>69</v>
      </c>
      <c r="AR1614" s="23"/>
      <c r="AS1614" s="23">
        <v>6</v>
      </c>
      <c r="AT1614" s="23"/>
      <c r="AU1614" s="14" t="str">
        <f>HYPERLINK("http://www.openstreetmap.org/?mlat=37.1334&amp;mlon=42.7246&amp;zoom=12#map=12/37.1334/42.7246","Maplink1")</f>
        <v>Maplink1</v>
      </c>
      <c r="AV1614" s="14" t="str">
        <f>HYPERLINK("https://www.google.iq/maps/search/+37.1334,42.7246/@37.1334,42.7246,14z?hl=en","Maplink2")</f>
        <v>Maplink2</v>
      </c>
      <c r="AW1614" s="14" t="str">
        <f>HYPERLINK("http://www.bing.com/maps/?lvl=14&amp;sty=h&amp;cp=37.1334~42.7246&amp;sp=point.37.1334_42.7246_Chamsirmo","Maplink3")</f>
        <v>Maplink3</v>
      </c>
    </row>
    <row r="1615" spans="1:49" ht="15" customHeight="1" x14ac:dyDescent="0.25">
      <c r="A1615" s="21">
        <v>27260</v>
      </c>
      <c r="B1615" s="22" t="s">
        <v>13</v>
      </c>
      <c r="C1615" s="22" t="s">
        <v>3078</v>
      </c>
      <c r="D1615" s="22" t="s">
        <v>3106</v>
      </c>
      <c r="E1615" s="22" t="s">
        <v>3107</v>
      </c>
      <c r="F1615" s="22">
        <v>37.179262000000001</v>
      </c>
      <c r="G1615" s="22">
        <v>42.727617000000002</v>
      </c>
      <c r="H1615" s="21" t="s">
        <v>2819</v>
      </c>
      <c r="I1615" s="21" t="s">
        <v>3081</v>
      </c>
      <c r="J1615" s="21"/>
      <c r="K1615" s="24">
        <v>201</v>
      </c>
      <c r="L1615" s="24">
        <v>1206</v>
      </c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>
        <v>201</v>
      </c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>
        <v>63</v>
      </c>
      <c r="AL1615" s="23"/>
      <c r="AM1615" s="23">
        <v>138</v>
      </c>
      <c r="AN1615" s="23"/>
      <c r="AO1615" s="23"/>
      <c r="AP1615" s="23">
        <v>30</v>
      </c>
      <c r="AQ1615" s="23">
        <v>171</v>
      </c>
      <c r="AR1615" s="23"/>
      <c r="AS1615" s="23"/>
      <c r="AT1615" s="23"/>
      <c r="AU1615" s="14" t="str">
        <f>HYPERLINK("http://www.openstreetmap.org/?mlat=37.1793&amp;mlon=42.7276&amp;zoom=12#map=12/37.1793/42.7276","Maplink1")</f>
        <v>Maplink1</v>
      </c>
      <c r="AV1615" s="14" t="str">
        <f>HYPERLINK("https://www.google.iq/maps/search/+37.1793,42.7276/@37.1793,42.7276,14z?hl=en","Maplink2")</f>
        <v>Maplink2</v>
      </c>
      <c r="AW1615" s="14" t="str">
        <f>HYPERLINK("http://www.bing.com/maps/?lvl=14&amp;sty=h&amp;cp=37.1793~42.7276&amp;sp=point.37.1793_42.7276_Dalal City","Maplink3")</f>
        <v>Maplink3</v>
      </c>
    </row>
    <row r="1616" spans="1:49" ht="15" customHeight="1" x14ac:dyDescent="0.25">
      <c r="A1616" s="21">
        <v>8848</v>
      </c>
      <c r="B1616" s="22" t="s">
        <v>13</v>
      </c>
      <c r="C1616" s="22" t="s">
        <v>3078</v>
      </c>
      <c r="D1616" s="22" t="s">
        <v>3108</v>
      </c>
      <c r="E1616" s="22" t="s">
        <v>3109</v>
      </c>
      <c r="F1616" s="22">
        <v>37.171391999999997</v>
      </c>
      <c r="G1616" s="22">
        <v>42.750717999999999</v>
      </c>
      <c r="H1616" s="21" t="s">
        <v>2819</v>
      </c>
      <c r="I1616" s="21" t="s">
        <v>3081</v>
      </c>
      <c r="J1616" s="21" t="s">
        <v>3110</v>
      </c>
      <c r="K1616" s="24">
        <v>45</v>
      </c>
      <c r="L1616" s="24">
        <v>270</v>
      </c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>
        <v>45</v>
      </c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>
        <v>45</v>
      </c>
      <c r="AN1616" s="23"/>
      <c r="AO1616" s="23"/>
      <c r="AP1616" s="23"/>
      <c r="AQ1616" s="23">
        <v>45</v>
      </c>
      <c r="AR1616" s="23"/>
      <c r="AS1616" s="23"/>
      <c r="AT1616" s="23"/>
      <c r="AU1616" s="14" t="str">
        <f>HYPERLINK("http://www.openstreetmap.org/?mlat=37.1714&amp;mlon=42.7507&amp;zoom=12#map=12/37.1714/42.7507","Maplink1")</f>
        <v>Maplink1</v>
      </c>
      <c r="AV1616" s="14" t="str">
        <f>HYPERLINK("https://www.google.iq/maps/search/+37.1714,42.7507/@37.1714,42.7507,14z?hl=en","Maplink2")</f>
        <v>Maplink2</v>
      </c>
      <c r="AW1616" s="14" t="str">
        <f>HYPERLINK("http://www.bing.com/maps/?lvl=14&amp;sty=h&amp;cp=37.1714~42.7507&amp;sp=point.37.1714_42.7507_Darhozan Village","Maplink3")</f>
        <v>Maplink3</v>
      </c>
    </row>
    <row r="1617" spans="1:49" ht="15" customHeight="1" x14ac:dyDescent="0.25">
      <c r="A1617" s="21">
        <v>8084</v>
      </c>
      <c r="B1617" s="22" t="s">
        <v>13</v>
      </c>
      <c r="C1617" s="22" t="s">
        <v>3078</v>
      </c>
      <c r="D1617" s="22" t="s">
        <v>3111</v>
      </c>
      <c r="E1617" s="22" t="s">
        <v>3112</v>
      </c>
      <c r="F1617" s="22">
        <v>37.200000000000003</v>
      </c>
      <c r="G1617" s="22">
        <v>42.82</v>
      </c>
      <c r="H1617" s="21" t="s">
        <v>2819</v>
      </c>
      <c r="I1617" s="21" t="s">
        <v>3081</v>
      </c>
      <c r="J1617" s="21" t="s">
        <v>3113</v>
      </c>
      <c r="K1617" s="24">
        <v>473</v>
      </c>
      <c r="L1617" s="24">
        <v>2838</v>
      </c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>
        <v>473</v>
      </c>
      <c r="Z1617" s="23"/>
      <c r="AA1617" s="23"/>
      <c r="AB1617" s="23"/>
      <c r="AC1617" s="23"/>
      <c r="AD1617" s="23"/>
      <c r="AE1617" s="23"/>
      <c r="AF1617" s="23">
        <v>30</v>
      </c>
      <c r="AG1617" s="23"/>
      <c r="AH1617" s="23"/>
      <c r="AI1617" s="23"/>
      <c r="AJ1617" s="23"/>
      <c r="AK1617" s="23">
        <v>323</v>
      </c>
      <c r="AL1617" s="23"/>
      <c r="AM1617" s="23">
        <v>120</v>
      </c>
      <c r="AN1617" s="23"/>
      <c r="AO1617" s="23"/>
      <c r="AP1617" s="23"/>
      <c r="AQ1617" s="23">
        <v>457</v>
      </c>
      <c r="AR1617" s="23"/>
      <c r="AS1617" s="23">
        <v>16</v>
      </c>
      <c r="AT1617" s="23"/>
      <c r="AU1617" s="14" t="str">
        <f>HYPERLINK("http://www.openstreetmap.org/?mlat=37.2&amp;mlon=42.82&amp;zoom=12#map=12/37.2/42.82","Maplink1")</f>
        <v>Maplink1</v>
      </c>
      <c r="AV1617" s="14" t="str">
        <f>HYPERLINK("https://www.google.iq/maps/search/+37.2,42.82/@37.2,42.82,14z?hl=en","Maplink2")</f>
        <v>Maplink2</v>
      </c>
      <c r="AW1617" s="14" t="str">
        <f>HYPERLINK("http://www.bing.com/maps/?lvl=14&amp;sty=h&amp;cp=37.2~42.82&amp;sp=point.37.2_42.82_Darkar","Maplink3")</f>
        <v>Maplink3</v>
      </c>
    </row>
    <row r="1618" spans="1:49" ht="15" customHeight="1" x14ac:dyDescent="0.25">
      <c r="A1618" s="21">
        <v>29568</v>
      </c>
      <c r="B1618" s="22" t="s">
        <v>13</v>
      </c>
      <c r="C1618" s="22" t="s">
        <v>3078</v>
      </c>
      <c r="D1618" s="22" t="s">
        <v>7464</v>
      </c>
      <c r="E1618" s="22" t="s">
        <v>7465</v>
      </c>
      <c r="F1618" s="22">
        <v>37.198175999999997</v>
      </c>
      <c r="G1618" s="22">
        <v>42.832349000000001</v>
      </c>
      <c r="H1618" s="21" t="s">
        <v>2819</v>
      </c>
      <c r="I1618" s="21" t="s">
        <v>3081</v>
      </c>
      <c r="J1618" s="21"/>
      <c r="K1618" s="24">
        <v>635</v>
      </c>
      <c r="L1618" s="24">
        <v>3810</v>
      </c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>
        <v>635</v>
      </c>
      <c r="Z1618" s="23"/>
      <c r="AA1618" s="23"/>
      <c r="AB1618" s="23"/>
      <c r="AC1618" s="23"/>
      <c r="AD1618" s="23"/>
      <c r="AE1618" s="23">
        <v>635</v>
      </c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>
        <v>635</v>
      </c>
      <c r="AR1618" s="23"/>
      <c r="AS1618" s="23"/>
      <c r="AT1618" s="23"/>
      <c r="AU1618" s="14" t="str">
        <f>HYPERLINK("http://www.openstreetmap.org/?mlat=37.1982&amp;mlon=42.8323&amp;zoom=12#map=12/37.1982/42.8323","Maplink1")</f>
        <v>Maplink1</v>
      </c>
      <c r="AV1618" s="14" t="str">
        <f>HYPERLINK("https://www.google.iq/maps/search/+37.1982,42.8323/@37.1982,42.8323,14z?hl=en","Maplink2")</f>
        <v>Maplink2</v>
      </c>
      <c r="AW1618" s="14" t="str">
        <f>HYPERLINK("http://www.bing.com/maps/?lvl=14&amp;sty=h&amp;cp=37.1982~42.8323&amp;sp=point.37.1982_42.8323","Maplink3")</f>
        <v>Maplink3</v>
      </c>
    </row>
    <row r="1619" spans="1:49" ht="15" customHeight="1" x14ac:dyDescent="0.25">
      <c r="A1619" s="21">
        <v>25992</v>
      </c>
      <c r="B1619" s="22" t="s">
        <v>13</v>
      </c>
      <c r="C1619" s="22" t="s">
        <v>3078</v>
      </c>
      <c r="D1619" s="22" t="s">
        <v>7482</v>
      </c>
      <c r="E1619" s="22" t="s">
        <v>8645</v>
      </c>
      <c r="F1619" s="22">
        <v>37.083075999999998</v>
      </c>
      <c r="G1619" s="22">
        <v>42.427146</v>
      </c>
      <c r="H1619" s="21" t="s">
        <v>2819</v>
      </c>
      <c r="I1619" s="21" t="s">
        <v>3081</v>
      </c>
      <c r="J1619" s="21"/>
      <c r="K1619" s="24">
        <v>885</v>
      </c>
      <c r="L1619" s="24">
        <v>5310</v>
      </c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>
        <v>885</v>
      </c>
      <c r="Z1619" s="23"/>
      <c r="AA1619" s="23"/>
      <c r="AB1619" s="23"/>
      <c r="AC1619" s="23"/>
      <c r="AD1619" s="23"/>
      <c r="AE1619" s="23"/>
      <c r="AF1619" s="23">
        <v>65</v>
      </c>
      <c r="AG1619" s="23"/>
      <c r="AH1619" s="23">
        <v>452</v>
      </c>
      <c r="AI1619" s="23"/>
      <c r="AJ1619" s="23">
        <v>32</v>
      </c>
      <c r="AK1619" s="23">
        <v>186</v>
      </c>
      <c r="AL1619" s="23"/>
      <c r="AM1619" s="23">
        <v>150</v>
      </c>
      <c r="AN1619" s="23"/>
      <c r="AO1619" s="23"/>
      <c r="AP1619" s="23"/>
      <c r="AQ1619" s="23">
        <v>879</v>
      </c>
      <c r="AR1619" s="23"/>
      <c r="AS1619" s="23">
        <v>6</v>
      </c>
      <c r="AT1619" s="23"/>
      <c r="AU1619" s="14" t="str">
        <f>HYPERLINK("http://www.openstreetmap.org/?mlat=37.0831&amp;mlon=42.4271&amp;zoom=12#map=12/37.0831/42.4271","Maplink1")</f>
        <v>Maplink1</v>
      </c>
      <c r="AV1619" s="14" t="str">
        <f>HYPERLINK("https://www.google.iq/maps/search/+37.0831,42.4271/@37.0831,42.4271,14z?hl=en","Maplink2")</f>
        <v>Maplink2</v>
      </c>
      <c r="AW1619" s="14" t="str">
        <f>HYPERLINK("http://www.bing.com/maps/?lvl=14&amp;sty=h&amp;cp=37.0831~42.4271&amp;sp=point.37.0831_42.4271_Markaz Zakho-Diraboon","Maplink3")</f>
        <v>Maplink3</v>
      </c>
    </row>
    <row r="1620" spans="1:49" ht="15" customHeight="1" x14ac:dyDescent="0.25">
      <c r="A1620" s="21">
        <v>27261</v>
      </c>
      <c r="B1620" s="22" t="s">
        <v>13</v>
      </c>
      <c r="C1620" s="22" t="s">
        <v>3078</v>
      </c>
      <c r="D1620" s="22" t="s">
        <v>3114</v>
      </c>
      <c r="E1620" s="22" t="s">
        <v>3115</v>
      </c>
      <c r="F1620" s="22">
        <v>37.138750000000002</v>
      </c>
      <c r="G1620" s="22">
        <v>42.719329999999999</v>
      </c>
      <c r="H1620" s="21" t="s">
        <v>2819</v>
      </c>
      <c r="I1620" s="21" t="s">
        <v>3081</v>
      </c>
      <c r="J1620" s="21"/>
      <c r="K1620" s="24">
        <v>178</v>
      </c>
      <c r="L1620" s="24">
        <v>1068</v>
      </c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>
        <v>178</v>
      </c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>
        <v>62</v>
      </c>
      <c r="AL1620" s="23"/>
      <c r="AM1620" s="23">
        <v>116</v>
      </c>
      <c r="AN1620" s="23"/>
      <c r="AO1620" s="23"/>
      <c r="AP1620" s="23"/>
      <c r="AQ1620" s="23">
        <v>178</v>
      </c>
      <c r="AR1620" s="23"/>
      <c r="AS1620" s="23"/>
      <c r="AT1620" s="23"/>
      <c r="AU1620" s="14" t="str">
        <f>HYPERLINK("http://www.openstreetmap.org/?mlat=37.1388&amp;mlon=42.7193&amp;zoom=12#map=12/37.1388/42.7193","Maplink1")</f>
        <v>Maplink1</v>
      </c>
      <c r="AV1620" s="14" t="str">
        <f>HYPERLINK("https://www.google.iq/maps/search/+37.1388,42.7193/@37.1388,42.7193,14z?hl=en","Maplink2")</f>
        <v>Maplink2</v>
      </c>
      <c r="AW1620" s="14" t="str">
        <f>HYPERLINK("http://www.bing.com/maps/?lvl=14&amp;sty=h&amp;cp=37.1388~42.7193&amp;sp=point.37.1388_42.7193_Dwanza Milan","Maplink3")</f>
        <v>Maplink3</v>
      </c>
    </row>
    <row r="1621" spans="1:49" ht="15" customHeight="1" x14ac:dyDescent="0.25">
      <c r="A1621" s="21">
        <v>21187</v>
      </c>
      <c r="B1621" s="22" t="s">
        <v>13</v>
      </c>
      <c r="C1621" s="22" t="s">
        <v>3078</v>
      </c>
      <c r="D1621" s="22" t="s">
        <v>3116</v>
      </c>
      <c r="E1621" s="22" t="s">
        <v>3117</v>
      </c>
      <c r="F1621" s="22">
        <v>37.160080000000001</v>
      </c>
      <c r="G1621" s="22">
        <v>42.706400000000002</v>
      </c>
      <c r="H1621" s="21" t="s">
        <v>2819</v>
      </c>
      <c r="I1621" s="21" t="s">
        <v>3081</v>
      </c>
      <c r="J1621" s="21" t="s">
        <v>3118</v>
      </c>
      <c r="K1621" s="24">
        <v>881</v>
      </c>
      <c r="L1621" s="24">
        <v>5286</v>
      </c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>
        <v>881</v>
      </c>
      <c r="Z1621" s="23"/>
      <c r="AA1621" s="23"/>
      <c r="AB1621" s="23"/>
      <c r="AC1621" s="23"/>
      <c r="AD1621" s="23"/>
      <c r="AE1621" s="23"/>
      <c r="AF1621" s="23">
        <v>17</v>
      </c>
      <c r="AG1621" s="23"/>
      <c r="AH1621" s="23"/>
      <c r="AI1621" s="23"/>
      <c r="AJ1621" s="23"/>
      <c r="AK1621" s="23">
        <v>797</v>
      </c>
      <c r="AL1621" s="23"/>
      <c r="AM1621" s="23">
        <v>67</v>
      </c>
      <c r="AN1621" s="23"/>
      <c r="AO1621" s="23"/>
      <c r="AP1621" s="23">
        <v>528</v>
      </c>
      <c r="AQ1621" s="23">
        <v>348</v>
      </c>
      <c r="AR1621" s="23"/>
      <c r="AS1621" s="23">
        <v>5</v>
      </c>
      <c r="AT1621" s="23"/>
      <c r="AU1621" s="14" t="str">
        <f>HYPERLINK("http://www.openstreetmap.org/?mlat=37.1601&amp;mlon=42.7064&amp;zoom=12#map=12/37.1601/42.7064","Maplink1")</f>
        <v>Maplink1</v>
      </c>
      <c r="AV1621" s="14" t="str">
        <f>HYPERLINK("https://www.google.iq/maps/search/+37.1601,42.7064/@37.1601,42.7064,14z?hl=en","Maplink2")</f>
        <v>Maplink2</v>
      </c>
      <c r="AW1621" s="14" t="str">
        <f>HYPERLINK("http://www.bing.com/maps/?lvl=14&amp;sty=h&amp;cp=37.1601~42.7064&amp;sp=point.37.1601_42.7064_FIRQA","Maplink3")</f>
        <v>Maplink3</v>
      </c>
    </row>
    <row r="1622" spans="1:49" ht="15" customHeight="1" x14ac:dyDescent="0.25">
      <c r="A1622" s="21">
        <v>23620</v>
      </c>
      <c r="B1622" s="22" t="s">
        <v>13</v>
      </c>
      <c r="C1622" s="22" t="s">
        <v>3078</v>
      </c>
      <c r="D1622" s="22" t="s">
        <v>3119</v>
      </c>
      <c r="E1622" s="22" t="s">
        <v>3120</v>
      </c>
      <c r="F1622" s="22">
        <v>37.073324</v>
      </c>
      <c r="G1622" s="22">
        <v>42.377566999999999</v>
      </c>
      <c r="H1622" s="21" t="s">
        <v>2819</v>
      </c>
      <c r="I1622" s="21" t="s">
        <v>3081</v>
      </c>
      <c r="J1622" s="21" t="s">
        <v>3121</v>
      </c>
      <c r="K1622" s="24">
        <v>155</v>
      </c>
      <c r="L1622" s="24">
        <v>930</v>
      </c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>
        <v>155</v>
      </c>
      <c r="Z1622" s="23"/>
      <c r="AA1622" s="23"/>
      <c r="AB1622" s="23"/>
      <c r="AC1622" s="23"/>
      <c r="AD1622" s="23"/>
      <c r="AE1622" s="23"/>
      <c r="AF1622" s="23">
        <v>49</v>
      </c>
      <c r="AG1622" s="23"/>
      <c r="AH1622" s="23">
        <v>29</v>
      </c>
      <c r="AI1622" s="23"/>
      <c r="AJ1622" s="23">
        <v>3</v>
      </c>
      <c r="AK1622" s="23"/>
      <c r="AL1622" s="23"/>
      <c r="AM1622" s="23">
        <v>74</v>
      </c>
      <c r="AN1622" s="23"/>
      <c r="AO1622" s="23"/>
      <c r="AP1622" s="23">
        <v>7</v>
      </c>
      <c r="AQ1622" s="23">
        <v>148</v>
      </c>
      <c r="AR1622" s="23"/>
      <c r="AS1622" s="23"/>
      <c r="AT1622" s="23"/>
      <c r="AU1622" s="14" t="str">
        <f>HYPERLINK("http://www.openstreetmap.org/?mlat=37.0733&amp;mlon=42.3776&amp;zoom=12#map=12/37.0733/42.3776","Maplink1")</f>
        <v>Maplink1</v>
      </c>
      <c r="AV1622" s="14" t="str">
        <f>HYPERLINK("https://www.google.iq/maps/search/+37.0733,42.3776/@37.0733,42.3776,14z?hl=en","Maplink2")</f>
        <v>Maplink2</v>
      </c>
      <c r="AW1622" s="14" t="str">
        <f>HYPERLINK("http://www.bing.com/maps/?lvl=14&amp;sty=h&amp;cp=37.0733~42.3776&amp;sp=point.37.0733_42.3776_Fishkhaboor","Maplink3")</f>
        <v>Maplink3</v>
      </c>
    </row>
    <row r="1623" spans="1:49" ht="15" customHeight="1" x14ac:dyDescent="0.25">
      <c r="A1623" s="21">
        <v>27264</v>
      </c>
      <c r="B1623" s="22" t="s">
        <v>13</v>
      </c>
      <c r="C1623" s="22" t="s">
        <v>3078</v>
      </c>
      <c r="D1623" s="22" t="s">
        <v>3122</v>
      </c>
      <c r="E1623" s="22" t="s">
        <v>3123</v>
      </c>
      <c r="F1623" s="22">
        <v>37.18094</v>
      </c>
      <c r="G1623" s="22">
        <v>42.783047000000003</v>
      </c>
      <c r="H1623" s="21" t="s">
        <v>2819</v>
      </c>
      <c r="I1623" s="21" t="s">
        <v>3081</v>
      </c>
      <c r="J1623" s="21"/>
      <c r="K1623" s="24">
        <v>35</v>
      </c>
      <c r="L1623" s="24">
        <v>210</v>
      </c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>
        <v>35</v>
      </c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>
        <v>6</v>
      </c>
      <c r="AM1623" s="23">
        <v>29</v>
      </c>
      <c r="AN1623" s="23"/>
      <c r="AO1623" s="23"/>
      <c r="AP1623" s="23"/>
      <c r="AQ1623" s="23">
        <v>35</v>
      </c>
      <c r="AR1623" s="23"/>
      <c r="AS1623" s="23"/>
      <c r="AT1623" s="23"/>
      <c r="AU1623" s="14" t="str">
        <f>HYPERLINK("http://www.openstreetmap.org/?mlat=37.1809&amp;mlon=42.783&amp;zoom=12#map=12/37.1809/42.783","Maplink1")</f>
        <v>Maplink1</v>
      </c>
      <c r="AV1623" s="14" t="str">
        <f>HYPERLINK("https://www.google.iq/maps/search/+37.1809,42.783/@37.1809,42.783,14z?hl=en","Maplink2")</f>
        <v>Maplink2</v>
      </c>
      <c r="AW1623" s="14" t="str">
        <f>HYPERLINK("http://www.bing.com/maps/?lvl=14&amp;sty=h&amp;cp=37.1809~42.783&amp;sp=point.37.1809_42.783_Garak Sindi Village","Maplink3")</f>
        <v>Maplink3</v>
      </c>
    </row>
    <row r="1624" spans="1:49" ht="15" customHeight="1" x14ac:dyDescent="0.25">
      <c r="A1624" s="21">
        <v>8117</v>
      </c>
      <c r="B1624" s="22" t="s">
        <v>13</v>
      </c>
      <c r="C1624" s="22" t="s">
        <v>3078</v>
      </c>
      <c r="D1624" s="22" t="s">
        <v>3124</v>
      </c>
      <c r="E1624" s="22" t="s">
        <v>3125</v>
      </c>
      <c r="F1624" s="22">
        <v>37.083641999999998</v>
      </c>
      <c r="G1624" s="22">
        <v>42.658772999999997</v>
      </c>
      <c r="H1624" s="21" t="s">
        <v>2819</v>
      </c>
      <c r="I1624" s="21" t="s">
        <v>3081</v>
      </c>
      <c r="J1624" s="21" t="s">
        <v>3126</v>
      </c>
      <c r="K1624" s="24">
        <v>87</v>
      </c>
      <c r="L1624" s="24">
        <v>522</v>
      </c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>
        <v>87</v>
      </c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>
        <v>59</v>
      </c>
      <c r="AL1624" s="23"/>
      <c r="AM1624" s="23">
        <v>28</v>
      </c>
      <c r="AN1624" s="23"/>
      <c r="AO1624" s="23"/>
      <c r="AP1624" s="23"/>
      <c r="AQ1624" s="23">
        <v>87</v>
      </c>
      <c r="AR1624" s="23"/>
      <c r="AS1624" s="23"/>
      <c r="AT1624" s="23"/>
      <c r="AU1624" s="14" t="str">
        <f>HYPERLINK("http://www.openstreetmap.org/?mlat=37.0836&amp;mlon=42.6588&amp;zoom=12#map=12/37.0836/42.6588","Maplink1")</f>
        <v>Maplink1</v>
      </c>
      <c r="AV1624" s="14" t="str">
        <f>HYPERLINK("https://www.google.iq/maps/search/+37.0836,42.6588/@37.0836,42.6588,14z?hl=en","Maplink2")</f>
        <v>Maplink2</v>
      </c>
      <c r="AW1624" s="14" t="str">
        <f>HYPERLINK("http://www.bing.com/maps/?lvl=14&amp;sty=h&amp;cp=37.0836~42.6588&amp;sp=point.37.0836_42.6588_Hassan Ava","Maplink3")</f>
        <v>Maplink3</v>
      </c>
    </row>
    <row r="1625" spans="1:49" ht="15" customHeight="1" x14ac:dyDescent="0.25">
      <c r="A1625" s="21">
        <v>27263</v>
      </c>
      <c r="B1625" s="22" t="s">
        <v>13</v>
      </c>
      <c r="C1625" s="22" t="s">
        <v>3078</v>
      </c>
      <c r="D1625" s="22" t="s">
        <v>3127</v>
      </c>
      <c r="E1625" s="22" t="s">
        <v>3128</v>
      </c>
      <c r="F1625" s="22">
        <v>37.142338000000002</v>
      </c>
      <c r="G1625" s="22">
        <v>42.635840000000002</v>
      </c>
      <c r="H1625" s="21" t="s">
        <v>2819</v>
      </c>
      <c r="I1625" s="21" t="s">
        <v>3081</v>
      </c>
      <c r="J1625" s="21"/>
      <c r="K1625" s="24">
        <v>245</v>
      </c>
      <c r="L1625" s="24">
        <v>1470</v>
      </c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>
        <v>245</v>
      </c>
      <c r="Z1625" s="23"/>
      <c r="AA1625" s="23"/>
      <c r="AB1625" s="23"/>
      <c r="AC1625" s="23"/>
      <c r="AD1625" s="23"/>
      <c r="AE1625" s="23"/>
      <c r="AF1625" s="23">
        <v>62</v>
      </c>
      <c r="AG1625" s="23"/>
      <c r="AH1625" s="23"/>
      <c r="AI1625" s="23"/>
      <c r="AJ1625" s="23"/>
      <c r="AK1625" s="23">
        <v>23</v>
      </c>
      <c r="AL1625" s="23"/>
      <c r="AM1625" s="23">
        <v>160</v>
      </c>
      <c r="AN1625" s="23"/>
      <c r="AO1625" s="23"/>
      <c r="AP1625" s="23">
        <v>85</v>
      </c>
      <c r="AQ1625" s="23">
        <v>160</v>
      </c>
      <c r="AR1625" s="23"/>
      <c r="AS1625" s="23"/>
      <c r="AT1625" s="23"/>
      <c r="AU1625" s="14" t="str">
        <f>HYPERLINK("http://www.openstreetmap.org/?mlat=37.1423&amp;mlon=42.6358&amp;zoom=12#map=12/37.1423/42.6358","Maplink1")</f>
        <v>Maplink1</v>
      </c>
      <c r="AV1625" s="14" t="str">
        <f>HYPERLINK("https://www.google.iq/maps/search/+37.1423,42.6358/@37.1423,42.6358,14z?hl=en","Maplink2")</f>
        <v>Maplink2</v>
      </c>
      <c r="AW1625" s="14" t="str">
        <f>HYPERLINK("http://www.bing.com/maps/?lvl=14&amp;sty=h&amp;cp=37.1423~42.6358&amp;sp=point.37.1423_42.6358_Ibrahim Khalil Street","Maplink3")</f>
        <v>Maplink3</v>
      </c>
    </row>
    <row r="1626" spans="1:49" ht="15" customHeight="1" x14ac:dyDescent="0.25">
      <c r="A1626" s="21">
        <v>8110</v>
      </c>
      <c r="B1626" s="22" t="s">
        <v>13</v>
      </c>
      <c r="C1626" s="22" t="s">
        <v>3078</v>
      </c>
      <c r="D1626" s="22" t="s">
        <v>3129</v>
      </c>
      <c r="E1626" s="22" t="s">
        <v>3130</v>
      </c>
      <c r="F1626" s="22">
        <v>37.101500000000001</v>
      </c>
      <c r="G1626" s="22">
        <v>42.450499999999998</v>
      </c>
      <c r="H1626" s="21" t="s">
        <v>2819</v>
      </c>
      <c r="I1626" s="21" t="s">
        <v>3081</v>
      </c>
      <c r="J1626" s="21" t="s">
        <v>3131</v>
      </c>
      <c r="K1626" s="24">
        <v>980</v>
      </c>
      <c r="L1626" s="24">
        <v>5880</v>
      </c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>
        <v>980</v>
      </c>
      <c r="Z1626" s="23"/>
      <c r="AA1626" s="23"/>
      <c r="AB1626" s="23"/>
      <c r="AC1626" s="23"/>
      <c r="AD1626" s="23"/>
      <c r="AE1626" s="23"/>
      <c r="AF1626" s="23">
        <v>18</v>
      </c>
      <c r="AG1626" s="23"/>
      <c r="AH1626" s="23">
        <v>10</v>
      </c>
      <c r="AI1626" s="23"/>
      <c r="AJ1626" s="23"/>
      <c r="AK1626" s="23">
        <v>308</v>
      </c>
      <c r="AL1626" s="23"/>
      <c r="AM1626" s="23">
        <v>644</v>
      </c>
      <c r="AN1626" s="23"/>
      <c r="AO1626" s="23"/>
      <c r="AP1626" s="23">
        <v>170</v>
      </c>
      <c r="AQ1626" s="23">
        <v>785</v>
      </c>
      <c r="AR1626" s="23"/>
      <c r="AS1626" s="23">
        <v>25</v>
      </c>
      <c r="AT1626" s="23"/>
      <c r="AU1626" s="14" t="str">
        <f>HYPERLINK("http://www.openstreetmap.org/?mlat=37.1015&amp;mlon=42.4505&amp;zoom=12#map=12/37.1015/42.4505","Maplink1")</f>
        <v>Maplink1</v>
      </c>
      <c r="AV1626" s="14" t="str">
        <f>HYPERLINK("https://www.google.iq/maps/search/+37.1015,42.4505/@37.1015,42.4505,14z?hl=en","Maplink2")</f>
        <v>Maplink2</v>
      </c>
      <c r="AW1626" s="14" t="str">
        <f>HYPERLINK("http://www.bing.com/maps/?lvl=14&amp;sty=h&amp;cp=37.1015~42.4505&amp;sp=point.37.1015_42.4505_Khrababka","Maplink3")</f>
        <v>Maplink3</v>
      </c>
    </row>
    <row r="1627" spans="1:49" ht="15" customHeight="1" x14ac:dyDescent="0.25">
      <c r="A1627" s="21">
        <v>24132</v>
      </c>
      <c r="B1627" s="22" t="s">
        <v>13</v>
      </c>
      <c r="C1627" s="22" t="s">
        <v>3078</v>
      </c>
      <c r="D1627" s="22" t="s">
        <v>3132</v>
      </c>
      <c r="E1627" s="22" t="s">
        <v>3133</v>
      </c>
      <c r="F1627" s="22">
        <v>37.081400000000002</v>
      </c>
      <c r="G1627" s="22">
        <v>42.402000000000001</v>
      </c>
      <c r="H1627" s="21" t="s">
        <v>2819</v>
      </c>
      <c r="I1627" s="21" t="s">
        <v>3081</v>
      </c>
      <c r="J1627" s="21" t="s">
        <v>3134</v>
      </c>
      <c r="K1627" s="24">
        <v>355</v>
      </c>
      <c r="L1627" s="24">
        <v>2130</v>
      </c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>
        <v>355</v>
      </c>
      <c r="Z1627" s="23"/>
      <c r="AA1627" s="23"/>
      <c r="AB1627" s="23"/>
      <c r="AC1627" s="23"/>
      <c r="AD1627" s="23"/>
      <c r="AE1627" s="23"/>
      <c r="AF1627" s="23">
        <v>16</v>
      </c>
      <c r="AG1627" s="23"/>
      <c r="AH1627" s="23"/>
      <c r="AI1627" s="23"/>
      <c r="AJ1627" s="23"/>
      <c r="AK1627" s="23">
        <v>239</v>
      </c>
      <c r="AL1627" s="23"/>
      <c r="AM1627" s="23">
        <v>100</v>
      </c>
      <c r="AN1627" s="23"/>
      <c r="AO1627" s="23"/>
      <c r="AP1627" s="23">
        <v>185</v>
      </c>
      <c r="AQ1627" s="23">
        <v>170</v>
      </c>
      <c r="AR1627" s="23"/>
      <c r="AS1627" s="23"/>
      <c r="AT1627" s="23"/>
      <c r="AU1627" s="14" t="str">
        <f>HYPERLINK("http://www.openstreetmap.org/?mlat=37.0814&amp;mlon=42.402&amp;zoom=12#map=12/37.0814/42.402","Maplink1")</f>
        <v>Maplink1</v>
      </c>
      <c r="AV1627" s="14" t="str">
        <f>HYPERLINK("https://www.google.iq/maps/search/+37.0814,42.402/@37.0814,42.402,14z?hl=en","Maplink2")</f>
        <v>Maplink2</v>
      </c>
      <c r="AW1627" s="14" t="str">
        <f>HYPERLINK("http://www.bing.com/maps/?lvl=14&amp;sty=h&amp;cp=37.0814~42.402&amp;sp=point.37.0814_42.402_Kundeky","Maplink3")</f>
        <v>Maplink3</v>
      </c>
    </row>
    <row r="1628" spans="1:49" ht="15" customHeight="1" x14ac:dyDescent="0.25">
      <c r="A1628" s="21">
        <v>8086</v>
      </c>
      <c r="B1628" s="22" t="s">
        <v>13</v>
      </c>
      <c r="C1628" s="22" t="s">
        <v>3078</v>
      </c>
      <c r="D1628" s="22" t="s">
        <v>3135</v>
      </c>
      <c r="E1628" s="22" t="s">
        <v>3136</v>
      </c>
      <c r="F1628" s="22">
        <v>37.157068000000002</v>
      </c>
      <c r="G1628" s="22">
        <v>42.665173000000003</v>
      </c>
      <c r="H1628" s="21"/>
      <c r="I1628" s="21"/>
      <c r="J1628" s="21" t="s">
        <v>3137</v>
      </c>
      <c r="K1628" s="24">
        <v>149</v>
      </c>
      <c r="L1628" s="24">
        <v>894</v>
      </c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>
        <v>149</v>
      </c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>
        <v>35</v>
      </c>
      <c r="AL1628" s="23"/>
      <c r="AM1628" s="23">
        <v>114</v>
      </c>
      <c r="AN1628" s="23"/>
      <c r="AO1628" s="23"/>
      <c r="AP1628" s="23">
        <v>35</v>
      </c>
      <c r="AQ1628" s="23">
        <v>114</v>
      </c>
      <c r="AR1628" s="23"/>
      <c r="AS1628" s="23"/>
      <c r="AT1628" s="23"/>
      <c r="AU1628" s="14" t="str">
        <f>HYPERLINK("http://www.openstreetmap.org/?mlat=37.1571&amp;mlon=42.6652&amp;zoom=12#map=12/37.1571/42.6652","Maplink1")</f>
        <v>Maplink1</v>
      </c>
      <c r="AV1628" s="14" t="str">
        <f>HYPERLINK("https://www.google.iq/maps/search/+37.1571,42.6652/@37.1571,42.6652,14z?hl=en","Maplink2")</f>
        <v>Maplink2</v>
      </c>
      <c r="AW1628" s="14" t="str">
        <f>HYPERLINK("http://www.bing.com/maps/?lvl=14&amp;sty=h&amp;cp=37.1571~42.6652&amp;sp=point.37.1571_42.6652_Mhamadiya","Maplink3")</f>
        <v>Maplink3</v>
      </c>
    </row>
    <row r="1629" spans="1:49" ht="15" customHeight="1" x14ac:dyDescent="0.25">
      <c r="A1629" s="21">
        <v>20893</v>
      </c>
      <c r="B1629" s="22" t="s">
        <v>13</v>
      </c>
      <c r="C1629" s="22" t="s">
        <v>3078</v>
      </c>
      <c r="D1629" s="22" t="s">
        <v>3138</v>
      </c>
      <c r="E1629" s="22" t="s">
        <v>3139</v>
      </c>
      <c r="F1629" s="22">
        <v>37.142375999999999</v>
      </c>
      <c r="G1629" s="22">
        <v>42.676752999999998</v>
      </c>
      <c r="H1629" s="21" t="s">
        <v>2819</v>
      </c>
      <c r="I1629" s="21" t="s">
        <v>3081</v>
      </c>
      <c r="J1629" s="21" t="s">
        <v>3140</v>
      </c>
      <c r="K1629" s="24">
        <v>324</v>
      </c>
      <c r="L1629" s="24">
        <v>1944</v>
      </c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>
        <v>324</v>
      </c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>
        <v>324</v>
      </c>
      <c r="AL1629" s="23"/>
      <c r="AM1629" s="23"/>
      <c r="AN1629" s="23"/>
      <c r="AO1629" s="23"/>
      <c r="AP1629" s="23"/>
      <c r="AQ1629" s="23">
        <v>324</v>
      </c>
      <c r="AR1629" s="23"/>
      <c r="AS1629" s="23"/>
      <c r="AT1629" s="23"/>
      <c r="AU1629" s="14" t="str">
        <f>HYPERLINK("http://www.openstreetmap.org/?mlat=37.1424&amp;mlon=42.6768&amp;zoom=12#map=12/37.1424/42.6768","Maplink1")</f>
        <v>Maplink1</v>
      </c>
      <c r="AV1629" s="14" t="str">
        <f>HYPERLINK("https://www.google.iq/maps/search/+37.1424,42.6768/@37.1424,42.6768,14z?hl=en","Maplink2")</f>
        <v>Maplink2</v>
      </c>
      <c r="AW1629" s="14" t="str">
        <f>HYPERLINK("http://www.bing.com/maps/?lvl=14&amp;sty=h&amp;cp=37.1424~42.6768&amp;sp=point.37.1424_42.6768_Nassara","Maplink3")</f>
        <v>Maplink3</v>
      </c>
    </row>
    <row r="1630" spans="1:49" ht="15" customHeight="1" x14ac:dyDescent="0.25">
      <c r="A1630" s="21">
        <v>8620</v>
      </c>
      <c r="B1630" s="22" t="s">
        <v>13</v>
      </c>
      <c r="C1630" s="22" t="s">
        <v>3078</v>
      </c>
      <c r="D1630" s="22" t="s">
        <v>3141</v>
      </c>
      <c r="E1630" s="22" t="s">
        <v>3142</v>
      </c>
      <c r="F1630" s="22">
        <v>37.120390999999998</v>
      </c>
      <c r="G1630" s="22">
        <v>42.435884000000001</v>
      </c>
      <c r="H1630" s="21" t="s">
        <v>2819</v>
      </c>
      <c r="I1630" s="21" t="s">
        <v>3081</v>
      </c>
      <c r="J1630" s="21" t="s">
        <v>3143</v>
      </c>
      <c r="K1630" s="24">
        <v>56</v>
      </c>
      <c r="L1630" s="24">
        <v>336</v>
      </c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>
        <v>56</v>
      </c>
      <c r="Z1630" s="23"/>
      <c r="AA1630" s="23"/>
      <c r="AB1630" s="23"/>
      <c r="AC1630" s="23"/>
      <c r="AD1630" s="23"/>
      <c r="AE1630" s="23"/>
      <c r="AF1630" s="23">
        <v>30</v>
      </c>
      <c r="AG1630" s="23"/>
      <c r="AH1630" s="23">
        <v>2</v>
      </c>
      <c r="AI1630" s="23"/>
      <c r="AJ1630" s="23"/>
      <c r="AK1630" s="23"/>
      <c r="AL1630" s="23"/>
      <c r="AM1630" s="23">
        <v>24</v>
      </c>
      <c r="AN1630" s="23"/>
      <c r="AO1630" s="23"/>
      <c r="AP1630" s="23"/>
      <c r="AQ1630" s="23">
        <v>56</v>
      </c>
      <c r="AR1630" s="23"/>
      <c r="AS1630" s="23"/>
      <c r="AT1630" s="23"/>
      <c r="AU1630" s="14" t="str">
        <f>HYPERLINK("http://www.openstreetmap.org/?mlat=37.1204&amp;mlon=42.4359&amp;zoom=12#map=12/37.1204/42.4359","Maplink1")</f>
        <v>Maplink1</v>
      </c>
      <c r="AV1630" s="14" t="str">
        <f>HYPERLINK("https://www.google.iq/maps/search/+37.1204,42.4359/@37.1204,42.4359,14z?hl=en","Maplink2")</f>
        <v>Maplink2</v>
      </c>
      <c r="AW1630" s="14" t="str">
        <f>HYPERLINK("http://www.bing.com/maps/?lvl=14&amp;sty=h&amp;cp=37.1204~42.4359&amp;sp=point.37.1204_42.4359_Qarawla","Maplink3")</f>
        <v>Maplink3</v>
      </c>
    </row>
    <row r="1631" spans="1:49" ht="15" customHeight="1" x14ac:dyDescent="0.25">
      <c r="A1631" s="21">
        <v>27262</v>
      </c>
      <c r="B1631" s="22" t="s">
        <v>13</v>
      </c>
      <c r="C1631" s="22" t="s">
        <v>3078</v>
      </c>
      <c r="D1631" s="22" t="s">
        <v>3144</v>
      </c>
      <c r="E1631" s="22" t="s">
        <v>3145</v>
      </c>
      <c r="F1631" s="22">
        <v>37.155070000000002</v>
      </c>
      <c r="G1631" s="22">
        <v>42.687100000000001</v>
      </c>
      <c r="H1631" s="21" t="s">
        <v>2819</v>
      </c>
      <c r="I1631" s="21" t="s">
        <v>3081</v>
      </c>
      <c r="J1631" s="21"/>
      <c r="K1631" s="24">
        <v>700</v>
      </c>
      <c r="L1631" s="24">
        <v>4200</v>
      </c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>
        <v>700</v>
      </c>
      <c r="Z1631" s="23"/>
      <c r="AA1631" s="23"/>
      <c r="AB1631" s="23"/>
      <c r="AC1631" s="23"/>
      <c r="AD1631" s="23"/>
      <c r="AE1631" s="23"/>
      <c r="AF1631" s="23">
        <v>30</v>
      </c>
      <c r="AG1631" s="23"/>
      <c r="AH1631" s="23"/>
      <c r="AI1631" s="23"/>
      <c r="AJ1631" s="23"/>
      <c r="AK1631" s="23">
        <v>434</v>
      </c>
      <c r="AL1631" s="23"/>
      <c r="AM1631" s="23">
        <v>236</v>
      </c>
      <c r="AN1631" s="23"/>
      <c r="AO1631" s="23"/>
      <c r="AP1631" s="23">
        <v>180</v>
      </c>
      <c r="AQ1631" s="23">
        <v>520</v>
      </c>
      <c r="AR1631" s="23"/>
      <c r="AS1631" s="23"/>
      <c r="AT1631" s="23"/>
      <c r="AU1631" s="14" t="str">
        <f>HYPERLINK("http://www.openstreetmap.org/?mlat=37.1551&amp;mlon=42.6871&amp;zoom=12#map=12/37.1551/42.6871","Maplink1")</f>
        <v>Maplink1</v>
      </c>
      <c r="AV1631" s="14" t="str">
        <f>HYPERLINK("https://www.google.iq/maps/search/+37.1551,42.6871/@37.1551,42.6871,14z?hl=en","Maplink2")</f>
        <v>Maplink2</v>
      </c>
      <c r="AW1631" s="14" t="str">
        <f>HYPERLINK("http://www.bing.com/maps/?lvl=14&amp;sty=h&amp;cp=37.1551~42.6871&amp;sp=point.37.1551_42.6871_Rikawa Jadidi","Maplink3")</f>
        <v>Maplink3</v>
      </c>
    </row>
    <row r="1632" spans="1:49" ht="15" customHeight="1" x14ac:dyDescent="0.25">
      <c r="A1632" s="21">
        <v>8711</v>
      </c>
      <c r="B1632" s="22" t="s">
        <v>13</v>
      </c>
      <c r="C1632" s="22" t="s">
        <v>3078</v>
      </c>
      <c r="D1632" s="22" t="s">
        <v>3146</v>
      </c>
      <c r="E1632" s="22" t="s">
        <v>3147</v>
      </c>
      <c r="F1632" s="22">
        <v>37.130000000000003</v>
      </c>
      <c r="G1632" s="22">
        <v>42.57</v>
      </c>
      <c r="H1632" s="21" t="s">
        <v>2819</v>
      </c>
      <c r="I1632" s="21" t="s">
        <v>3081</v>
      </c>
      <c r="J1632" s="21" t="s">
        <v>3148</v>
      </c>
      <c r="K1632" s="24">
        <v>148</v>
      </c>
      <c r="L1632" s="24">
        <v>888</v>
      </c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>
        <v>148</v>
      </c>
      <c r="Z1632" s="23"/>
      <c r="AA1632" s="23"/>
      <c r="AB1632" s="23"/>
      <c r="AC1632" s="23"/>
      <c r="AD1632" s="23"/>
      <c r="AE1632" s="23"/>
      <c r="AF1632" s="23">
        <v>5</v>
      </c>
      <c r="AG1632" s="23"/>
      <c r="AH1632" s="23"/>
      <c r="AI1632" s="23"/>
      <c r="AJ1632" s="23"/>
      <c r="AK1632" s="23">
        <v>129</v>
      </c>
      <c r="AL1632" s="23"/>
      <c r="AM1632" s="23">
        <v>14</v>
      </c>
      <c r="AN1632" s="23"/>
      <c r="AO1632" s="23"/>
      <c r="AP1632" s="23"/>
      <c r="AQ1632" s="23">
        <v>148</v>
      </c>
      <c r="AR1632" s="23"/>
      <c r="AS1632" s="23"/>
      <c r="AT1632" s="23"/>
      <c r="AU1632" s="14" t="str">
        <f>HYPERLINK("http://www.openstreetmap.org/?mlat=37.13&amp;mlon=42.57&amp;zoom=12#map=12/37.13/42.57","Maplink1")</f>
        <v>Maplink1</v>
      </c>
      <c r="AV1632" s="14" t="str">
        <f>HYPERLINK("https://www.google.iq/maps/search/+37.13,42.57/@37.13,42.57,14z?hl=en","Maplink2")</f>
        <v>Maplink2</v>
      </c>
      <c r="AW1632" s="14" t="str">
        <f>HYPERLINK("http://www.bing.com/maps/?lvl=14&amp;sty=h&amp;cp=37.13~42.57&amp;sp=point.37.13_42.57_Rizgari","Maplink3")</f>
        <v>Maplink3</v>
      </c>
    </row>
    <row r="1633" spans="1:49" ht="15" customHeight="1" x14ac:dyDescent="0.25">
      <c r="A1633" s="21">
        <v>20894</v>
      </c>
      <c r="B1633" s="22" t="s">
        <v>13</v>
      </c>
      <c r="C1633" s="22" t="s">
        <v>3078</v>
      </c>
      <c r="D1633" s="22" t="s">
        <v>3149</v>
      </c>
      <c r="E1633" s="22" t="s">
        <v>3150</v>
      </c>
      <c r="F1633" s="22">
        <v>37.142664000000003</v>
      </c>
      <c r="G1633" s="22">
        <v>42.671044999999999</v>
      </c>
      <c r="H1633" s="21" t="s">
        <v>2819</v>
      </c>
      <c r="I1633" s="21" t="s">
        <v>3081</v>
      </c>
      <c r="J1633" s="21" t="s">
        <v>3151</v>
      </c>
      <c r="K1633" s="24">
        <v>195</v>
      </c>
      <c r="L1633" s="24">
        <v>1170</v>
      </c>
      <c r="M1633" s="23">
        <v>2</v>
      </c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>
        <v>193</v>
      </c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>
        <v>154</v>
      </c>
      <c r="AL1633" s="23"/>
      <c r="AM1633" s="23">
        <v>41</v>
      </c>
      <c r="AN1633" s="23"/>
      <c r="AO1633" s="23">
        <v>2</v>
      </c>
      <c r="AP1633" s="23">
        <v>39</v>
      </c>
      <c r="AQ1633" s="23">
        <v>154</v>
      </c>
      <c r="AR1633" s="23"/>
      <c r="AS1633" s="23"/>
      <c r="AT1633" s="23"/>
      <c r="AU1633" s="14" t="str">
        <f>HYPERLINK("http://www.openstreetmap.org/?mlat=37.1427&amp;mlon=42.671&amp;zoom=12#map=12/37.1427/42.671","Maplink1")</f>
        <v>Maplink1</v>
      </c>
      <c r="AV1633" s="14" t="str">
        <f>HYPERLINK("https://www.google.iq/maps/search/+37.1427,42.671/@37.1427,42.671,14z?hl=en","Maplink2")</f>
        <v>Maplink2</v>
      </c>
      <c r="AW1633" s="14" t="str">
        <f>HYPERLINK("http://www.bing.com/maps/?lvl=14&amp;sty=h&amp;cp=37.1427~42.671&amp;sp=point.37.1427_42.671_Salahaddin","Maplink3")</f>
        <v>Maplink3</v>
      </c>
    </row>
    <row r="1634" spans="1:49" ht="15" customHeight="1" x14ac:dyDescent="0.25">
      <c r="A1634" s="21">
        <v>21970</v>
      </c>
      <c r="B1634" s="22" t="s">
        <v>13</v>
      </c>
      <c r="C1634" s="22" t="s">
        <v>3078</v>
      </c>
      <c r="D1634" s="22" t="s">
        <v>3152</v>
      </c>
      <c r="E1634" s="22" t="s">
        <v>3153</v>
      </c>
      <c r="F1634" s="22">
        <v>37.148055560000003</v>
      </c>
      <c r="G1634" s="22">
        <v>42.68305556</v>
      </c>
      <c r="H1634" s="21" t="s">
        <v>2819</v>
      </c>
      <c r="I1634" s="21" t="s">
        <v>3081</v>
      </c>
      <c r="J1634" s="21" t="s">
        <v>3154</v>
      </c>
      <c r="K1634" s="24">
        <v>1000</v>
      </c>
      <c r="L1634" s="24">
        <v>6000</v>
      </c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>
        <v>1000</v>
      </c>
      <c r="Z1634" s="23"/>
      <c r="AA1634" s="23"/>
      <c r="AB1634" s="23"/>
      <c r="AC1634" s="23"/>
      <c r="AD1634" s="23"/>
      <c r="AE1634" s="23"/>
      <c r="AF1634" s="23">
        <v>25</v>
      </c>
      <c r="AG1634" s="23"/>
      <c r="AH1634" s="23"/>
      <c r="AI1634" s="23"/>
      <c r="AJ1634" s="23"/>
      <c r="AK1634" s="23">
        <v>961</v>
      </c>
      <c r="AL1634" s="23"/>
      <c r="AM1634" s="23">
        <v>14</v>
      </c>
      <c r="AN1634" s="23"/>
      <c r="AO1634" s="23">
        <v>4</v>
      </c>
      <c r="AP1634" s="23">
        <v>364</v>
      </c>
      <c r="AQ1634" s="23">
        <v>632</v>
      </c>
      <c r="AR1634" s="23"/>
      <c r="AS1634" s="23"/>
      <c r="AT1634" s="23"/>
      <c r="AU1634" s="14" t="str">
        <f>HYPERLINK("http://www.openstreetmap.org/?mlat=37.1481&amp;mlon=42.6831&amp;zoom=12#map=12/37.1481/42.6831","Maplink1")</f>
        <v>Maplink1</v>
      </c>
      <c r="AV1634" s="14" t="str">
        <f>HYPERLINK("https://www.google.iq/maps/search/+37.1481,42.6831/@37.1481,42.6831,14z?hl=en","Maplink2")</f>
        <v>Maplink2</v>
      </c>
      <c r="AW1634" s="14" t="str">
        <f>HYPERLINK("http://www.bing.com/maps/?lvl=14&amp;sty=h&amp;cp=37.1481~42.6831&amp;sp=point.37.1481_42.6831_Shabaniyah","Maplink3")</f>
        <v>Maplink3</v>
      </c>
    </row>
    <row r="1635" spans="1:49" ht="15" customHeight="1" x14ac:dyDescent="0.25">
      <c r="A1635" s="21">
        <v>8104</v>
      </c>
      <c r="B1635" s="22" t="s">
        <v>13</v>
      </c>
      <c r="C1635" s="22" t="s">
        <v>3078</v>
      </c>
      <c r="D1635" s="22" t="s">
        <v>3155</v>
      </c>
      <c r="E1635" s="22" t="s">
        <v>3156</v>
      </c>
      <c r="F1635" s="22">
        <v>37.174664999999997</v>
      </c>
      <c r="G1635" s="22">
        <v>42.685374000000003</v>
      </c>
      <c r="H1635" s="21" t="s">
        <v>2819</v>
      </c>
      <c r="I1635" s="21" t="s">
        <v>3081</v>
      </c>
      <c r="J1635" s="21" t="s">
        <v>3157</v>
      </c>
      <c r="K1635" s="24">
        <v>135</v>
      </c>
      <c r="L1635" s="24">
        <v>810</v>
      </c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>
        <v>135</v>
      </c>
      <c r="Z1635" s="23"/>
      <c r="AA1635" s="23"/>
      <c r="AB1635" s="23"/>
      <c r="AC1635" s="23"/>
      <c r="AD1635" s="23"/>
      <c r="AE1635" s="23"/>
      <c r="AF1635" s="23">
        <v>4</v>
      </c>
      <c r="AG1635" s="23"/>
      <c r="AH1635" s="23"/>
      <c r="AI1635" s="23"/>
      <c r="AJ1635" s="23"/>
      <c r="AK1635" s="23">
        <v>41</v>
      </c>
      <c r="AL1635" s="23"/>
      <c r="AM1635" s="23">
        <v>90</v>
      </c>
      <c r="AN1635" s="23"/>
      <c r="AO1635" s="23"/>
      <c r="AP1635" s="23">
        <v>24</v>
      </c>
      <c r="AQ1635" s="23">
        <v>111</v>
      </c>
      <c r="AR1635" s="23"/>
      <c r="AS1635" s="23"/>
      <c r="AT1635" s="23"/>
      <c r="AU1635" s="14" t="str">
        <f>HYPERLINK("http://www.openstreetmap.org/?mlat=37.1747&amp;mlon=42.6854&amp;zoom=12#map=12/37.1747/42.6854","Maplink1")</f>
        <v>Maplink1</v>
      </c>
      <c r="AV1635" s="14" t="str">
        <f>HYPERLINK("https://www.google.iq/maps/search/+37.1747,42.6854/@37.1747,42.6854,14z?hl=en","Maplink2")</f>
        <v>Maplink2</v>
      </c>
      <c r="AW1635" s="14" t="str">
        <f>HYPERLINK("http://www.bing.com/maps/?lvl=14&amp;sty=h&amp;cp=37.1747~42.6854&amp;sp=point.37.1747_42.6854_Shkafta Mara","Maplink3")</f>
        <v>Maplink3</v>
      </c>
    </row>
    <row r="1636" spans="1:49" ht="15" customHeight="1" x14ac:dyDescent="0.25">
      <c r="A1636" s="21">
        <v>8560</v>
      </c>
      <c r="B1636" s="22" t="s">
        <v>13</v>
      </c>
      <c r="C1636" s="22" t="s">
        <v>3078</v>
      </c>
      <c r="D1636" s="22" t="s">
        <v>3158</v>
      </c>
      <c r="E1636" s="22" t="s">
        <v>3159</v>
      </c>
      <c r="F1636" s="22">
        <v>37.109676999999998</v>
      </c>
      <c r="G1636" s="22">
        <v>42.469849000000004</v>
      </c>
      <c r="H1636" s="21" t="s">
        <v>2819</v>
      </c>
      <c r="I1636" s="21" t="s">
        <v>3081</v>
      </c>
      <c r="J1636" s="21" t="s">
        <v>3160</v>
      </c>
      <c r="K1636" s="24">
        <v>20</v>
      </c>
      <c r="L1636" s="24">
        <v>120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>
        <v>20</v>
      </c>
      <c r="Z1636" s="23"/>
      <c r="AA1636" s="23"/>
      <c r="AB1636" s="23"/>
      <c r="AC1636" s="23"/>
      <c r="AD1636" s="23"/>
      <c r="AE1636" s="23"/>
      <c r="AF1636" s="23">
        <v>4</v>
      </c>
      <c r="AG1636" s="23"/>
      <c r="AH1636" s="23"/>
      <c r="AI1636" s="23"/>
      <c r="AJ1636" s="23"/>
      <c r="AK1636" s="23"/>
      <c r="AL1636" s="23"/>
      <c r="AM1636" s="23">
        <v>16</v>
      </c>
      <c r="AN1636" s="23"/>
      <c r="AO1636" s="23"/>
      <c r="AP1636" s="23"/>
      <c r="AQ1636" s="23">
        <v>20</v>
      </c>
      <c r="AR1636" s="23"/>
      <c r="AS1636" s="23"/>
      <c r="AT1636" s="23"/>
      <c r="AU1636" s="14" t="str">
        <f>HYPERLINK("http://www.openstreetmap.org/?mlat=37.1097&amp;mlon=42.4698&amp;zoom=12#map=12/37.1097/42.4698","Maplink1")</f>
        <v>Maplink1</v>
      </c>
      <c r="AV1636" s="14" t="str">
        <f>HYPERLINK("https://www.google.iq/maps/search/+37.1097,42.4698/@37.1097,42.4698,14z?hl=en","Maplink2")</f>
        <v>Maplink2</v>
      </c>
      <c r="AW1636" s="14" t="str">
        <f>HYPERLINK("http://www.bing.com/maps/?lvl=14&amp;sty=h&amp;cp=37.1097~42.4698&amp;sp=point.37.1097_42.4698_Tiyano Shinava","Maplink3")</f>
        <v>Maplink3</v>
      </c>
    </row>
    <row r="1637" spans="1:49" ht="15" customHeight="1" x14ac:dyDescent="0.25">
      <c r="A1637" s="21">
        <v>25032</v>
      </c>
      <c r="B1637" s="22" t="s">
        <v>14</v>
      </c>
      <c r="C1637" s="22" t="s">
        <v>3161</v>
      </c>
      <c r="D1637" s="22" t="s">
        <v>8646</v>
      </c>
      <c r="E1637" s="22" t="s">
        <v>622</v>
      </c>
      <c r="F1637" s="22">
        <v>34.0682430938</v>
      </c>
      <c r="G1637" s="22">
        <v>44.863518979399998</v>
      </c>
      <c r="H1637" s="21" t="s">
        <v>3164</v>
      </c>
      <c r="I1637" s="21" t="s">
        <v>3165</v>
      </c>
      <c r="J1637" s="21"/>
      <c r="K1637" s="24">
        <v>32</v>
      </c>
      <c r="L1637" s="24">
        <v>192</v>
      </c>
      <c r="M1637" s="23">
        <v>3</v>
      </c>
      <c r="N1637" s="23"/>
      <c r="O1637" s="23"/>
      <c r="P1637" s="23"/>
      <c r="Q1637" s="23"/>
      <c r="R1637" s="23">
        <v>12</v>
      </c>
      <c r="S1637" s="23"/>
      <c r="T1637" s="23"/>
      <c r="U1637" s="23"/>
      <c r="V1637" s="23"/>
      <c r="W1637" s="23"/>
      <c r="X1637" s="23"/>
      <c r="Y1637" s="23"/>
      <c r="Z1637" s="23"/>
      <c r="AA1637" s="23">
        <v>17</v>
      </c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>
        <v>32</v>
      </c>
      <c r="AL1637" s="23"/>
      <c r="AM1637" s="23"/>
      <c r="AN1637" s="23"/>
      <c r="AO1637" s="23"/>
      <c r="AP1637" s="23">
        <v>15</v>
      </c>
      <c r="AQ1637" s="23"/>
      <c r="AR1637" s="23">
        <v>17</v>
      </c>
      <c r="AS1637" s="23"/>
      <c r="AT1637" s="23"/>
      <c r="AU1637" s="14" t="str">
        <f>HYPERLINK("http://www.openstreetmap.org/?mlat=33.7534&amp;mlon=44.4831&amp;zoom=12#map=12/33.7534/44.4831","Maplink1")</f>
        <v>Maplink1</v>
      </c>
      <c r="AV1637" s="14" t="str">
        <f>HYPERLINK("https://www.google.iq/maps/search/+33.7534,44.4831/@33.7534,44.4831,14z?hl=en","Maplink2")</f>
        <v>Maplink2</v>
      </c>
      <c r="AW1637" s="14" t="str">
        <f>HYPERLINK("http://www.bing.com/maps/?lvl=14&amp;sty=h&amp;cp=33.7534~44.4831&amp;sp=point.33.7534_44.4831_Hibhib-Al Askary Qtr","Maplink3")</f>
        <v>Maplink3</v>
      </c>
    </row>
    <row r="1638" spans="1:49" ht="15" customHeight="1" x14ac:dyDescent="0.25">
      <c r="A1638" s="21">
        <v>24094</v>
      </c>
      <c r="B1638" s="22" t="s">
        <v>14</v>
      </c>
      <c r="C1638" s="22" t="s">
        <v>3161</v>
      </c>
      <c r="D1638" s="22" t="s">
        <v>3162</v>
      </c>
      <c r="E1638" s="22" t="s">
        <v>3163</v>
      </c>
      <c r="F1638" s="22">
        <v>33.974571923399999</v>
      </c>
      <c r="G1638" s="22">
        <v>44.414102971200002</v>
      </c>
      <c r="H1638" s="21" t="s">
        <v>3164</v>
      </c>
      <c r="I1638" s="21" t="s">
        <v>3165</v>
      </c>
      <c r="J1638" s="21" t="s">
        <v>3166</v>
      </c>
      <c r="K1638" s="24">
        <v>50</v>
      </c>
      <c r="L1638" s="24">
        <v>300</v>
      </c>
      <c r="M1638" s="23">
        <v>50</v>
      </c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>
        <v>50</v>
      </c>
      <c r="AG1638" s="23"/>
      <c r="AH1638" s="23"/>
      <c r="AI1638" s="23"/>
      <c r="AJ1638" s="23"/>
      <c r="AK1638" s="23"/>
      <c r="AL1638" s="23"/>
      <c r="AM1638" s="23"/>
      <c r="AN1638" s="23"/>
      <c r="AO1638" s="23">
        <v>15</v>
      </c>
      <c r="AP1638" s="23"/>
      <c r="AQ1638" s="23"/>
      <c r="AR1638" s="23"/>
      <c r="AS1638" s="23">
        <v>35</v>
      </c>
      <c r="AT1638" s="23"/>
      <c r="AU1638" s="14" t="str">
        <f>HYPERLINK("http://www.openstreetmap.org/?mlat=33.977&amp;mlon=44.413&amp;zoom=12#map=12/33.977/44.413","Maplink1")</f>
        <v>Maplink1</v>
      </c>
      <c r="AV1638" s="14" t="str">
        <f>HYPERLINK("https://www.google.iq/maps/search/+33.977,44.413/@33.977,44.413,14z?hl=en","Maplink2")</f>
        <v>Maplink2</v>
      </c>
      <c r="AW1638" s="14" t="str">
        <f>HYPERLINK("http://www.bing.com/maps/?lvl=14&amp;sty=h&amp;cp=33.977~44.413&amp;sp=point.33.977_44.413_Al Dojama","Maplink3")</f>
        <v>Maplink3</v>
      </c>
    </row>
    <row r="1639" spans="1:49" ht="15" customHeight="1" x14ac:dyDescent="0.25">
      <c r="A1639" s="21">
        <v>11195</v>
      </c>
      <c r="B1639" s="22" t="s">
        <v>14</v>
      </c>
      <c r="C1639" s="22" t="s">
        <v>3161</v>
      </c>
      <c r="D1639" s="22" t="s">
        <v>3167</v>
      </c>
      <c r="E1639" s="22" t="s">
        <v>3168</v>
      </c>
      <c r="F1639" s="22">
        <v>33.731465265200001</v>
      </c>
      <c r="G1639" s="22">
        <v>44.480516379699999</v>
      </c>
      <c r="H1639" s="21" t="s">
        <v>3164</v>
      </c>
      <c r="I1639" s="21" t="s">
        <v>3165</v>
      </c>
      <c r="J1639" s="21" t="s">
        <v>3169</v>
      </c>
      <c r="K1639" s="24">
        <v>67</v>
      </c>
      <c r="L1639" s="24">
        <v>402</v>
      </c>
      <c r="M1639" s="23">
        <v>10</v>
      </c>
      <c r="N1639" s="23"/>
      <c r="O1639" s="23"/>
      <c r="P1639" s="23"/>
      <c r="Q1639" s="23"/>
      <c r="R1639" s="23">
        <v>50</v>
      </c>
      <c r="S1639" s="23"/>
      <c r="T1639" s="23"/>
      <c r="U1639" s="23"/>
      <c r="V1639" s="23"/>
      <c r="W1639" s="23"/>
      <c r="X1639" s="23"/>
      <c r="Y1639" s="23"/>
      <c r="Z1639" s="23"/>
      <c r="AA1639" s="23">
        <v>7</v>
      </c>
      <c r="AB1639" s="23"/>
      <c r="AC1639" s="23"/>
      <c r="AD1639" s="23"/>
      <c r="AE1639" s="23"/>
      <c r="AF1639" s="23">
        <v>7</v>
      </c>
      <c r="AG1639" s="23"/>
      <c r="AH1639" s="23"/>
      <c r="AI1639" s="23"/>
      <c r="AJ1639" s="23"/>
      <c r="AK1639" s="23">
        <v>30</v>
      </c>
      <c r="AL1639" s="23"/>
      <c r="AM1639" s="23">
        <v>30</v>
      </c>
      <c r="AN1639" s="23"/>
      <c r="AO1639" s="23"/>
      <c r="AP1639" s="23"/>
      <c r="AQ1639" s="23"/>
      <c r="AR1639" s="23">
        <v>57</v>
      </c>
      <c r="AS1639" s="23">
        <v>10</v>
      </c>
      <c r="AT1639" s="23"/>
      <c r="AU1639" s="14" t="str">
        <f>HYPERLINK("http://www.openstreetmap.org/?mlat=33.7954&amp;mlon=44.4874&amp;zoom=12#map=12/33.7954/44.4874","Maplink1")</f>
        <v>Maplink1</v>
      </c>
      <c r="AV1639" s="14" t="str">
        <f>HYPERLINK("https://www.google.iq/maps/search/+33.7954,44.4874/@33.7954,44.4874,14z?hl=en","Maplink2")</f>
        <v>Maplink2</v>
      </c>
      <c r="AW1639" s="14" t="str">
        <f>HYPERLINK("http://www.bing.com/maps/?lvl=14&amp;sty=h&amp;cp=33.7954~44.4874&amp;sp=point.33.7954_44.4874_Al Ghalbiya","Maplink3")</f>
        <v>Maplink3</v>
      </c>
    </row>
    <row r="1640" spans="1:49" ht="15" customHeight="1" x14ac:dyDescent="0.25">
      <c r="A1640" s="21">
        <v>25022</v>
      </c>
      <c r="B1640" s="22" t="s">
        <v>14</v>
      </c>
      <c r="C1640" s="22" t="s">
        <v>3161</v>
      </c>
      <c r="D1640" s="22" t="s">
        <v>3170</v>
      </c>
      <c r="E1640" s="22" t="s">
        <v>3171</v>
      </c>
      <c r="F1640" s="22">
        <v>33.691946999499997</v>
      </c>
      <c r="G1640" s="22">
        <v>44.435401331500003</v>
      </c>
      <c r="H1640" s="21" t="s">
        <v>3164</v>
      </c>
      <c r="I1640" s="21" t="s">
        <v>3165</v>
      </c>
      <c r="J1640" s="21"/>
      <c r="K1640" s="24">
        <v>35</v>
      </c>
      <c r="L1640" s="24">
        <v>210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>
        <v>30</v>
      </c>
      <c r="Z1640" s="23"/>
      <c r="AA1640" s="23">
        <v>5</v>
      </c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>
        <v>35</v>
      </c>
      <c r="AL1640" s="23"/>
      <c r="AM1640" s="23"/>
      <c r="AN1640" s="23"/>
      <c r="AO1640" s="23"/>
      <c r="AP1640" s="23">
        <v>30</v>
      </c>
      <c r="AQ1640" s="23">
        <v>5</v>
      </c>
      <c r="AR1640" s="23"/>
      <c r="AS1640" s="23"/>
      <c r="AT1640" s="23"/>
      <c r="AU1640" s="14" t="str">
        <f>HYPERLINK("http://www.openstreetmap.org/?mlat=33.6921&amp;mlon=44.4353&amp;zoom=12#map=12/33.6921/44.4353","Maplink1")</f>
        <v>Maplink1</v>
      </c>
      <c r="AV1640" s="14" t="str">
        <f>HYPERLINK("https://www.google.iq/maps/search/+33.6921,44.4353/@33.6921,44.4353,14z?hl=en","Maplink2")</f>
        <v>Maplink2</v>
      </c>
      <c r="AW1640" s="14" t="str">
        <f>HYPERLINK("http://www.bing.com/maps/?lvl=14&amp;sty=h&amp;cp=33.6921~44.4353&amp;sp=point.33.6921_44.4353_Al Gserin Village","Maplink3")</f>
        <v>Maplink3</v>
      </c>
    </row>
    <row r="1641" spans="1:49" ht="15" customHeight="1" x14ac:dyDescent="0.25">
      <c r="A1641" s="21">
        <v>23966</v>
      </c>
      <c r="B1641" s="22" t="s">
        <v>14</v>
      </c>
      <c r="C1641" s="22" t="s">
        <v>3161</v>
      </c>
      <c r="D1641" s="22" t="s">
        <v>3172</v>
      </c>
      <c r="E1641" s="22" t="s">
        <v>3173</v>
      </c>
      <c r="F1641" s="22">
        <v>33.768368940800002</v>
      </c>
      <c r="G1641" s="22">
        <v>44.563619764499997</v>
      </c>
      <c r="H1641" s="21" t="s">
        <v>3164</v>
      </c>
      <c r="I1641" s="21" t="s">
        <v>3165</v>
      </c>
      <c r="J1641" s="21" t="s">
        <v>3174</v>
      </c>
      <c r="K1641" s="24">
        <v>180</v>
      </c>
      <c r="L1641" s="24">
        <v>1080</v>
      </c>
      <c r="M1641" s="23">
        <v>6</v>
      </c>
      <c r="N1641" s="23"/>
      <c r="O1641" s="23"/>
      <c r="P1641" s="23"/>
      <c r="Q1641" s="23"/>
      <c r="R1641" s="23">
        <v>167</v>
      </c>
      <c r="S1641" s="23"/>
      <c r="T1641" s="23"/>
      <c r="U1641" s="23"/>
      <c r="V1641" s="23"/>
      <c r="W1641" s="23"/>
      <c r="X1641" s="23"/>
      <c r="Y1641" s="23"/>
      <c r="Z1641" s="23"/>
      <c r="AA1641" s="23">
        <v>7</v>
      </c>
      <c r="AB1641" s="23"/>
      <c r="AC1641" s="23"/>
      <c r="AD1641" s="23"/>
      <c r="AE1641" s="23"/>
      <c r="AF1641" s="23">
        <v>98</v>
      </c>
      <c r="AG1641" s="23"/>
      <c r="AH1641" s="23"/>
      <c r="AI1641" s="23"/>
      <c r="AJ1641" s="23"/>
      <c r="AK1641" s="23">
        <v>32</v>
      </c>
      <c r="AL1641" s="23"/>
      <c r="AM1641" s="23">
        <v>50</v>
      </c>
      <c r="AN1641" s="23"/>
      <c r="AO1641" s="23">
        <v>6</v>
      </c>
      <c r="AP1641" s="23"/>
      <c r="AQ1641" s="23">
        <v>10</v>
      </c>
      <c r="AR1641" s="23">
        <v>157</v>
      </c>
      <c r="AS1641" s="23">
        <v>7</v>
      </c>
      <c r="AT1641" s="23"/>
      <c r="AU1641" s="14" t="str">
        <f>HYPERLINK("http://www.openstreetmap.org/?mlat=33.7711&amp;mlon=44.5571&amp;zoom=12#map=12/33.7711/44.5571","Maplink1")</f>
        <v>Maplink1</v>
      </c>
      <c r="AV1641" s="14" t="str">
        <f>HYPERLINK("https://www.google.iq/maps/search/+33.7711,44.5571/@33.7711,44.5571,14z?hl=en","Maplink2")</f>
        <v>Maplink2</v>
      </c>
      <c r="AW1641" s="14" t="str">
        <f>HYPERLINK("http://www.bing.com/maps/?lvl=14&amp;sty=h&amp;cp=33.7711~44.5571&amp;sp=point.33.7711_44.5571_Al Hadid","Maplink3")</f>
        <v>Maplink3</v>
      </c>
    </row>
    <row r="1642" spans="1:49" ht="15" customHeight="1" x14ac:dyDescent="0.25">
      <c r="A1642" s="21">
        <v>25814</v>
      </c>
      <c r="B1642" s="22" t="s">
        <v>14</v>
      </c>
      <c r="C1642" s="22" t="s">
        <v>3161</v>
      </c>
      <c r="D1642" s="22" t="s">
        <v>3175</v>
      </c>
      <c r="E1642" s="22" t="s">
        <v>3176</v>
      </c>
      <c r="F1642" s="22">
        <v>33.7763651088</v>
      </c>
      <c r="G1642" s="22">
        <v>44.5650931355</v>
      </c>
      <c r="H1642" s="21" t="s">
        <v>3164</v>
      </c>
      <c r="I1642" s="21" t="s">
        <v>3165</v>
      </c>
      <c r="J1642" s="21"/>
      <c r="K1642" s="24">
        <v>39</v>
      </c>
      <c r="L1642" s="24">
        <v>234</v>
      </c>
      <c r="M1642" s="23">
        <v>25</v>
      </c>
      <c r="N1642" s="23"/>
      <c r="O1642" s="23"/>
      <c r="P1642" s="23"/>
      <c r="Q1642" s="23"/>
      <c r="R1642" s="23">
        <v>10</v>
      </c>
      <c r="S1642" s="23"/>
      <c r="T1642" s="23"/>
      <c r="U1642" s="23"/>
      <c r="V1642" s="23"/>
      <c r="W1642" s="23"/>
      <c r="X1642" s="23"/>
      <c r="Y1642" s="23"/>
      <c r="Z1642" s="23"/>
      <c r="AA1642" s="23">
        <v>4</v>
      </c>
      <c r="AB1642" s="23"/>
      <c r="AC1642" s="23"/>
      <c r="AD1642" s="23"/>
      <c r="AE1642" s="23"/>
      <c r="AF1642" s="23">
        <v>39</v>
      </c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>
        <v>10</v>
      </c>
      <c r="AS1642" s="23">
        <v>29</v>
      </c>
      <c r="AT1642" s="23"/>
      <c r="AU1642" s="14" t="str">
        <f>HYPERLINK("http://www.openstreetmap.org/?mlat=33.7713&amp;mlon=44.5638&amp;zoom=12#map=12/33.7713/44.5638","Maplink1")</f>
        <v>Maplink1</v>
      </c>
      <c r="AV1642" s="14" t="str">
        <f>HYPERLINK("https://www.google.iq/maps/search/+33.7713,44.5638/@33.7713,44.5638,14z?hl=en","Maplink2")</f>
        <v>Maplink2</v>
      </c>
      <c r="AW1642" s="14" t="str">
        <f>HYPERLINK("http://www.bing.com/maps/?lvl=14&amp;sty=h&amp;cp=33.7713~44.5638&amp;sp=point.33.7713_44.5638_Al Hadid Old","Maplink3")</f>
        <v>Maplink3</v>
      </c>
    </row>
    <row r="1643" spans="1:49" ht="15" customHeight="1" x14ac:dyDescent="0.25">
      <c r="A1643" s="21">
        <v>25815</v>
      </c>
      <c r="B1643" s="22" t="s">
        <v>14</v>
      </c>
      <c r="C1643" s="22" t="s">
        <v>3161</v>
      </c>
      <c r="D1643" s="22" t="s">
        <v>3177</v>
      </c>
      <c r="E1643" s="22" t="s">
        <v>3178</v>
      </c>
      <c r="F1643" s="22">
        <v>33.772122357000001</v>
      </c>
      <c r="G1643" s="22">
        <v>44.554678369299999</v>
      </c>
      <c r="H1643" s="21" t="s">
        <v>3164</v>
      </c>
      <c r="I1643" s="21" t="s">
        <v>3165</v>
      </c>
      <c r="J1643" s="21"/>
      <c r="K1643" s="24">
        <v>35</v>
      </c>
      <c r="L1643" s="24">
        <v>210</v>
      </c>
      <c r="M1643" s="23">
        <v>35</v>
      </c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>
        <v>35</v>
      </c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23"/>
      <c r="AS1643" s="23">
        <v>35</v>
      </c>
      <c r="AT1643" s="23"/>
      <c r="AU1643" s="14" t="str">
        <f>HYPERLINK("http://www.openstreetmap.org/?mlat=33.7705&amp;mlon=44.5549&amp;zoom=12#map=12/33.7705/44.5549","Maplink1")</f>
        <v>Maplink1</v>
      </c>
      <c r="AV1643" s="14" t="str">
        <f>HYPERLINK("https://www.google.iq/maps/search/+33.7705,44.5549/@33.7705,44.5549,14z?hl=en","Maplink2")</f>
        <v>Maplink2</v>
      </c>
      <c r="AW1643" s="14" t="str">
        <f>HYPERLINK("http://www.bing.com/maps/?lvl=14&amp;sty=h&amp;cp=33.7705~44.5549&amp;sp=point.33.7705_44.5549_Al Hadid-Al Benook Qtr","Maplink3")</f>
        <v>Maplink3</v>
      </c>
    </row>
    <row r="1644" spans="1:49" ht="15" customHeight="1" x14ac:dyDescent="0.25">
      <c r="A1644" s="21">
        <v>25667</v>
      </c>
      <c r="B1644" s="22" t="s">
        <v>14</v>
      </c>
      <c r="C1644" s="22" t="s">
        <v>3161</v>
      </c>
      <c r="D1644" s="22" t="s">
        <v>8647</v>
      </c>
      <c r="E1644" s="22" t="s">
        <v>3187</v>
      </c>
      <c r="F1644" s="22">
        <v>34.079797553699997</v>
      </c>
      <c r="G1644" s="22">
        <v>44.882956991</v>
      </c>
      <c r="H1644" s="21" t="s">
        <v>3164</v>
      </c>
      <c r="I1644" s="21" t="s">
        <v>3165</v>
      </c>
      <c r="J1644" s="21"/>
      <c r="K1644" s="24">
        <v>18</v>
      </c>
      <c r="L1644" s="24">
        <v>108</v>
      </c>
      <c r="M1644" s="23"/>
      <c r="N1644" s="23"/>
      <c r="O1644" s="23"/>
      <c r="P1644" s="23"/>
      <c r="Q1644" s="23"/>
      <c r="R1644" s="23">
        <v>18</v>
      </c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>
        <v>18</v>
      </c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23">
        <v>18</v>
      </c>
      <c r="AS1644" s="23"/>
      <c r="AT1644" s="23"/>
      <c r="AU1644" s="14" t="str">
        <f>HYPERLINK("http://www.openstreetmap.org/?mlat=34.0784&amp;mlon=44.8846&amp;zoom=12#map=12/34.0784/44.8846","Maplink1")</f>
        <v>Maplink1</v>
      </c>
      <c r="AV1644" s="14" t="str">
        <f>HYPERLINK("https://www.google.iq/maps/search/+34.0784,44.8846/@34.0784,44.8846,14z?hl=en","Maplink2")</f>
        <v>Maplink2</v>
      </c>
      <c r="AW1644" s="14" t="str">
        <f>HYPERLINK("http://www.bing.com/maps/?lvl=14&amp;sty=h&amp;cp=34.0784~44.8846&amp;sp=point.34.0784_44.8846_Al-Makareen Village","Maplink3")</f>
        <v>Maplink3</v>
      </c>
    </row>
    <row r="1645" spans="1:49" ht="15" customHeight="1" x14ac:dyDescent="0.25">
      <c r="A1645" s="21">
        <v>25666</v>
      </c>
      <c r="B1645" s="22" t="s">
        <v>14</v>
      </c>
      <c r="C1645" s="22" t="s">
        <v>3161</v>
      </c>
      <c r="D1645" s="22" t="s">
        <v>8648</v>
      </c>
      <c r="E1645" s="22" t="s">
        <v>3188</v>
      </c>
      <c r="F1645" s="22">
        <v>34.084614422800001</v>
      </c>
      <c r="G1645" s="22">
        <v>44.775754945599999</v>
      </c>
      <c r="H1645" s="21" t="s">
        <v>3164</v>
      </c>
      <c r="I1645" s="21" t="s">
        <v>3165</v>
      </c>
      <c r="J1645" s="21"/>
      <c r="K1645" s="24">
        <v>4</v>
      </c>
      <c r="L1645" s="24">
        <v>24</v>
      </c>
      <c r="M1645" s="23"/>
      <c r="N1645" s="23"/>
      <c r="O1645" s="23"/>
      <c r="P1645" s="23"/>
      <c r="Q1645" s="23"/>
      <c r="R1645" s="23">
        <v>4</v>
      </c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>
        <v>4</v>
      </c>
      <c r="AN1645" s="23"/>
      <c r="AO1645" s="23"/>
      <c r="AP1645" s="23"/>
      <c r="AQ1645" s="23"/>
      <c r="AR1645" s="23">
        <v>4</v>
      </c>
      <c r="AS1645" s="23"/>
      <c r="AT1645" s="23"/>
      <c r="AU1645" s="14" t="str">
        <f>HYPERLINK("http://www.openstreetmap.org/?mlat=34.0844&amp;mlon=44.8415&amp;zoom=12#map=12/34.0844/44.8415","Maplink1")</f>
        <v>Maplink1</v>
      </c>
      <c r="AV1645" s="14" t="str">
        <f>HYPERLINK("https://www.google.iq/maps/search/+34.0844,44.8415/@34.0844,44.8415,14z?hl=en","Maplink2")</f>
        <v>Maplink2</v>
      </c>
      <c r="AW1645" s="14" t="str">
        <f>HYPERLINK("http://www.bing.com/maps/?lvl=14&amp;sty=h&amp;cp=34.0844~44.8415&amp;sp=point.34.0844_44.8415_Al-Mashroo Village","Maplink3")</f>
        <v>Maplink3</v>
      </c>
    </row>
    <row r="1646" spans="1:49" ht="15" customHeight="1" x14ac:dyDescent="0.25">
      <c r="A1646" s="21">
        <v>25026</v>
      </c>
      <c r="B1646" s="22" t="s">
        <v>14</v>
      </c>
      <c r="C1646" s="22" t="s">
        <v>3161</v>
      </c>
      <c r="D1646" s="22" t="s">
        <v>8649</v>
      </c>
      <c r="E1646" s="22" t="s">
        <v>3181</v>
      </c>
      <c r="F1646" s="22">
        <v>33.720382419400003</v>
      </c>
      <c r="G1646" s="22">
        <v>44.490060266100002</v>
      </c>
      <c r="H1646" s="21" t="s">
        <v>3164</v>
      </c>
      <c r="I1646" s="21" t="s">
        <v>3165</v>
      </c>
      <c r="J1646" s="21"/>
      <c r="K1646" s="24">
        <v>47</v>
      </c>
      <c r="L1646" s="24">
        <v>282</v>
      </c>
      <c r="M1646" s="23"/>
      <c r="N1646" s="23"/>
      <c r="O1646" s="23"/>
      <c r="P1646" s="23"/>
      <c r="Q1646" s="23"/>
      <c r="R1646" s="23">
        <v>47</v>
      </c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>
        <v>47</v>
      </c>
      <c r="AL1646" s="23"/>
      <c r="AM1646" s="23"/>
      <c r="AN1646" s="23"/>
      <c r="AO1646" s="23"/>
      <c r="AP1646" s="23"/>
      <c r="AQ1646" s="23"/>
      <c r="AR1646" s="23">
        <v>47</v>
      </c>
      <c r="AS1646" s="23"/>
      <c r="AT1646" s="23"/>
      <c r="AU1646" s="14" t="str">
        <f>HYPERLINK("http://www.openstreetmap.org/?mlat=33.7773&amp;mlon=44.5885&amp;zoom=12#map=12/33.7773/44.5885","Maplink1")</f>
        <v>Maplink1</v>
      </c>
      <c r="AV1646" s="14" t="str">
        <f>HYPERLINK("https://www.google.iq/maps/search/+33.7773,44.5885/@33.7773,44.5885,14z?hl=en","Maplink2")</f>
        <v>Maplink2</v>
      </c>
      <c r="AW1646" s="14" t="str">
        <f>HYPERLINK("http://www.bing.com/maps/?lvl=14&amp;sty=h&amp;cp=33.7773~44.5885&amp;sp=point.33.7773_44.5885_Al Mohandseen Village","Maplink3")</f>
        <v>Maplink3</v>
      </c>
    </row>
    <row r="1647" spans="1:49" ht="15" customHeight="1" x14ac:dyDescent="0.25">
      <c r="A1647" s="21">
        <v>22041</v>
      </c>
      <c r="B1647" s="22" t="s">
        <v>14</v>
      </c>
      <c r="C1647" s="22" t="s">
        <v>3161</v>
      </c>
      <c r="D1647" s="22" t="s">
        <v>8650</v>
      </c>
      <c r="E1647" s="22" t="s">
        <v>225</v>
      </c>
      <c r="F1647" s="22">
        <v>33.785422761</v>
      </c>
      <c r="G1647" s="22">
        <v>44.502394320400001</v>
      </c>
      <c r="H1647" s="21" t="s">
        <v>3164</v>
      </c>
      <c r="I1647" s="21" t="s">
        <v>3165</v>
      </c>
      <c r="J1647" s="21" t="s">
        <v>3206</v>
      </c>
      <c r="K1647" s="24">
        <v>40</v>
      </c>
      <c r="L1647" s="24">
        <v>240</v>
      </c>
      <c r="M1647" s="23"/>
      <c r="N1647" s="23"/>
      <c r="O1647" s="23"/>
      <c r="P1647" s="23"/>
      <c r="Q1647" s="23"/>
      <c r="R1647" s="23">
        <v>40</v>
      </c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>
        <v>40</v>
      </c>
      <c r="AL1647" s="23"/>
      <c r="AM1647" s="23"/>
      <c r="AN1647" s="23"/>
      <c r="AO1647" s="23"/>
      <c r="AP1647" s="23"/>
      <c r="AQ1647" s="23"/>
      <c r="AR1647" s="23">
        <v>40</v>
      </c>
      <c r="AS1647" s="23"/>
      <c r="AT1647" s="23"/>
      <c r="AU1647" s="14" t="str">
        <f>HYPERLINK("http://www.openstreetmap.org/?mlat=33.7915&amp;mlon=44.5117&amp;zoom=12#map=12/33.7915/44.5117","Maplink1")</f>
        <v>Maplink1</v>
      </c>
      <c r="AV1647" s="14" t="str">
        <f>HYPERLINK("https://www.google.iq/maps/search/+33.7915,44.5117/@33.7915,44.5117,14z?hl=en","Maplink2")</f>
        <v>Maplink2</v>
      </c>
      <c r="AW1647" s="14" t="str">
        <f>HYPERLINK("http://www.bing.com/maps/?lvl=14&amp;sty=h&amp;cp=33.7915~44.5117&amp;sp=point.33.7915_44.5117_Hay Al Qadissiya","Maplink3")</f>
        <v>Maplink3</v>
      </c>
    </row>
    <row r="1648" spans="1:49" ht="15" customHeight="1" x14ac:dyDescent="0.25">
      <c r="A1648" s="21">
        <v>26057</v>
      </c>
      <c r="B1648" s="22" t="s">
        <v>14</v>
      </c>
      <c r="C1648" s="22" t="s">
        <v>3161</v>
      </c>
      <c r="D1648" s="22" t="s">
        <v>8651</v>
      </c>
      <c r="E1648" s="22" t="s">
        <v>3182</v>
      </c>
      <c r="F1648" s="22">
        <v>34.079245161300001</v>
      </c>
      <c r="G1648" s="22">
        <v>44.863570977400002</v>
      </c>
      <c r="H1648" s="21" t="s">
        <v>3164</v>
      </c>
      <c r="I1648" s="21" t="s">
        <v>3165</v>
      </c>
      <c r="J1648" s="21"/>
      <c r="K1648" s="24">
        <v>5</v>
      </c>
      <c r="L1648" s="24">
        <v>30</v>
      </c>
      <c r="M1648" s="23"/>
      <c r="N1648" s="23"/>
      <c r="O1648" s="23"/>
      <c r="P1648" s="23"/>
      <c r="Q1648" s="23"/>
      <c r="R1648" s="23">
        <v>5</v>
      </c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>
        <v>5</v>
      </c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23">
        <v>5</v>
      </c>
      <c r="AS1648" s="23"/>
      <c r="AT1648" s="23"/>
      <c r="AU1648" s="14" t="str">
        <f>HYPERLINK("http://www.openstreetmap.org/?mlat=34.0848&amp;mlon=44.8911&amp;zoom=12#map=12/34.0848/44.8911","Maplink1")</f>
        <v>Maplink1</v>
      </c>
      <c r="AV1648" s="14" t="str">
        <f>HYPERLINK("https://www.google.iq/maps/search/+34.0848,44.8911/@34.0848,44.8911,14z?hl=en","Maplink2")</f>
        <v>Maplink2</v>
      </c>
      <c r="AW1648" s="14" t="str">
        <f>HYPERLINK("http://www.bing.com/maps/?lvl=14&amp;sty=h&amp;cp=34.0848~44.8911&amp;sp=point.34.0848_44.8911_Al Rmelat Village","Maplink3")</f>
        <v>Maplink3</v>
      </c>
    </row>
    <row r="1649" spans="1:49" ht="15" customHeight="1" x14ac:dyDescent="0.25">
      <c r="A1649" s="21">
        <v>25031</v>
      </c>
      <c r="B1649" s="22" t="s">
        <v>14</v>
      </c>
      <c r="C1649" s="22" t="s">
        <v>3161</v>
      </c>
      <c r="D1649" s="22" t="s">
        <v>3183</v>
      </c>
      <c r="E1649" s="22" t="s">
        <v>3184</v>
      </c>
      <c r="F1649" s="22">
        <v>33.768000908099999</v>
      </c>
      <c r="G1649" s="22">
        <v>44.493072122699999</v>
      </c>
      <c r="H1649" s="21" t="s">
        <v>3164</v>
      </c>
      <c r="I1649" s="21" t="s">
        <v>3165</v>
      </c>
      <c r="J1649" s="21"/>
      <c r="K1649" s="24">
        <v>10</v>
      </c>
      <c r="L1649" s="24">
        <v>60</v>
      </c>
      <c r="M1649" s="23"/>
      <c r="N1649" s="23"/>
      <c r="O1649" s="23"/>
      <c r="P1649" s="23"/>
      <c r="Q1649" s="23"/>
      <c r="R1649" s="23">
        <v>10</v>
      </c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>
        <v>10</v>
      </c>
      <c r="AL1649" s="23"/>
      <c r="AM1649" s="23"/>
      <c r="AN1649" s="23"/>
      <c r="AO1649" s="23"/>
      <c r="AP1649" s="23"/>
      <c r="AQ1649" s="23"/>
      <c r="AR1649" s="23">
        <v>10</v>
      </c>
      <c r="AS1649" s="23"/>
      <c r="AT1649" s="23"/>
      <c r="AU1649" s="14" t="str">
        <f>HYPERLINK("http://www.openstreetmap.org/?mlat=33.7598&amp;mlon=44.4922&amp;zoom=12#map=12/33.7598/44.4922","Maplink1")</f>
        <v>Maplink1</v>
      </c>
      <c r="AV1649" s="14" t="str">
        <f>HYPERLINK("https://www.google.iq/maps/search/+33.7598,44.4922/@33.7598,44.4922,14z?hl=en","Maplink2")</f>
        <v>Maplink2</v>
      </c>
      <c r="AW1649" s="14" t="str">
        <f>HYPERLINK("http://www.bing.com/maps/?lvl=14&amp;sty=h&amp;cp=33.7598~44.4922&amp;sp=point.33.7598_44.4922_Al Sadah Al Neeam Village","Maplink3")</f>
        <v>Maplink3</v>
      </c>
    </row>
    <row r="1650" spans="1:49" ht="15" customHeight="1" x14ac:dyDescent="0.25">
      <c r="A1650" s="21">
        <v>25661</v>
      </c>
      <c r="B1650" s="22" t="s">
        <v>14</v>
      </c>
      <c r="C1650" s="22" t="s">
        <v>3161</v>
      </c>
      <c r="D1650" s="22" t="s">
        <v>3248</v>
      </c>
      <c r="E1650" s="22" t="s">
        <v>3189</v>
      </c>
      <c r="F1650" s="22">
        <v>34.0859304771</v>
      </c>
      <c r="G1650" s="22">
        <v>44.928410689400003</v>
      </c>
      <c r="H1650" s="21" t="s">
        <v>3164</v>
      </c>
      <c r="I1650" s="21" t="s">
        <v>3165</v>
      </c>
      <c r="J1650" s="21"/>
      <c r="K1650" s="24">
        <v>19</v>
      </c>
      <c r="L1650" s="24">
        <v>114</v>
      </c>
      <c r="M1650" s="23"/>
      <c r="N1650" s="23"/>
      <c r="O1650" s="23"/>
      <c r="P1650" s="23"/>
      <c r="Q1650" s="23"/>
      <c r="R1650" s="23">
        <v>19</v>
      </c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>
        <v>19</v>
      </c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>
        <v>19</v>
      </c>
      <c r="AS1650" s="23"/>
      <c r="AT1650" s="23"/>
      <c r="AU1650" s="14" t="str">
        <f>HYPERLINK("http://www.openstreetmap.org/?mlat=34.0849&amp;mlon=44.9183&amp;zoom=12#map=12/34.0849/44.9183","Maplink1")</f>
        <v>Maplink1</v>
      </c>
      <c r="AV1650" s="14" t="str">
        <f>HYPERLINK("https://www.google.iq/maps/search/+34.0849,44.9183/@34.0849,44.9183,14z?hl=en","Maplink2")</f>
        <v>Maplink2</v>
      </c>
      <c r="AW1650" s="14" t="str">
        <f>HYPERLINK("http://www.bing.com/maps/?lvl=14&amp;sty=h&amp;cp=34.0849~44.9183&amp;sp=point.34.0849_44.9183_Al-Sadah Village","Maplink3")</f>
        <v>Maplink3</v>
      </c>
    </row>
    <row r="1651" spans="1:49" ht="15" customHeight="1" x14ac:dyDescent="0.25">
      <c r="A1651" s="21">
        <v>24483</v>
      </c>
      <c r="B1651" s="22" t="s">
        <v>14</v>
      </c>
      <c r="C1651" s="22" t="s">
        <v>3161</v>
      </c>
      <c r="D1651" s="22" t="s">
        <v>1643</v>
      </c>
      <c r="E1651" s="22" t="s">
        <v>8006</v>
      </c>
      <c r="F1651" s="22">
        <v>33.933622316600001</v>
      </c>
      <c r="G1651" s="22">
        <v>44.7265748708</v>
      </c>
      <c r="H1651" s="21" t="s">
        <v>3164</v>
      </c>
      <c r="I1651" s="21" t="s">
        <v>3165</v>
      </c>
      <c r="J1651" s="21"/>
      <c r="K1651" s="24">
        <v>10</v>
      </c>
      <c r="L1651" s="24">
        <v>60</v>
      </c>
      <c r="M1651" s="23"/>
      <c r="N1651" s="23"/>
      <c r="O1651" s="23"/>
      <c r="P1651" s="23"/>
      <c r="Q1651" s="23"/>
      <c r="R1651" s="23">
        <v>10</v>
      </c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>
        <v>10</v>
      </c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>
        <v>10</v>
      </c>
      <c r="AR1651" s="23"/>
      <c r="AS1651" s="23"/>
      <c r="AT1651" s="23"/>
      <c r="AU1651" s="14" t="str">
        <f>HYPERLINK("http://www.openstreetmap.org/?mlat=33.8437&amp;mlon=44.6167&amp;zoom=12#map=12/33.8437/44.6167","Maplink1")</f>
        <v>Maplink1</v>
      </c>
      <c r="AV1651" s="14" t="str">
        <f>HYPERLINK("https://www.google.iq/maps/search/+33.8437,44.6167/@33.8437,44.6167,14z?hl=en","Maplink2")</f>
        <v>Maplink2</v>
      </c>
      <c r="AW1651" s="14" t="str">
        <f>HYPERLINK("http://www.bing.com/maps/?lvl=14&amp;sty=h&amp;cp=33.8437~44.6167&amp;sp=point.33.8437_44.6167_Al Salam","Maplink3")</f>
        <v>Maplink3</v>
      </c>
    </row>
    <row r="1652" spans="1:49" ht="15" customHeight="1" x14ac:dyDescent="0.25">
      <c r="A1652" s="21">
        <v>26058</v>
      </c>
      <c r="B1652" s="22" t="s">
        <v>14</v>
      </c>
      <c r="C1652" s="22" t="s">
        <v>3161</v>
      </c>
      <c r="D1652" s="22" t="s">
        <v>8652</v>
      </c>
      <c r="E1652" s="22" t="s">
        <v>129</v>
      </c>
      <c r="F1652" s="22">
        <v>34.067715872100003</v>
      </c>
      <c r="G1652" s="22">
        <v>44.865601128000002</v>
      </c>
      <c r="H1652" s="21" t="s">
        <v>3164</v>
      </c>
      <c r="I1652" s="21" t="s">
        <v>3165</v>
      </c>
      <c r="J1652" s="21"/>
      <c r="K1652" s="24">
        <v>21</v>
      </c>
      <c r="L1652" s="24">
        <v>126</v>
      </c>
      <c r="M1652" s="23"/>
      <c r="N1652" s="23"/>
      <c r="O1652" s="23"/>
      <c r="P1652" s="23"/>
      <c r="Q1652" s="23"/>
      <c r="R1652" s="23">
        <v>21</v>
      </c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>
        <v>15</v>
      </c>
      <c r="AG1652" s="23"/>
      <c r="AH1652" s="23"/>
      <c r="AI1652" s="23"/>
      <c r="AJ1652" s="23"/>
      <c r="AK1652" s="23"/>
      <c r="AL1652" s="23"/>
      <c r="AM1652" s="23">
        <v>6</v>
      </c>
      <c r="AN1652" s="23"/>
      <c r="AO1652" s="23"/>
      <c r="AP1652" s="23"/>
      <c r="AQ1652" s="23">
        <v>6</v>
      </c>
      <c r="AR1652" s="23">
        <v>15</v>
      </c>
      <c r="AS1652" s="23"/>
      <c r="AT1652" s="23"/>
      <c r="AU1652" s="14" t="str">
        <f>HYPERLINK("http://www.openstreetmap.org/?mlat=34.0613&amp;mlon=44.8622&amp;zoom=12#map=12/34.0613/44.8622","Maplink1")</f>
        <v>Maplink1</v>
      </c>
      <c r="AV1652" s="14" t="str">
        <f>HYPERLINK("https://www.google.iq/maps/search/+34.0613,44.8622/@34.0613,44.8622,14z?hl=en","Maplink2")</f>
        <v>Maplink2</v>
      </c>
      <c r="AW1652" s="14" t="str">
        <f>HYPERLINK("http://www.bing.com/maps/?lvl=14&amp;sty=h&amp;cp=34.0613~44.8622&amp;sp=point.34.0613_44.8622_Dalli Abass -Al-Shuhada Qtr","Maplink3")</f>
        <v>Maplink3</v>
      </c>
    </row>
    <row r="1653" spans="1:49" ht="15" customHeight="1" x14ac:dyDescent="0.25">
      <c r="A1653" s="21">
        <v>24912</v>
      </c>
      <c r="B1653" s="22" t="s">
        <v>14</v>
      </c>
      <c r="C1653" s="22" t="s">
        <v>3161</v>
      </c>
      <c r="D1653" s="22" t="s">
        <v>3185</v>
      </c>
      <c r="E1653" s="22" t="s">
        <v>3186</v>
      </c>
      <c r="F1653" s="22">
        <v>33.878376529100002</v>
      </c>
      <c r="G1653" s="22">
        <v>44.443993528</v>
      </c>
      <c r="H1653" s="21" t="s">
        <v>3164</v>
      </c>
      <c r="I1653" s="21" t="s">
        <v>3165</v>
      </c>
      <c r="J1653" s="21"/>
      <c r="K1653" s="24">
        <v>32</v>
      </c>
      <c r="L1653" s="24">
        <v>192</v>
      </c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>
        <v>32</v>
      </c>
      <c r="AB1653" s="23"/>
      <c r="AC1653" s="23"/>
      <c r="AD1653" s="23"/>
      <c r="AE1653" s="23"/>
      <c r="AF1653" s="23">
        <v>32</v>
      </c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23">
        <v>32</v>
      </c>
      <c r="AS1653" s="23"/>
      <c r="AT1653" s="23"/>
      <c r="AU1653" s="14" t="str">
        <f>HYPERLINK("http://www.openstreetmap.org/?mlat=33.8773&amp;mlon=44.4429&amp;zoom=12#map=12/33.8773/44.4429","Maplink1")</f>
        <v>Maplink1</v>
      </c>
      <c r="AV1653" s="14" t="str">
        <f>HYPERLINK("https://www.google.iq/maps/search/+33.8773,44.4429/@33.8773,44.4429,14z?hl=en","Maplink2")</f>
        <v>Maplink2</v>
      </c>
      <c r="AW1653" s="14" t="str">
        <f>HYPERLINK("http://www.bing.com/maps/?lvl=14&amp;sty=h&amp;cp=33.8773~44.4429&amp;sp=point.33.8773_44.4429_Al Sindiyah village","Maplink3")</f>
        <v>Maplink3</v>
      </c>
    </row>
    <row r="1654" spans="1:49" ht="15" customHeight="1" x14ac:dyDescent="0.25">
      <c r="A1654" s="21">
        <v>11484</v>
      </c>
      <c r="B1654" s="22" t="s">
        <v>14</v>
      </c>
      <c r="C1654" s="22" t="s">
        <v>3161</v>
      </c>
      <c r="D1654" s="22" t="s">
        <v>3190</v>
      </c>
      <c r="E1654" s="22" t="s">
        <v>3191</v>
      </c>
      <c r="F1654" s="22">
        <v>33.916342</v>
      </c>
      <c r="G1654" s="22">
        <v>44.602325</v>
      </c>
      <c r="H1654" s="21" t="s">
        <v>3164</v>
      </c>
      <c r="I1654" s="21" t="s">
        <v>3165</v>
      </c>
      <c r="J1654" s="21" t="s">
        <v>3192</v>
      </c>
      <c r="K1654" s="24">
        <v>10</v>
      </c>
      <c r="L1654" s="24">
        <v>60</v>
      </c>
      <c r="M1654" s="23">
        <v>10</v>
      </c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>
        <v>10</v>
      </c>
      <c r="AG1654" s="23"/>
      <c r="AH1654" s="23"/>
      <c r="AI1654" s="23"/>
      <c r="AJ1654" s="23"/>
      <c r="AK1654" s="23"/>
      <c r="AL1654" s="23"/>
      <c r="AM1654" s="23"/>
      <c r="AN1654" s="23"/>
      <c r="AO1654" s="23">
        <v>10</v>
      </c>
      <c r="AP1654" s="23"/>
      <c r="AQ1654" s="23"/>
      <c r="AR1654" s="23"/>
      <c r="AS1654" s="23"/>
      <c r="AT1654" s="23"/>
      <c r="AU1654" s="14" t="str">
        <f>HYPERLINK("http://www.openstreetmap.org/?mlat=33.8816&amp;mlon=44.5391&amp;zoom=12#map=12/33.8816/44.5391","Maplink1")</f>
        <v>Maplink1</v>
      </c>
      <c r="AV1654" s="14" t="str">
        <f>HYPERLINK("https://www.google.iq/maps/search/+33.8816,44.5391/@33.8816,44.5391,14z?hl=en","Maplink2")</f>
        <v>Maplink2</v>
      </c>
      <c r="AW1654" s="14" t="str">
        <f>HYPERLINK("http://www.bing.com/maps/?lvl=14&amp;sty=h&amp;cp=33.8816~44.5391&amp;sp=point.33.8816_44.5391_Albu Bali","Maplink3")</f>
        <v>Maplink3</v>
      </c>
    </row>
    <row r="1655" spans="1:49" ht="15" customHeight="1" x14ac:dyDescent="0.25">
      <c r="A1655" s="21">
        <v>25681</v>
      </c>
      <c r="B1655" s="22" t="s">
        <v>14</v>
      </c>
      <c r="C1655" s="22" t="s">
        <v>3161</v>
      </c>
      <c r="D1655" s="22" t="s">
        <v>8653</v>
      </c>
      <c r="E1655" s="22" t="s">
        <v>3193</v>
      </c>
      <c r="F1655" s="22">
        <v>34.0805394056</v>
      </c>
      <c r="G1655" s="22">
        <v>44.916511878500003</v>
      </c>
      <c r="H1655" s="21" t="s">
        <v>3164</v>
      </c>
      <c r="I1655" s="21" t="s">
        <v>3165</v>
      </c>
      <c r="J1655" s="21"/>
      <c r="K1655" s="24">
        <v>1</v>
      </c>
      <c r="L1655" s="24">
        <v>6</v>
      </c>
      <c r="M1655" s="23"/>
      <c r="N1655" s="23"/>
      <c r="O1655" s="23"/>
      <c r="P1655" s="23"/>
      <c r="Q1655" s="23"/>
      <c r="R1655" s="23">
        <v>1</v>
      </c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>
        <v>1</v>
      </c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23">
        <v>1</v>
      </c>
      <c r="AS1655" s="23"/>
      <c r="AT1655" s="23"/>
      <c r="AU1655" s="14" t="str">
        <f>HYPERLINK("http://www.openstreetmap.org/?mlat=34.0855&amp;mlon=44.9121&amp;zoom=12#map=12/34.0855/44.9121","Maplink1")</f>
        <v>Maplink1</v>
      </c>
      <c r="AV1655" s="14" t="str">
        <f>HYPERLINK("https://www.google.iq/maps/search/+34.0855,44.9121/@34.0855,44.9121,14z?hl=en","Maplink2")</f>
        <v>Maplink2</v>
      </c>
      <c r="AW1655" s="14" t="str">
        <f>HYPERLINK("http://www.bing.com/maps/?lvl=14&amp;sty=h&amp;cp=34.0855~44.9121&amp;sp=point.34.0855_44.9121_Ali Abdulla village","Maplink3")</f>
        <v>Maplink3</v>
      </c>
    </row>
    <row r="1656" spans="1:49" ht="15" customHeight="1" x14ac:dyDescent="0.25">
      <c r="A1656" s="21">
        <v>26056</v>
      </c>
      <c r="B1656" s="22" t="s">
        <v>14</v>
      </c>
      <c r="C1656" s="22" t="s">
        <v>3161</v>
      </c>
      <c r="D1656" s="22" t="s">
        <v>3194</v>
      </c>
      <c r="E1656" s="22" t="s">
        <v>3195</v>
      </c>
      <c r="F1656" s="22">
        <v>34.073041563799997</v>
      </c>
      <c r="G1656" s="22">
        <v>44.8798654386</v>
      </c>
      <c r="H1656" s="21" t="s">
        <v>3164</v>
      </c>
      <c r="I1656" s="21" t="s">
        <v>3165</v>
      </c>
      <c r="J1656" s="21"/>
      <c r="K1656" s="24">
        <v>10</v>
      </c>
      <c r="L1656" s="24">
        <v>60</v>
      </c>
      <c r="M1656" s="23"/>
      <c r="N1656" s="23"/>
      <c r="O1656" s="23"/>
      <c r="P1656" s="23"/>
      <c r="Q1656" s="23"/>
      <c r="R1656" s="23">
        <v>10</v>
      </c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>
        <v>10</v>
      </c>
      <c r="AN1656" s="23"/>
      <c r="AO1656" s="23"/>
      <c r="AP1656" s="23"/>
      <c r="AQ1656" s="23"/>
      <c r="AR1656" s="23">
        <v>10</v>
      </c>
      <c r="AS1656" s="23"/>
      <c r="AT1656" s="23"/>
      <c r="AU1656" s="14" t="str">
        <f>HYPERLINK("http://www.openstreetmap.org/?mlat=34.0743&amp;mlon=44.8773&amp;zoom=12#map=12/34.0743/44.8773","Maplink1")</f>
        <v>Maplink1</v>
      </c>
      <c r="AV1656" s="14" t="str">
        <f>HYPERLINK("https://www.google.iq/maps/search/+34.0743,44.8773/@34.0743,44.8773,14z?hl=en","Maplink2")</f>
        <v>Maplink2</v>
      </c>
      <c r="AW1656" s="14" t="str">
        <f>HYPERLINK("http://www.bing.com/maps/?lvl=14&amp;sty=h&amp;cp=34.0743~44.8773&amp;sp=point.34.0743_44.8773_Arab Hafedh Village","Maplink3")</f>
        <v>Maplink3</v>
      </c>
    </row>
    <row r="1657" spans="1:49" ht="15" customHeight="1" x14ac:dyDescent="0.25">
      <c r="A1657" s="21">
        <v>26055</v>
      </c>
      <c r="B1657" s="22" t="s">
        <v>14</v>
      </c>
      <c r="C1657" s="22" t="s">
        <v>3161</v>
      </c>
      <c r="D1657" s="22" t="s">
        <v>3196</v>
      </c>
      <c r="E1657" s="22" t="s">
        <v>3197</v>
      </c>
      <c r="F1657" s="22">
        <v>34.056063014999999</v>
      </c>
      <c r="G1657" s="22">
        <v>44.846521988500001</v>
      </c>
      <c r="H1657" s="21" t="s">
        <v>3164</v>
      </c>
      <c r="I1657" s="21" t="s">
        <v>3165</v>
      </c>
      <c r="J1657" s="21"/>
      <c r="K1657" s="24">
        <v>5</v>
      </c>
      <c r="L1657" s="24">
        <v>30</v>
      </c>
      <c r="M1657" s="23"/>
      <c r="N1657" s="23"/>
      <c r="O1657" s="23"/>
      <c r="P1657" s="23"/>
      <c r="Q1657" s="23"/>
      <c r="R1657" s="23">
        <v>5</v>
      </c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>
        <v>5</v>
      </c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>
        <v>5</v>
      </c>
      <c r="AS1657" s="23"/>
      <c r="AT1657" s="23"/>
      <c r="AU1657" s="14" t="str">
        <f>HYPERLINK("http://www.openstreetmap.org/?mlat=34.0692&amp;mlon=44.9051&amp;zoom=12#map=12/34.0692/44.9051","Maplink1")</f>
        <v>Maplink1</v>
      </c>
      <c r="AV1657" s="14" t="str">
        <f>HYPERLINK("https://www.google.iq/maps/search/+34.0692,44.9051/@34.0692,44.9051,14z?hl=en","Maplink2")</f>
        <v>Maplink2</v>
      </c>
      <c r="AW1657" s="14" t="str">
        <f>HYPERLINK("http://www.bing.com/maps/?lvl=14&amp;sty=h&amp;cp=34.0692~44.9051&amp;sp=point.34.0692_44.9051_Arab Hamdan Village","Maplink3")</f>
        <v>Maplink3</v>
      </c>
    </row>
    <row r="1658" spans="1:49" ht="15" customHeight="1" x14ac:dyDescent="0.25">
      <c r="A1658" s="21">
        <v>23965</v>
      </c>
      <c r="B1658" s="22" t="s">
        <v>14</v>
      </c>
      <c r="C1658" s="22" t="s">
        <v>3161</v>
      </c>
      <c r="D1658" s="22" t="s">
        <v>3198</v>
      </c>
      <c r="E1658" s="22" t="s">
        <v>3199</v>
      </c>
      <c r="F1658" s="22">
        <v>33.826901814599999</v>
      </c>
      <c r="G1658" s="22">
        <v>44.561480288699997</v>
      </c>
      <c r="H1658" s="21" t="s">
        <v>3164</v>
      </c>
      <c r="I1658" s="21" t="s">
        <v>3165</v>
      </c>
      <c r="J1658" s="21" t="s">
        <v>3200</v>
      </c>
      <c r="K1658" s="24">
        <v>70</v>
      </c>
      <c r="L1658" s="24">
        <v>420</v>
      </c>
      <c r="M1658" s="23">
        <v>33</v>
      </c>
      <c r="N1658" s="23"/>
      <c r="O1658" s="23"/>
      <c r="P1658" s="23"/>
      <c r="Q1658" s="23"/>
      <c r="R1658" s="23">
        <v>25</v>
      </c>
      <c r="S1658" s="23"/>
      <c r="T1658" s="23"/>
      <c r="U1658" s="23"/>
      <c r="V1658" s="23"/>
      <c r="W1658" s="23"/>
      <c r="X1658" s="23"/>
      <c r="Y1658" s="23">
        <v>5</v>
      </c>
      <c r="Z1658" s="23"/>
      <c r="AA1658" s="23">
        <v>7</v>
      </c>
      <c r="AB1658" s="23"/>
      <c r="AC1658" s="23"/>
      <c r="AD1658" s="23"/>
      <c r="AE1658" s="23"/>
      <c r="AF1658" s="23">
        <v>35</v>
      </c>
      <c r="AG1658" s="23"/>
      <c r="AH1658" s="23"/>
      <c r="AI1658" s="23"/>
      <c r="AJ1658" s="23"/>
      <c r="AK1658" s="23">
        <v>13</v>
      </c>
      <c r="AL1658" s="23"/>
      <c r="AM1658" s="23">
        <v>22</v>
      </c>
      <c r="AN1658" s="23"/>
      <c r="AO1658" s="23"/>
      <c r="AP1658" s="23"/>
      <c r="AQ1658" s="23"/>
      <c r="AR1658" s="23">
        <v>37</v>
      </c>
      <c r="AS1658" s="23">
        <v>33</v>
      </c>
      <c r="AT1658" s="23"/>
      <c r="AU1658" s="14" t="str">
        <f>HYPERLINK("http://www.openstreetmap.org/?mlat=33.8049&amp;mlon=44.5789&amp;zoom=12#map=12/33.8049/44.5789","Maplink1")</f>
        <v>Maplink1</v>
      </c>
      <c r="AV1658" s="14" t="str">
        <f>HYPERLINK("https://www.google.iq/maps/search/+33.8049,44.5789/@33.8049,44.5789,14z?hl=en","Maplink2")</f>
        <v>Maplink2</v>
      </c>
      <c r="AW1658" s="14" t="str">
        <f>HYPERLINK("http://www.bing.com/maps/?lvl=14&amp;sty=h&amp;cp=33.8049~44.5789&amp;sp=point.33.8049_44.5789_Arab Shanon","Maplink3")</f>
        <v>Maplink3</v>
      </c>
    </row>
    <row r="1659" spans="1:49" ht="15" customHeight="1" x14ac:dyDescent="0.25">
      <c r="A1659" s="21">
        <v>24913</v>
      </c>
      <c r="B1659" s="22" t="s">
        <v>14</v>
      </c>
      <c r="C1659" s="22" t="s">
        <v>3161</v>
      </c>
      <c r="D1659" s="22" t="s">
        <v>8654</v>
      </c>
      <c r="E1659" s="22" t="s">
        <v>3201</v>
      </c>
      <c r="F1659" s="22">
        <v>33.756425944199997</v>
      </c>
      <c r="G1659" s="22">
        <v>44.548590090099999</v>
      </c>
      <c r="H1659" s="21" t="s">
        <v>3164</v>
      </c>
      <c r="I1659" s="21" t="s">
        <v>3165</v>
      </c>
      <c r="J1659" s="21"/>
      <c r="K1659" s="24">
        <v>13</v>
      </c>
      <c r="L1659" s="24">
        <v>78</v>
      </c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>
        <v>13</v>
      </c>
      <c r="AB1659" s="23"/>
      <c r="AC1659" s="23"/>
      <c r="AD1659" s="23"/>
      <c r="AE1659" s="23"/>
      <c r="AF1659" s="23">
        <v>13</v>
      </c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>
        <v>3</v>
      </c>
      <c r="AR1659" s="23">
        <v>10</v>
      </c>
      <c r="AS1659" s="23"/>
      <c r="AT1659" s="23"/>
      <c r="AU1659" s="14" t="str">
        <f>HYPERLINK("http://www.openstreetmap.org/?mlat=33.7792&amp;mlon=44.5549&amp;zoom=12#map=12/33.7792/44.5549","Maplink1")</f>
        <v>Maplink1</v>
      </c>
      <c r="AV1659" s="14" t="str">
        <f>HYPERLINK("https://www.google.iq/maps/search/+33.7792,44.5549/@33.7792,44.5549,14z?hl=en","Maplink2")</f>
        <v>Maplink2</v>
      </c>
      <c r="AW1659" s="14" t="str">
        <f>HYPERLINK("http://www.bing.com/maps/?lvl=14&amp;sty=h&amp;cp=33.7792~44.5549&amp;sp=point.33.7792_44.5549_Arab Tetn","Maplink3")</f>
        <v>Maplink3</v>
      </c>
    </row>
    <row r="1660" spans="1:49" ht="15" customHeight="1" x14ac:dyDescent="0.25">
      <c r="A1660" s="21">
        <v>24194</v>
      </c>
      <c r="B1660" s="22" t="s">
        <v>14</v>
      </c>
      <c r="C1660" s="22" t="s">
        <v>3161</v>
      </c>
      <c r="D1660" s="22" t="s">
        <v>8655</v>
      </c>
      <c r="E1660" s="22" t="s">
        <v>8007</v>
      </c>
      <c r="F1660" s="22">
        <v>34.073680979199999</v>
      </c>
      <c r="G1660" s="22">
        <v>44.857029207099998</v>
      </c>
      <c r="H1660" s="21" t="s">
        <v>3164</v>
      </c>
      <c r="I1660" s="21" t="s">
        <v>3165</v>
      </c>
      <c r="J1660" s="21"/>
      <c r="K1660" s="24">
        <v>32</v>
      </c>
      <c r="L1660" s="24">
        <v>192</v>
      </c>
      <c r="M1660" s="23"/>
      <c r="N1660" s="23"/>
      <c r="O1660" s="23"/>
      <c r="P1660" s="23"/>
      <c r="Q1660" s="23"/>
      <c r="R1660" s="23">
        <v>28</v>
      </c>
      <c r="S1660" s="23"/>
      <c r="T1660" s="23"/>
      <c r="U1660" s="23"/>
      <c r="V1660" s="23"/>
      <c r="W1660" s="23"/>
      <c r="X1660" s="23"/>
      <c r="Y1660" s="23"/>
      <c r="Z1660" s="23"/>
      <c r="AA1660" s="23">
        <v>4</v>
      </c>
      <c r="AB1660" s="23"/>
      <c r="AC1660" s="23"/>
      <c r="AD1660" s="23"/>
      <c r="AE1660" s="23"/>
      <c r="AF1660" s="23">
        <v>28</v>
      </c>
      <c r="AG1660" s="23"/>
      <c r="AH1660" s="23"/>
      <c r="AI1660" s="23"/>
      <c r="AJ1660" s="23"/>
      <c r="AK1660" s="23">
        <v>4</v>
      </c>
      <c r="AL1660" s="23"/>
      <c r="AM1660" s="23"/>
      <c r="AN1660" s="23"/>
      <c r="AO1660" s="23"/>
      <c r="AP1660" s="23"/>
      <c r="AQ1660" s="23">
        <v>4</v>
      </c>
      <c r="AR1660" s="23">
        <v>28</v>
      </c>
      <c r="AS1660" s="23"/>
      <c r="AT1660" s="23"/>
      <c r="AU1660" s="14" t="str">
        <f>HYPERLINK("http://www.openstreetmap.org/?mlat=34.0694&amp;mlon=44.8571&amp;zoom=12#map=12/34.0694/44.8571","Maplink1")</f>
        <v>Maplink1</v>
      </c>
      <c r="AV1660" s="14" t="str">
        <f>HYPERLINK("https://www.google.iq/maps/search/+34.0694,44.8571/@34.0694,44.8571,14z?hl=en","Maplink2")</f>
        <v>Maplink2</v>
      </c>
      <c r="AW1660" s="14" t="str">
        <f>HYPERLINK("http://www.bing.com/maps/?lvl=14&amp;sty=h&amp;cp=34.0694~44.8571&amp;sp=point.34.0694_44.8571_Hay Al-dhobat","Maplink3")</f>
        <v>Maplink3</v>
      </c>
    </row>
    <row r="1661" spans="1:49" ht="15" customHeight="1" x14ac:dyDescent="0.25">
      <c r="A1661" s="21">
        <v>25656</v>
      </c>
      <c r="B1661" s="22" t="s">
        <v>14</v>
      </c>
      <c r="C1661" s="22" t="s">
        <v>3161</v>
      </c>
      <c r="D1661" s="22" t="s">
        <v>8656</v>
      </c>
      <c r="E1661" s="22" t="s">
        <v>8657</v>
      </c>
      <c r="F1661" s="22">
        <v>34.069639560799999</v>
      </c>
      <c r="G1661" s="22">
        <v>44.8598904535</v>
      </c>
      <c r="H1661" s="21" t="s">
        <v>3164</v>
      </c>
      <c r="I1661" s="21" t="s">
        <v>3165</v>
      </c>
      <c r="J1661" s="21"/>
      <c r="K1661" s="24">
        <v>13</v>
      </c>
      <c r="L1661" s="24">
        <v>78</v>
      </c>
      <c r="M1661" s="23"/>
      <c r="N1661" s="23"/>
      <c r="O1661" s="23"/>
      <c r="P1661" s="23"/>
      <c r="Q1661" s="23"/>
      <c r="R1661" s="23">
        <v>13</v>
      </c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>
        <v>13</v>
      </c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23">
        <v>13</v>
      </c>
      <c r="AS1661" s="23"/>
      <c r="AT1661" s="23"/>
      <c r="AU1661" s="14" t="str">
        <f>HYPERLINK("http://www.openstreetmap.org/?mlat=34.0766&amp;mlon=44.8549&amp;zoom=12#map=12/34.0766/44.8549","Maplink1")</f>
        <v>Maplink1</v>
      </c>
      <c r="AV1661" s="14" t="str">
        <f>HYPERLINK("https://www.google.iq/maps/search/+34.0766,44.8549/@34.0766,44.8549,14z?hl=en","Maplink2")</f>
        <v>Maplink2</v>
      </c>
      <c r="AW1661" s="14" t="str">
        <f>HYPERLINK("http://www.bing.com/maps/?lvl=14&amp;sty=h&amp;cp=34.0766~44.8549&amp;sp=point.34.0766_44.8549_Hay kurd ali","Maplink3")</f>
        <v>Maplink3</v>
      </c>
    </row>
    <row r="1662" spans="1:49" ht="15" customHeight="1" x14ac:dyDescent="0.25">
      <c r="A1662" s="21">
        <v>25678</v>
      </c>
      <c r="B1662" s="22" t="s">
        <v>14</v>
      </c>
      <c r="C1662" s="22" t="s">
        <v>3161</v>
      </c>
      <c r="D1662" s="22" t="s">
        <v>8658</v>
      </c>
      <c r="E1662" s="22" t="s">
        <v>3202</v>
      </c>
      <c r="F1662" s="22">
        <v>34.078226752100001</v>
      </c>
      <c r="G1662" s="22">
        <v>44.934447553799998</v>
      </c>
      <c r="H1662" s="21" t="s">
        <v>3164</v>
      </c>
      <c r="I1662" s="21" t="s">
        <v>3165</v>
      </c>
      <c r="J1662" s="21"/>
      <c r="K1662" s="24">
        <v>33</v>
      </c>
      <c r="L1662" s="24">
        <v>198</v>
      </c>
      <c r="M1662" s="23"/>
      <c r="N1662" s="23"/>
      <c r="O1662" s="23"/>
      <c r="P1662" s="23"/>
      <c r="Q1662" s="23"/>
      <c r="R1662" s="23">
        <v>33</v>
      </c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>
        <v>25</v>
      </c>
      <c r="AG1662" s="23"/>
      <c r="AH1662" s="23"/>
      <c r="AI1662" s="23"/>
      <c r="AJ1662" s="23"/>
      <c r="AK1662" s="23">
        <v>8</v>
      </c>
      <c r="AL1662" s="23"/>
      <c r="AM1662" s="23"/>
      <c r="AN1662" s="23"/>
      <c r="AO1662" s="23"/>
      <c r="AP1662" s="23"/>
      <c r="AQ1662" s="23"/>
      <c r="AR1662" s="23">
        <v>33</v>
      </c>
      <c r="AS1662" s="23"/>
      <c r="AT1662" s="23"/>
      <c r="AU1662" s="14" t="str">
        <f>HYPERLINK("http://www.openstreetmap.org/?mlat=34.0887&amp;mlon=44.9158&amp;zoom=12#map=12/34.0887/44.9158","Maplink1")</f>
        <v>Maplink1</v>
      </c>
      <c r="AV1662" s="14" t="str">
        <f>HYPERLINK("https://www.google.iq/maps/search/+34.0887,44.9158/@34.0887,44.9158,14z?hl=en","Maplink2")</f>
        <v>Maplink2</v>
      </c>
      <c r="AW1662" s="14" t="str">
        <f>HYPERLINK("http://www.bing.com/maps/?lvl=14&amp;sty=h&amp;cp=34.0887~44.9158&amp;sp=point.34.0887_44.9158_Dawod Al-Salom village","Maplink3")</f>
        <v>Maplink3</v>
      </c>
    </row>
    <row r="1663" spans="1:49" ht="15" customHeight="1" x14ac:dyDescent="0.25">
      <c r="A1663" s="21">
        <v>11206</v>
      </c>
      <c r="B1663" s="22" t="s">
        <v>14</v>
      </c>
      <c r="C1663" s="22" t="s">
        <v>3161</v>
      </c>
      <c r="D1663" s="22" t="s">
        <v>3203</v>
      </c>
      <c r="E1663" s="22" t="s">
        <v>3204</v>
      </c>
      <c r="F1663" s="22">
        <v>33.683680879500002</v>
      </c>
      <c r="G1663" s="22">
        <v>44.421810196899997</v>
      </c>
      <c r="H1663" s="21" t="s">
        <v>3164</v>
      </c>
      <c r="I1663" s="21" t="s">
        <v>3165</v>
      </c>
      <c r="J1663" s="21" t="s">
        <v>3205</v>
      </c>
      <c r="K1663" s="24">
        <v>22</v>
      </c>
      <c r="L1663" s="24">
        <v>132</v>
      </c>
      <c r="M1663" s="23"/>
      <c r="N1663" s="23"/>
      <c r="O1663" s="23"/>
      <c r="P1663" s="23"/>
      <c r="Q1663" s="23"/>
      <c r="R1663" s="23">
        <v>10</v>
      </c>
      <c r="S1663" s="23"/>
      <c r="T1663" s="23"/>
      <c r="U1663" s="23"/>
      <c r="V1663" s="23"/>
      <c r="W1663" s="23"/>
      <c r="X1663" s="23"/>
      <c r="Y1663" s="23"/>
      <c r="Z1663" s="23"/>
      <c r="AA1663" s="23">
        <v>12</v>
      </c>
      <c r="AB1663" s="23"/>
      <c r="AC1663" s="23"/>
      <c r="AD1663" s="23"/>
      <c r="AE1663" s="23"/>
      <c r="AF1663" s="23">
        <v>22</v>
      </c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>
        <v>12</v>
      </c>
      <c r="AQ1663" s="23"/>
      <c r="AR1663" s="23">
        <v>10</v>
      </c>
      <c r="AS1663" s="23"/>
      <c r="AT1663" s="23"/>
      <c r="AU1663" s="14" t="str">
        <f>HYPERLINK("http://www.openstreetmap.org/?mlat=33.6822&amp;mlon=44.4229&amp;zoom=12#map=12/33.6822/44.4229","Maplink1")</f>
        <v>Maplink1</v>
      </c>
      <c r="AV1663" s="14" t="str">
        <f>HYPERLINK("https://www.google.iq/maps/search/+33.6822,44.4229/@33.6822,44.4229,14z?hl=en","Maplink2")</f>
        <v>Maplink2</v>
      </c>
      <c r="AW1663" s="14" t="str">
        <f>HYPERLINK("http://www.bing.com/maps/?lvl=14&amp;sty=h&amp;cp=33.6822~44.4229&amp;sp=point.33.6822_44.4229_Hawaish Village","Maplink3")</f>
        <v>Maplink3</v>
      </c>
    </row>
    <row r="1664" spans="1:49" ht="15" customHeight="1" x14ac:dyDescent="0.25">
      <c r="A1664" s="21">
        <v>25029</v>
      </c>
      <c r="B1664" s="22" t="s">
        <v>14</v>
      </c>
      <c r="C1664" s="22" t="s">
        <v>3161</v>
      </c>
      <c r="D1664" s="22" t="s">
        <v>3208</v>
      </c>
      <c r="E1664" s="22" t="s">
        <v>8659</v>
      </c>
      <c r="F1664" s="22">
        <v>33.805014956699999</v>
      </c>
      <c r="G1664" s="22">
        <v>44.520598724499997</v>
      </c>
      <c r="H1664" s="21" t="s">
        <v>3164</v>
      </c>
      <c r="I1664" s="21" t="s">
        <v>3165</v>
      </c>
      <c r="J1664" s="21"/>
      <c r="K1664" s="24">
        <v>15</v>
      </c>
      <c r="L1664" s="24">
        <v>90</v>
      </c>
      <c r="M1664" s="23"/>
      <c r="N1664" s="23"/>
      <c r="O1664" s="23"/>
      <c r="P1664" s="23"/>
      <c r="Q1664" s="23"/>
      <c r="R1664" s="23">
        <v>15</v>
      </c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>
        <v>5</v>
      </c>
      <c r="AG1664" s="23"/>
      <c r="AH1664" s="23"/>
      <c r="AI1664" s="23"/>
      <c r="AJ1664" s="23"/>
      <c r="AK1664" s="23"/>
      <c r="AL1664" s="23"/>
      <c r="AM1664" s="23">
        <v>10</v>
      </c>
      <c r="AN1664" s="23"/>
      <c r="AO1664" s="23"/>
      <c r="AP1664" s="23"/>
      <c r="AQ1664" s="23"/>
      <c r="AR1664" s="23">
        <v>15</v>
      </c>
      <c r="AS1664" s="23"/>
      <c r="AT1664" s="23"/>
      <c r="AU1664" s="14" t="str">
        <f>HYPERLINK("http://www.openstreetmap.org/?mlat=33.7686&amp;mlon=44.4635&amp;zoom=12#map=12/33.7686/44.4635","Maplink1")</f>
        <v>Maplink1</v>
      </c>
      <c r="AV1664" s="14" t="str">
        <f>HYPERLINK("https://www.google.iq/maps/search/+33.7686,44.4635/@33.7686,44.4635,14z?hl=en","Maplink2")</f>
        <v>Maplink2</v>
      </c>
      <c r="AW1664" s="14" t="str">
        <f>HYPERLINK("http://www.bing.com/maps/?lvl=14&amp;sty=h&amp;cp=33.7686~44.4635&amp;sp=point.33.7686_44.4635_Hibhib-Abo Khurda Village","Maplink3")</f>
        <v>Maplink3</v>
      </c>
    </row>
    <row r="1665" spans="1:49" ht="15" customHeight="1" x14ac:dyDescent="0.25">
      <c r="A1665" s="21">
        <v>25027</v>
      </c>
      <c r="B1665" s="22" t="s">
        <v>14</v>
      </c>
      <c r="C1665" s="22" t="s">
        <v>3161</v>
      </c>
      <c r="D1665" s="22" t="s">
        <v>7317</v>
      </c>
      <c r="E1665" s="22" t="s">
        <v>3209</v>
      </c>
      <c r="F1665" s="22">
        <v>33.780858102300002</v>
      </c>
      <c r="G1665" s="22">
        <v>44.515046887099999</v>
      </c>
      <c r="H1665" s="21" t="s">
        <v>3164</v>
      </c>
      <c r="I1665" s="21" t="s">
        <v>3165</v>
      </c>
      <c r="J1665" s="21"/>
      <c r="K1665" s="24">
        <v>12</v>
      </c>
      <c r="L1665" s="24">
        <v>72</v>
      </c>
      <c r="M1665" s="23"/>
      <c r="N1665" s="23"/>
      <c r="O1665" s="23"/>
      <c r="P1665" s="23"/>
      <c r="Q1665" s="23"/>
      <c r="R1665" s="23">
        <v>12</v>
      </c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>
        <v>8</v>
      </c>
      <c r="AG1665" s="23"/>
      <c r="AH1665" s="23"/>
      <c r="AI1665" s="23"/>
      <c r="AJ1665" s="23"/>
      <c r="AK1665" s="23">
        <v>4</v>
      </c>
      <c r="AL1665" s="23"/>
      <c r="AM1665" s="23"/>
      <c r="AN1665" s="23"/>
      <c r="AO1665" s="23"/>
      <c r="AP1665" s="23"/>
      <c r="AQ1665" s="23"/>
      <c r="AR1665" s="23">
        <v>12</v>
      </c>
      <c r="AS1665" s="23"/>
      <c r="AT1665" s="23"/>
      <c r="AU1665" s="14" t="str">
        <f>HYPERLINK("http://www.openstreetmap.org/?mlat=33.7831&amp;mlon=44.5086&amp;zoom=12#map=12/33.7831/44.5086","Maplink1")</f>
        <v>Maplink1</v>
      </c>
      <c r="AV1665" s="14" t="str">
        <f>HYPERLINK("https://www.google.iq/maps/search/+33.7831,44.5086/@33.7831,44.5086,14z?hl=en","Maplink2")</f>
        <v>Maplink2</v>
      </c>
      <c r="AW1665" s="14" t="str">
        <f>HYPERLINK("http://www.bing.com/maps/?lvl=14&amp;sty=h&amp;cp=33.7831~44.5086&amp;sp=point.33.7831_44.5086_Hibhib-Al Asry Village","Maplink3")</f>
        <v>Maplink3</v>
      </c>
    </row>
    <row r="1666" spans="1:49" ht="15" customHeight="1" x14ac:dyDescent="0.25">
      <c r="A1666" s="21">
        <v>25034</v>
      </c>
      <c r="B1666" s="22" t="s">
        <v>14</v>
      </c>
      <c r="C1666" s="22" t="s">
        <v>3161</v>
      </c>
      <c r="D1666" s="22" t="s">
        <v>3210</v>
      </c>
      <c r="E1666" s="22" t="s">
        <v>8660</v>
      </c>
      <c r="F1666" s="22">
        <v>33.750334521799999</v>
      </c>
      <c r="G1666" s="22">
        <v>44.5227362774</v>
      </c>
      <c r="H1666" s="21" t="s">
        <v>3164</v>
      </c>
      <c r="I1666" s="21" t="s">
        <v>3165</v>
      </c>
      <c r="J1666" s="21"/>
      <c r="K1666" s="24">
        <v>38</v>
      </c>
      <c r="L1666" s="24">
        <v>228</v>
      </c>
      <c r="M1666" s="23"/>
      <c r="N1666" s="23"/>
      <c r="O1666" s="23"/>
      <c r="P1666" s="23"/>
      <c r="Q1666" s="23"/>
      <c r="R1666" s="23">
        <v>33</v>
      </c>
      <c r="S1666" s="23"/>
      <c r="T1666" s="23"/>
      <c r="U1666" s="23"/>
      <c r="V1666" s="23"/>
      <c r="W1666" s="23"/>
      <c r="X1666" s="23"/>
      <c r="Y1666" s="23"/>
      <c r="Z1666" s="23"/>
      <c r="AA1666" s="23">
        <v>5</v>
      </c>
      <c r="AB1666" s="23"/>
      <c r="AC1666" s="23"/>
      <c r="AD1666" s="23"/>
      <c r="AE1666" s="23"/>
      <c r="AF1666" s="23">
        <v>18</v>
      </c>
      <c r="AG1666" s="23"/>
      <c r="AH1666" s="23"/>
      <c r="AI1666" s="23"/>
      <c r="AJ1666" s="23"/>
      <c r="AK1666" s="23">
        <v>20</v>
      </c>
      <c r="AL1666" s="23"/>
      <c r="AM1666" s="23"/>
      <c r="AN1666" s="23"/>
      <c r="AO1666" s="23"/>
      <c r="AP1666" s="23">
        <v>5</v>
      </c>
      <c r="AQ1666" s="23"/>
      <c r="AR1666" s="23">
        <v>33</v>
      </c>
      <c r="AS1666" s="23"/>
      <c r="AT1666" s="23"/>
      <c r="AU1666" s="14" t="str">
        <f>HYPERLINK("http://www.openstreetmap.org/?mlat=33.7471&amp;mlon=44.5362&amp;zoom=12#map=12/33.7471/44.5362","Maplink1")</f>
        <v>Maplink1</v>
      </c>
      <c r="AV1666" s="14" t="str">
        <f>HYPERLINK("https://www.google.iq/maps/search/+33.7471,44.5362/@33.7471,44.5362,14z?hl=en","Maplink2")</f>
        <v>Maplink2</v>
      </c>
      <c r="AW1666" s="14" t="str">
        <f>HYPERLINK("http://www.bing.com/maps/?lvl=14&amp;sty=h&amp;cp=33.7471~44.5362&amp;sp=point.33.7471_44.5362_Hibhib-Al Hashmya Village","Maplink3")</f>
        <v>Maplink3</v>
      </c>
    </row>
    <row r="1667" spans="1:49" ht="15" customHeight="1" x14ac:dyDescent="0.25">
      <c r="A1667" s="21">
        <v>25028</v>
      </c>
      <c r="B1667" s="22" t="s">
        <v>14</v>
      </c>
      <c r="C1667" s="22" t="s">
        <v>3161</v>
      </c>
      <c r="D1667" s="22" t="s">
        <v>3211</v>
      </c>
      <c r="E1667" s="22" t="s">
        <v>8661</v>
      </c>
      <c r="F1667" s="22">
        <v>33.750806883899998</v>
      </c>
      <c r="G1667" s="22">
        <v>44.492395464300003</v>
      </c>
      <c r="H1667" s="21" t="s">
        <v>3164</v>
      </c>
      <c r="I1667" s="21" t="s">
        <v>3165</v>
      </c>
      <c r="J1667" s="21"/>
      <c r="K1667" s="24">
        <v>23</v>
      </c>
      <c r="L1667" s="24">
        <v>138</v>
      </c>
      <c r="M1667" s="23">
        <v>19</v>
      </c>
      <c r="N1667" s="23"/>
      <c r="O1667" s="23"/>
      <c r="P1667" s="23"/>
      <c r="Q1667" s="23"/>
      <c r="R1667" s="23">
        <v>4</v>
      </c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>
        <v>23</v>
      </c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23">
        <v>4</v>
      </c>
      <c r="AS1667" s="23">
        <v>19</v>
      </c>
      <c r="AT1667" s="23"/>
      <c r="AU1667" s="14" t="str">
        <f>HYPERLINK("http://www.openstreetmap.org/?mlat=33.7933&amp;mlon=44.4821&amp;zoom=12#map=12/33.7933/44.4821","Maplink1")</f>
        <v>Maplink1</v>
      </c>
      <c r="AV1667" s="14" t="str">
        <f>HYPERLINK("https://www.google.iq/maps/search/+33.7933,44.4821/@33.7933,44.4821,14z?hl=en","Maplink2")</f>
        <v>Maplink2</v>
      </c>
      <c r="AW1667" s="14" t="str">
        <f>HYPERLINK("http://www.bing.com/maps/?lvl=14&amp;sty=h&amp;cp=33.7933~44.4821&amp;sp=point.33.7933_44.4821_Hibhib-Al Lokmanya Village","Maplink3")</f>
        <v>Maplink3</v>
      </c>
    </row>
    <row r="1668" spans="1:49" ht="15" customHeight="1" x14ac:dyDescent="0.25">
      <c r="A1668" s="21">
        <v>25035</v>
      </c>
      <c r="B1668" s="22" t="s">
        <v>14</v>
      </c>
      <c r="C1668" s="22" t="s">
        <v>3161</v>
      </c>
      <c r="D1668" s="22" t="s">
        <v>3212</v>
      </c>
      <c r="E1668" s="22" t="s">
        <v>8662</v>
      </c>
      <c r="F1668" s="22">
        <v>33.809020341699998</v>
      </c>
      <c r="G1668" s="22">
        <v>44.616657910900003</v>
      </c>
      <c r="H1668" s="21" t="s">
        <v>3164</v>
      </c>
      <c r="I1668" s="21" t="s">
        <v>3165</v>
      </c>
      <c r="J1668" s="21"/>
      <c r="K1668" s="24">
        <v>11</v>
      </c>
      <c r="L1668" s="24">
        <v>66</v>
      </c>
      <c r="M1668" s="23"/>
      <c r="N1668" s="23"/>
      <c r="O1668" s="23"/>
      <c r="P1668" s="23"/>
      <c r="Q1668" s="23"/>
      <c r="R1668" s="23">
        <v>10</v>
      </c>
      <c r="S1668" s="23"/>
      <c r="T1668" s="23"/>
      <c r="U1668" s="23"/>
      <c r="V1668" s="23"/>
      <c r="W1668" s="23"/>
      <c r="X1668" s="23"/>
      <c r="Y1668" s="23">
        <v>1</v>
      </c>
      <c r="Z1668" s="23"/>
      <c r="AA1668" s="23"/>
      <c r="AB1668" s="23"/>
      <c r="AC1668" s="23"/>
      <c r="AD1668" s="23"/>
      <c r="AE1668" s="23"/>
      <c r="AF1668" s="23">
        <v>11</v>
      </c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>
        <v>1</v>
      </c>
      <c r="AQ1668" s="23"/>
      <c r="AR1668" s="23">
        <v>10</v>
      </c>
      <c r="AS1668" s="23"/>
      <c r="AT1668" s="23"/>
      <c r="AU1668" s="14" t="str">
        <f>HYPERLINK("http://www.openstreetmap.org/?mlat=33.7468&amp;mlon=44.4979&amp;zoom=12#map=12/33.7468/44.4979","Maplink1")</f>
        <v>Maplink1</v>
      </c>
      <c r="AV1668" s="14" t="str">
        <f>HYPERLINK("https://www.google.iq/maps/search/+33.7468,44.4979/@33.7468,44.4979,14z?hl=en","Maplink2")</f>
        <v>Maplink2</v>
      </c>
      <c r="AW1668" s="14" t="str">
        <f>HYPERLINK("http://www.bing.com/maps/?lvl=14&amp;sty=h&amp;cp=33.7468~44.4979&amp;sp=point.33.7468_44.4979_Hibhib-Al Raga Village","Maplink3")</f>
        <v>Maplink3</v>
      </c>
    </row>
    <row r="1669" spans="1:49" ht="15" customHeight="1" x14ac:dyDescent="0.25">
      <c r="A1669" s="21">
        <v>25036</v>
      </c>
      <c r="B1669" s="22" t="s">
        <v>14</v>
      </c>
      <c r="C1669" s="22" t="s">
        <v>3161</v>
      </c>
      <c r="D1669" s="22" t="s">
        <v>8663</v>
      </c>
      <c r="E1669" s="22" t="s">
        <v>8664</v>
      </c>
      <c r="F1669" s="22">
        <v>33.780023055199997</v>
      </c>
      <c r="G1669" s="22">
        <v>44.5112917107</v>
      </c>
      <c r="H1669" s="21" t="s">
        <v>3164</v>
      </c>
      <c r="I1669" s="21" t="s">
        <v>3165</v>
      </c>
      <c r="J1669" s="21"/>
      <c r="K1669" s="24">
        <v>28</v>
      </c>
      <c r="L1669" s="24">
        <v>168</v>
      </c>
      <c r="M1669" s="23"/>
      <c r="N1669" s="23"/>
      <c r="O1669" s="23"/>
      <c r="P1669" s="23"/>
      <c r="Q1669" s="23"/>
      <c r="R1669" s="23">
        <v>20</v>
      </c>
      <c r="S1669" s="23"/>
      <c r="T1669" s="23"/>
      <c r="U1669" s="23"/>
      <c r="V1669" s="23"/>
      <c r="W1669" s="23"/>
      <c r="X1669" s="23"/>
      <c r="Y1669" s="23"/>
      <c r="Z1669" s="23"/>
      <c r="AA1669" s="23">
        <v>8</v>
      </c>
      <c r="AB1669" s="23"/>
      <c r="AC1669" s="23"/>
      <c r="AD1669" s="23"/>
      <c r="AE1669" s="23"/>
      <c r="AF1669" s="23">
        <v>13</v>
      </c>
      <c r="AG1669" s="23"/>
      <c r="AH1669" s="23"/>
      <c r="AI1669" s="23"/>
      <c r="AJ1669" s="23"/>
      <c r="AK1669" s="23">
        <v>15</v>
      </c>
      <c r="AL1669" s="23"/>
      <c r="AM1669" s="23"/>
      <c r="AN1669" s="23"/>
      <c r="AO1669" s="23"/>
      <c r="AP1669" s="23">
        <v>8</v>
      </c>
      <c r="AQ1669" s="23"/>
      <c r="AR1669" s="23">
        <v>20</v>
      </c>
      <c r="AS1669" s="23"/>
      <c r="AT1669" s="23"/>
      <c r="AU1669" s="14" t="str">
        <f>HYPERLINK("http://www.openstreetmap.org/?mlat=33.8516&amp;mlon=44.5204&amp;zoom=12#map=12/33.8516/44.5204","Maplink1")</f>
        <v>Maplink1</v>
      </c>
      <c r="AV1669" s="14" t="str">
        <f>HYPERLINK("https://www.google.iq/maps/search/+33.8516,44.5204/@33.8516,44.5204,14z?hl=en","Maplink2")</f>
        <v>Maplink2</v>
      </c>
      <c r="AW1669" s="14" t="str">
        <f>HYPERLINK("http://www.bing.com/maps/?lvl=14&amp;sty=h&amp;cp=33.8516~44.5204&amp;sp=point.33.8516_44.5204_Hibhib-Al Shohadaa","Maplink3")</f>
        <v>Maplink3</v>
      </c>
    </row>
    <row r="1670" spans="1:49" ht="15" customHeight="1" x14ac:dyDescent="0.25">
      <c r="A1670" s="21">
        <v>25025</v>
      </c>
      <c r="B1670" s="22" t="s">
        <v>14</v>
      </c>
      <c r="C1670" s="22" t="s">
        <v>3161</v>
      </c>
      <c r="D1670" s="22" t="s">
        <v>3213</v>
      </c>
      <c r="E1670" s="22" t="s">
        <v>8665</v>
      </c>
      <c r="F1670" s="22">
        <v>33.783053574199997</v>
      </c>
      <c r="G1670" s="22">
        <v>44.508890714499998</v>
      </c>
      <c r="H1670" s="21" t="s">
        <v>3164</v>
      </c>
      <c r="I1670" s="21" t="s">
        <v>3165</v>
      </c>
      <c r="J1670" s="21"/>
      <c r="K1670" s="24">
        <v>17</v>
      </c>
      <c r="L1670" s="24">
        <v>102</v>
      </c>
      <c r="M1670" s="23"/>
      <c r="N1670" s="23"/>
      <c r="O1670" s="23"/>
      <c r="P1670" s="23"/>
      <c r="Q1670" s="23"/>
      <c r="R1670" s="23">
        <v>17</v>
      </c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>
        <v>17</v>
      </c>
      <c r="AL1670" s="23"/>
      <c r="AM1670" s="23"/>
      <c r="AN1670" s="23"/>
      <c r="AO1670" s="23"/>
      <c r="AP1670" s="23"/>
      <c r="AQ1670" s="23"/>
      <c r="AR1670" s="23">
        <v>17</v>
      </c>
      <c r="AS1670" s="23"/>
      <c r="AT1670" s="23"/>
      <c r="AU1670" s="14" t="str">
        <f>HYPERLINK("http://www.openstreetmap.org/?mlat=33.7894&amp;mlon=44.5115&amp;zoom=12#map=12/33.7894/44.5115","Maplink1")</f>
        <v>Maplink1</v>
      </c>
      <c r="AV1670" s="14" t="str">
        <f>HYPERLINK("https://www.google.iq/maps/search/+33.7894,44.5115/@33.7894,44.5115,14z?hl=en","Maplink2")</f>
        <v>Maplink2</v>
      </c>
      <c r="AW1670" s="14" t="str">
        <f>HYPERLINK("http://www.bing.com/maps/?lvl=14&amp;sty=h&amp;cp=33.7894~44.5115&amp;sp=point.33.7894_44.5115_Hibhib-Al Yarmook Village","Maplink3")</f>
        <v>Maplink3</v>
      </c>
    </row>
    <row r="1671" spans="1:49" ht="15" customHeight="1" x14ac:dyDescent="0.25">
      <c r="A1671" s="21">
        <v>25024</v>
      </c>
      <c r="B1671" s="22" t="s">
        <v>14</v>
      </c>
      <c r="C1671" s="22" t="s">
        <v>3161</v>
      </c>
      <c r="D1671" s="22" t="s">
        <v>3214</v>
      </c>
      <c r="E1671" s="22" t="s">
        <v>8008</v>
      </c>
      <c r="F1671" s="22">
        <v>33.785976720999997</v>
      </c>
      <c r="G1671" s="22">
        <v>44.511094400700003</v>
      </c>
      <c r="H1671" s="21" t="s">
        <v>3164</v>
      </c>
      <c r="I1671" s="21" t="s">
        <v>3165</v>
      </c>
      <c r="J1671" s="21"/>
      <c r="K1671" s="24">
        <v>5</v>
      </c>
      <c r="L1671" s="24">
        <v>30</v>
      </c>
      <c r="M1671" s="23"/>
      <c r="N1671" s="23"/>
      <c r="O1671" s="23"/>
      <c r="P1671" s="23"/>
      <c r="Q1671" s="23"/>
      <c r="R1671" s="23">
        <v>5</v>
      </c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>
        <v>5</v>
      </c>
      <c r="AL1671" s="23"/>
      <c r="AM1671" s="23"/>
      <c r="AN1671" s="23"/>
      <c r="AO1671" s="23"/>
      <c r="AP1671" s="23"/>
      <c r="AQ1671" s="23"/>
      <c r="AR1671" s="23">
        <v>5</v>
      </c>
      <c r="AS1671" s="23"/>
      <c r="AT1671" s="23"/>
      <c r="AU1671" s="14" t="str">
        <f>HYPERLINK("http://www.openstreetmap.org/?mlat=33.7855&amp;mlon=44.4955&amp;zoom=12#map=12/33.7855/44.4955","Maplink1")</f>
        <v>Maplink1</v>
      </c>
      <c r="AV1671" s="14" t="str">
        <f>HYPERLINK("https://www.google.iq/maps/search/+33.7855,44.4955/@33.7855,44.4955,14z?hl=en","Maplink2")</f>
        <v>Maplink2</v>
      </c>
      <c r="AW1671" s="14" t="str">
        <f>HYPERLINK("http://www.bing.com/maps/?lvl=14&amp;sty=h&amp;cp=33.7855~44.4955&amp;sp=point.33.7855_44.4955_Hibhib-Hay Al Resala","Maplink3")</f>
        <v>Maplink3</v>
      </c>
    </row>
    <row r="1672" spans="1:49" ht="15" customHeight="1" x14ac:dyDescent="0.25">
      <c r="A1672" s="21">
        <v>11425</v>
      </c>
      <c r="B1672" s="22" t="s">
        <v>14</v>
      </c>
      <c r="C1672" s="22" t="s">
        <v>3161</v>
      </c>
      <c r="D1672" s="22" t="s">
        <v>3215</v>
      </c>
      <c r="E1672" s="22" t="s">
        <v>8666</v>
      </c>
      <c r="F1672" s="22">
        <v>33.642318564599996</v>
      </c>
      <c r="G1672" s="22">
        <v>44.415107836399997</v>
      </c>
      <c r="H1672" s="21" t="s">
        <v>3164</v>
      </c>
      <c r="I1672" s="21" t="s">
        <v>3165</v>
      </c>
      <c r="J1672" s="21" t="s">
        <v>3216</v>
      </c>
      <c r="K1672" s="24">
        <v>118</v>
      </c>
      <c r="L1672" s="24">
        <v>708</v>
      </c>
      <c r="M1672" s="23"/>
      <c r="N1672" s="23"/>
      <c r="O1672" s="23"/>
      <c r="P1672" s="23"/>
      <c r="Q1672" s="23"/>
      <c r="R1672" s="23">
        <v>97</v>
      </c>
      <c r="S1672" s="23"/>
      <c r="T1672" s="23"/>
      <c r="U1672" s="23"/>
      <c r="V1672" s="23"/>
      <c r="W1672" s="23"/>
      <c r="X1672" s="23"/>
      <c r="Y1672" s="23">
        <v>5</v>
      </c>
      <c r="Z1672" s="23"/>
      <c r="AA1672" s="23">
        <v>16</v>
      </c>
      <c r="AB1672" s="23"/>
      <c r="AC1672" s="23"/>
      <c r="AD1672" s="23"/>
      <c r="AE1672" s="23"/>
      <c r="AF1672" s="23">
        <v>67</v>
      </c>
      <c r="AG1672" s="23"/>
      <c r="AH1672" s="23"/>
      <c r="AI1672" s="23"/>
      <c r="AJ1672" s="23"/>
      <c r="AK1672" s="23">
        <v>35</v>
      </c>
      <c r="AL1672" s="23"/>
      <c r="AM1672" s="23">
        <v>16</v>
      </c>
      <c r="AN1672" s="23"/>
      <c r="AO1672" s="23"/>
      <c r="AP1672" s="23">
        <v>67</v>
      </c>
      <c r="AQ1672" s="23">
        <v>26</v>
      </c>
      <c r="AR1672" s="23">
        <v>25</v>
      </c>
      <c r="AS1672" s="23"/>
      <c r="AT1672" s="23"/>
      <c r="AU1672" s="14" t="str">
        <f>HYPERLINK("http://www.openstreetmap.org/?mlat=33.6381&amp;mlon=44.4163&amp;zoom=12#map=12/33.6381/44.4163","Maplink1")</f>
        <v>Maplink1</v>
      </c>
      <c r="AV1672" s="14" t="str">
        <f>HYPERLINK("https://www.google.iq/maps/search/+33.6381,44.4163/@33.6381,44.4163,14z?hl=en","Maplink2")</f>
        <v>Maplink2</v>
      </c>
      <c r="AW1672" s="14" t="str">
        <f>HYPERLINK("http://www.bing.com/maps/?lvl=14&amp;sty=h&amp;cp=33.6381~44.4163&amp;sp=point.33.6381_44.4163_Jadidat Al Shat village","Maplink3")</f>
        <v>Maplink3</v>
      </c>
    </row>
    <row r="1673" spans="1:49" ht="15" customHeight="1" x14ac:dyDescent="0.25">
      <c r="A1673" s="21">
        <v>25033</v>
      </c>
      <c r="B1673" s="22" t="s">
        <v>14</v>
      </c>
      <c r="C1673" s="22" t="s">
        <v>3161</v>
      </c>
      <c r="D1673" s="22" t="s">
        <v>8667</v>
      </c>
      <c r="E1673" s="22" t="s">
        <v>3217</v>
      </c>
      <c r="F1673" s="22">
        <v>33.698822236600002</v>
      </c>
      <c r="G1673" s="22">
        <v>44.456131579400001</v>
      </c>
      <c r="H1673" s="21" t="s">
        <v>3164</v>
      </c>
      <c r="I1673" s="21" t="s">
        <v>3165</v>
      </c>
      <c r="J1673" s="21"/>
      <c r="K1673" s="24">
        <v>11</v>
      </c>
      <c r="L1673" s="24">
        <v>66</v>
      </c>
      <c r="M1673" s="23"/>
      <c r="N1673" s="23"/>
      <c r="O1673" s="23"/>
      <c r="P1673" s="23"/>
      <c r="Q1673" s="23"/>
      <c r="R1673" s="23">
        <v>7</v>
      </c>
      <c r="S1673" s="23"/>
      <c r="T1673" s="23"/>
      <c r="U1673" s="23"/>
      <c r="V1673" s="23"/>
      <c r="W1673" s="23"/>
      <c r="X1673" s="23"/>
      <c r="Y1673" s="23"/>
      <c r="Z1673" s="23"/>
      <c r="AA1673" s="23">
        <v>4</v>
      </c>
      <c r="AB1673" s="23"/>
      <c r="AC1673" s="23"/>
      <c r="AD1673" s="23"/>
      <c r="AE1673" s="23"/>
      <c r="AF1673" s="23">
        <v>11</v>
      </c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23">
        <v>7</v>
      </c>
      <c r="AS1673" s="23">
        <v>4</v>
      </c>
      <c r="AT1673" s="23"/>
      <c r="AU1673" s="14" t="str">
        <f>HYPERLINK("http://www.openstreetmap.org/?mlat=33.8244&amp;mlon=44.4164&amp;zoom=12#map=12/33.8244/44.4164","Maplink1")</f>
        <v>Maplink1</v>
      </c>
      <c r="AV1673" s="14" t="str">
        <f>HYPERLINK("https://www.google.iq/maps/search/+33.8244,44.4164/@33.8244,44.4164,14z?hl=en","Maplink2")</f>
        <v>Maplink2</v>
      </c>
      <c r="AW1673" s="14" t="str">
        <f>HYPERLINK("http://www.bing.com/maps/?lvl=14&amp;sty=h&amp;cp=33.8244~44.4164&amp;sp=point.33.8244_44.4164_Mansuryat Alshat Village","Maplink3")</f>
        <v>Maplink3</v>
      </c>
    </row>
    <row r="1674" spans="1:49" ht="15" customHeight="1" x14ac:dyDescent="0.25">
      <c r="A1674" s="21">
        <v>11081</v>
      </c>
      <c r="B1674" s="22" t="s">
        <v>14</v>
      </c>
      <c r="C1674" s="22" t="s">
        <v>3161</v>
      </c>
      <c r="D1674" s="22" t="s">
        <v>8668</v>
      </c>
      <c r="E1674" s="22" t="s">
        <v>3179</v>
      </c>
      <c r="F1674" s="22">
        <v>33.850546062600003</v>
      </c>
      <c r="G1674" s="22">
        <v>44.522284279099999</v>
      </c>
      <c r="H1674" s="21" t="s">
        <v>3164</v>
      </c>
      <c r="I1674" s="21" t="s">
        <v>3165</v>
      </c>
      <c r="J1674" s="21" t="s">
        <v>3180</v>
      </c>
      <c r="K1674" s="24">
        <v>160</v>
      </c>
      <c r="L1674" s="24">
        <v>960</v>
      </c>
      <c r="M1674" s="23"/>
      <c r="N1674" s="23"/>
      <c r="O1674" s="23"/>
      <c r="P1674" s="23"/>
      <c r="Q1674" s="23"/>
      <c r="R1674" s="23">
        <v>160</v>
      </c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>
        <v>110</v>
      </c>
      <c r="AG1674" s="23"/>
      <c r="AH1674" s="23"/>
      <c r="AI1674" s="23"/>
      <c r="AJ1674" s="23"/>
      <c r="AK1674" s="23">
        <v>50</v>
      </c>
      <c r="AL1674" s="23"/>
      <c r="AM1674" s="23"/>
      <c r="AN1674" s="23"/>
      <c r="AO1674" s="23"/>
      <c r="AP1674" s="23"/>
      <c r="AQ1674" s="23"/>
      <c r="AR1674" s="23">
        <v>160</v>
      </c>
      <c r="AS1674" s="23"/>
      <c r="AT1674" s="23"/>
      <c r="AU1674" s="14" t="str">
        <f>HYPERLINK("http://www.openstreetmap.org/?mlat=33.85&amp;mlon=44.52&amp;zoom=12#map=12/33.85/44.52","Maplink1")</f>
        <v>Maplink1</v>
      </c>
      <c r="AV1674" s="14" t="str">
        <f>HYPERLINK("https://www.google.iq/maps/search/+33.85,44.52/@33.85,44.52,14z?hl=en","Maplink2")</f>
        <v>Maplink2</v>
      </c>
      <c r="AW1674" s="14" t="str">
        <f>HYPERLINK("http://www.bing.com/maps/?lvl=14&amp;sty=h&amp;cp=33.85~44.52&amp;sp=point.33.85_44.52_Al Khalis","Maplink3")</f>
        <v>Maplink3</v>
      </c>
    </row>
    <row r="1675" spans="1:49" ht="15" customHeight="1" x14ac:dyDescent="0.25">
      <c r="A1675" s="21">
        <v>10445</v>
      </c>
      <c r="B1675" s="22" t="s">
        <v>14</v>
      </c>
      <c r="C1675" s="22" t="s">
        <v>3161</v>
      </c>
      <c r="D1675" s="22" t="s">
        <v>8669</v>
      </c>
      <c r="E1675" s="22" t="s">
        <v>8670</v>
      </c>
      <c r="F1675" s="22">
        <v>33.783742132</v>
      </c>
      <c r="G1675" s="22">
        <v>44.515184511500003</v>
      </c>
      <c r="H1675" s="21" t="s">
        <v>3164</v>
      </c>
      <c r="I1675" s="21" t="s">
        <v>3165</v>
      </c>
      <c r="J1675" s="21" t="s">
        <v>3207</v>
      </c>
      <c r="K1675" s="24">
        <v>125</v>
      </c>
      <c r="L1675" s="24">
        <v>750</v>
      </c>
      <c r="M1675" s="23">
        <v>10</v>
      </c>
      <c r="N1675" s="23"/>
      <c r="O1675" s="23"/>
      <c r="P1675" s="23"/>
      <c r="Q1675" s="23"/>
      <c r="R1675" s="23">
        <v>115</v>
      </c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>
        <v>76</v>
      </c>
      <c r="AG1675" s="23"/>
      <c r="AH1675" s="23"/>
      <c r="AI1675" s="23"/>
      <c r="AJ1675" s="23"/>
      <c r="AK1675" s="23">
        <v>49</v>
      </c>
      <c r="AL1675" s="23"/>
      <c r="AM1675" s="23"/>
      <c r="AN1675" s="23"/>
      <c r="AO1675" s="23"/>
      <c r="AP1675" s="23"/>
      <c r="AQ1675" s="23">
        <v>46</v>
      </c>
      <c r="AR1675" s="23">
        <v>69</v>
      </c>
      <c r="AS1675" s="23"/>
      <c r="AT1675" s="23">
        <v>10</v>
      </c>
      <c r="AU1675" s="14" t="str">
        <f>HYPERLINK("http://www.openstreetmap.org/?mlat=33.78&amp;mlon=44.49&amp;zoom=12#map=12/33.78/44.49","Maplink1")</f>
        <v>Maplink1</v>
      </c>
      <c r="AV1675" s="14" t="str">
        <f>HYPERLINK("https://www.google.iq/maps/search/+33.78,44.49/@33.78,44.49,14z?hl=en","Maplink2")</f>
        <v>Maplink2</v>
      </c>
      <c r="AW1675" s="14" t="str">
        <f>HYPERLINK("http://www.bing.com/maps/?lvl=14&amp;sty=h&amp;cp=33.78~44.49&amp;sp=point.33.78_44.49_Hibhib","Maplink3")</f>
        <v>Maplink3</v>
      </c>
    </row>
    <row r="1676" spans="1:49" ht="15" customHeight="1" x14ac:dyDescent="0.25">
      <c r="A1676" s="21">
        <v>11392</v>
      </c>
      <c r="B1676" s="22" t="s">
        <v>14</v>
      </c>
      <c r="C1676" s="22" t="s">
        <v>3161</v>
      </c>
      <c r="D1676" s="22" t="s">
        <v>3218</v>
      </c>
      <c r="E1676" s="22" t="s">
        <v>3219</v>
      </c>
      <c r="F1676" s="22">
        <v>33.844081930800002</v>
      </c>
      <c r="G1676" s="22">
        <v>44.615940631800001</v>
      </c>
      <c r="H1676" s="21" t="s">
        <v>3164</v>
      </c>
      <c r="I1676" s="21" t="s">
        <v>3165</v>
      </c>
      <c r="J1676" s="21" t="s">
        <v>3220</v>
      </c>
      <c r="K1676" s="24">
        <v>25</v>
      </c>
      <c r="L1676" s="24">
        <v>150</v>
      </c>
      <c r="M1676" s="23"/>
      <c r="N1676" s="23"/>
      <c r="O1676" s="23"/>
      <c r="P1676" s="23"/>
      <c r="Q1676" s="23"/>
      <c r="R1676" s="23">
        <v>25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>
        <v>25</v>
      </c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>
        <v>25</v>
      </c>
      <c r="AQ1676" s="23"/>
      <c r="AR1676" s="23"/>
      <c r="AS1676" s="23"/>
      <c r="AT1676" s="23"/>
      <c r="AU1676" s="14" t="str">
        <f>HYPERLINK("http://www.openstreetmap.org/?mlat=33.8691&amp;mlon=44.5694&amp;zoom=12#map=12/33.8691/44.5694","Maplink1")</f>
        <v>Maplink1</v>
      </c>
      <c r="AV1676" s="14" t="str">
        <f>HYPERLINK("https://www.google.iq/maps/search/+33.8691,44.5694/@33.8691,44.5694,14z?hl=en","Maplink2")</f>
        <v>Maplink2</v>
      </c>
      <c r="AW1676" s="14" t="str">
        <f>HYPERLINK("http://www.bing.com/maps/?lvl=14&amp;sty=h&amp;cp=33.8691~44.5694&amp;sp=point.33.8691_44.5694_Mujadad village","Maplink3")</f>
        <v>Maplink3</v>
      </c>
    </row>
    <row r="1677" spans="1:49" ht="15" customHeight="1" x14ac:dyDescent="0.25">
      <c r="A1677" s="21">
        <v>25023</v>
      </c>
      <c r="B1677" s="22" t="s">
        <v>14</v>
      </c>
      <c r="C1677" s="22" t="s">
        <v>3161</v>
      </c>
      <c r="D1677" s="22" t="s">
        <v>3221</v>
      </c>
      <c r="E1677" s="22" t="s">
        <v>3222</v>
      </c>
      <c r="F1677" s="22">
        <v>33.740950855400001</v>
      </c>
      <c r="G1677" s="22">
        <v>44.494905425200002</v>
      </c>
      <c r="H1677" s="21" t="s">
        <v>3164</v>
      </c>
      <c r="I1677" s="21" t="s">
        <v>3165</v>
      </c>
      <c r="J1677" s="21"/>
      <c r="K1677" s="24">
        <v>76</v>
      </c>
      <c r="L1677" s="24">
        <v>456</v>
      </c>
      <c r="M1677" s="23">
        <v>8</v>
      </c>
      <c r="N1677" s="23"/>
      <c r="O1677" s="23"/>
      <c r="P1677" s="23"/>
      <c r="Q1677" s="23"/>
      <c r="R1677" s="23">
        <v>32</v>
      </c>
      <c r="S1677" s="23"/>
      <c r="T1677" s="23"/>
      <c r="U1677" s="23"/>
      <c r="V1677" s="23"/>
      <c r="W1677" s="23"/>
      <c r="X1677" s="23"/>
      <c r="Y1677" s="23">
        <v>3</v>
      </c>
      <c r="Z1677" s="23"/>
      <c r="AA1677" s="23">
        <v>33</v>
      </c>
      <c r="AB1677" s="23"/>
      <c r="AC1677" s="23"/>
      <c r="AD1677" s="23"/>
      <c r="AE1677" s="23"/>
      <c r="AF1677" s="23">
        <v>35</v>
      </c>
      <c r="AG1677" s="23"/>
      <c r="AH1677" s="23"/>
      <c r="AI1677" s="23"/>
      <c r="AJ1677" s="23"/>
      <c r="AK1677" s="23">
        <v>41</v>
      </c>
      <c r="AL1677" s="23"/>
      <c r="AM1677" s="23"/>
      <c r="AN1677" s="23"/>
      <c r="AO1677" s="23">
        <v>3</v>
      </c>
      <c r="AP1677" s="23">
        <v>32</v>
      </c>
      <c r="AQ1677" s="23"/>
      <c r="AR1677" s="23">
        <v>41</v>
      </c>
      <c r="AS1677" s="23"/>
      <c r="AT1677" s="23"/>
      <c r="AU1677" s="14" t="str">
        <f>HYPERLINK("http://www.openstreetmap.org/?mlat=33.7122&amp;mlon=44.4977&amp;zoom=12#map=12/33.7122/44.4977","Maplink1")</f>
        <v>Maplink1</v>
      </c>
      <c r="AV1677" s="14" t="str">
        <f>HYPERLINK("https://www.google.iq/maps/search/+33.7122,44.4977/@33.7122,44.4977,14z?hl=en","Maplink2")</f>
        <v>Maplink2</v>
      </c>
      <c r="AW1677" s="14" t="str">
        <f>HYPERLINK("http://www.bing.com/maps/?lvl=14&amp;sty=h&amp;cp=33.7122~44.4977&amp;sp=point.33.7122_44.4977_Saif Saad Qtr","Maplink3")</f>
        <v>Maplink3</v>
      </c>
    </row>
    <row r="1678" spans="1:49" ht="15" customHeight="1" x14ac:dyDescent="0.25">
      <c r="A1678" s="21">
        <v>25624</v>
      </c>
      <c r="B1678" s="22" t="s">
        <v>14</v>
      </c>
      <c r="C1678" s="22" t="s">
        <v>3223</v>
      </c>
      <c r="D1678" s="22" t="s">
        <v>3224</v>
      </c>
      <c r="E1678" s="22" t="s">
        <v>3225</v>
      </c>
      <c r="F1678" s="22">
        <v>33.858899999999998</v>
      </c>
      <c r="G1678" s="22">
        <v>44.7211</v>
      </c>
      <c r="H1678" s="21" t="s">
        <v>3164</v>
      </c>
      <c r="I1678" s="21" t="s">
        <v>3226</v>
      </c>
      <c r="J1678" s="21"/>
      <c r="K1678" s="24">
        <v>55</v>
      </c>
      <c r="L1678" s="24">
        <v>330</v>
      </c>
      <c r="M1678" s="23"/>
      <c r="N1678" s="23"/>
      <c r="O1678" s="23"/>
      <c r="P1678" s="23"/>
      <c r="Q1678" s="23"/>
      <c r="R1678" s="23">
        <v>55</v>
      </c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>
        <v>55</v>
      </c>
      <c r="AN1678" s="23"/>
      <c r="AO1678" s="23"/>
      <c r="AP1678" s="23">
        <v>55</v>
      </c>
      <c r="AQ1678" s="23"/>
      <c r="AR1678" s="23"/>
      <c r="AS1678" s="23"/>
      <c r="AT1678" s="23"/>
      <c r="AU1678" s="14" t="str">
        <f>HYPERLINK("http://www.openstreetmap.org/?mlat=33.8589&amp;mlon=44.7211&amp;zoom=12#map=12/33.8589/44.7211","Maplink1")</f>
        <v>Maplink1</v>
      </c>
      <c r="AV1678" s="14" t="str">
        <f>HYPERLINK("https://www.google.iq/maps/search/+33.8589,44.7211/@33.8589,44.7211,14z?hl=en","Maplink2")</f>
        <v>Maplink2</v>
      </c>
      <c r="AW1678" s="14" t="str">
        <f>HYPERLINK("http://www.bing.com/maps/?lvl=14&amp;sty=h&amp;cp=33.8589~44.7211&amp;sp=point.33.8589_44.7211_Al Abaraa Village","Maplink3")</f>
        <v>Maplink3</v>
      </c>
    </row>
    <row r="1679" spans="1:49" ht="15" customHeight="1" x14ac:dyDescent="0.25">
      <c r="A1679" s="21">
        <v>25040</v>
      </c>
      <c r="B1679" s="22" t="s">
        <v>14</v>
      </c>
      <c r="C1679" s="22" t="s">
        <v>3227</v>
      </c>
      <c r="D1679" s="22" t="s">
        <v>8671</v>
      </c>
      <c r="E1679" s="22" t="s">
        <v>3299</v>
      </c>
      <c r="F1679" s="22">
        <v>33.691774328100003</v>
      </c>
      <c r="G1679" s="22">
        <v>44.800757077100002</v>
      </c>
      <c r="H1679" s="21" t="s">
        <v>3164</v>
      </c>
      <c r="I1679" s="21" t="s">
        <v>3228</v>
      </c>
      <c r="J1679" s="21"/>
      <c r="K1679" s="24">
        <v>87</v>
      </c>
      <c r="L1679" s="24">
        <v>522</v>
      </c>
      <c r="M1679" s="23"/>
      <c r="N1679" s="23"/>
      <c r="O1679" s="23"/>
      <c r="P1679" s="23"/>
      <c r="Q1679" s="23"/>
      <c r="R1679" s="23">
        <v>87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>
        <v>57</v>
      </c>
      <c r="AL1679" s="23"/>
      <c r="AM1679" s="23">
        <v>30</v>
      </c>
      <c r="AN1679" s="23"/>
      <c r="AO1679" s="23"/>
      <c r="AP1679" s="23"/>
      <c r="AQ1679" s="23"/>
      <c r="AR1679" s="23">
        <v>87</v>
      </c>
      <c r="AS1679" s="23"/>
      <c r="AT1679" s="23"/>
      <c r="AU1679" s="14" t="str">
        <f>HYPERLINK("http://www.openstreetmap.org/?mlat=33.6902&amp;mlon=44.7952&amp;zoom=12#map=12/33.6902/44.7952","Maplink1")</f>
        <v>Maplink1</v>
      </c>
      <c r="AV1679" s="14" t="str">
        <f>HYPERLINK("https://www.google.iq/maps/search/+33.6902,44.7952/@33.6902,44.7952,14z?hl=en","Maplink2")</f>
        <v>Maplink2</v>
      </c>
      <c r="AW1679" s="14" t="str">
        <f>HYPERLINK("http://www.bing.com/maps/?lvl=14&amp;sty=h&amp;cp=33.6902~44.7952&amp;sp=point.33.6902_44.7952_Kanaan-Al Asri Qtr","Maplink3")</f>
        <v>Maplink3</v>
      </c>
    </row>
    <row r="1680" spans="1:49" ht="15" customHeight="1" x14ac:dyDescent="0.25">
      <c r="A1680" s="21">
        <v>25052</v>
      </c>
      <c r="B1680" s="22" t="s">
        <v>14</v>
      </c>
      <c r="C1680" s="22" t="s">
        <v>3227</v>
      </c>
      <c r="D1680" s="22" t="s">
        <v>8672</v>
      </c>
      <c r="E1680" s="22" t="s">
        <v>1569</v>
      </c>
      <c r="F1680" s="22">
        <v>33.655373161900002</v>
      </c>
      <c r="G1680" s="22">
        <v>44.768890981299997</v>
      </c>
      <c r="H1680" s="21" t="s">
        <v>3164</v>
      </c>
      <c r="I1680" s="21" t="s">
        <v>3228</v>
      </c>
      <c r="J1680" s="21"/>
      <c r="K1680" s="24">
        <v>19</v>
      </c>
      <c r="L1680" s="24">
        <v>114</v>
      </c>
      <c r="M1680" s="23"/>
      <c r="N1680" s="23"/>
      <c r="O1680" s="23"/>
      <c r="P1680" s="23"/>
      <c r="Q1680" s="23"/>
      <c r="R1680" s="23">
        <v>19</v>
      </c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>
        <v>19</v>
      </c>
      <c r="AL1680" s="23"/>
      <c r="AM1680" s="23"/>
      <c r="AN1680" s="23"/>
      <c r="AO1680" s="23"/>
      <c r="AP1680" s="23"/>
      <c r="AQ1680" s="23"/>
      <c r="AR1680" s="23">
        <v>19</v>
      </c>
      <c r="AS1680" s="23"/>
      <c r="AT1680" s="23"/>
      <c r="AU1680" s="14" t="str">
        <f>HYPERLINK("http://www.openstreetmap.org/?mlat=33.6863&amp;mlon=44.7691&amp;zoom=12#map=12/33.6863/44.7691","Maplink1")</f>
        <v>Maplink1</v>
      </c>
      <c r="AV1680" s="14" t="str">
        <f>HYPERLINK("https://www.google.iq/maps/search/+33.6863,44.7691/@33.6863,44.7691,14z?hl=en","Maplink2")</f>
        <v>Maplink2</v>
      </c>
      <c r="AW1680" s="14" t="str">
        <f>HYPERLINK("http://www.bing.com/maps/?lvl=14&amp;sty=h&amp;cp=33.6863~44.7691&amp;sp=point.33.6863_44.7691_Kanaan-Al Badaa Village","Maplink3")</f>
        <v>Maplink3</v>
      </c>
    </row>
    <row r="1681" spans="1:49" ht="15" customHeight="1" x14ac:dyDescent="0.25">
      <c r="A1681" s="21">
        <v>11250</v>
      </c>
      <c r="B1681" s="22" t="s">
        <v>14</v>
      </c>
      <c r="C1681" s="22" t="s">
        <v>3227</v>
      </c>
      <c r="D1681" s="22" t="s">
        <v>8673</v>
      </c>
      <c r="E1681" s="22" t="s">
        <v>3230</v>
      </c>
      <c r="F1681" s="22">
        <v>33.707249403399999</v>
      </c>
      <c r="G1681" s="22">
        <v>44.661152464600001</v>
      </c>
      <c r="H1681" s="21" t="s">
        <v>3164</v>
      </c>
      <c r="I1681" s="21" t="s">
        <v>3228</v>
      </c>
      <c r="J1681" s="21" t="s">
        <v>3231</v>
      </c>
      <c r="K1681" s="24">
        <v>30</v>
      </c>
      <c r="L1681" s="24">
        <v>180</v>
      </c>
      <c r="M1681" s="23"/>
      <c r="N1681" s="23"/>
      <c r="O1681" s="23"/>
      <c r="P1681" s="23"/>
      <c r="Q1681" s="23"/>
      <c r="R1681" s="23">
        <v>30</v>
      </c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>
        <v>30</v>
      </c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23">
        <v>30</v>
      </c>
      <c r="AS1681" s="23"/>
      <c r="AT1681" s="23"/>
      <c r="AU1681" s="14" t="str">
        <f>HYPERLINK("http://www.openstreetmap.org/?mlat=33.6915&amp;mlon=44.6634&amp;zoom=12#map=12/33.6915/44.6634","Maplink1")</f>
        <v>Maplink1</v>
      </c>
      <c r="AV1681" s="14" t="str">
        <f>HYPERLINK("https://www.google.iq/maps/search/+33.6915,44.6634/@33.6915,44.6634,14z?hl=en","Maplink2")</f>
        <v>Maplink2</v>
      </c>
      <c r="AW1681" s="14" t="str">
        <f>HYPERLINK("http://www.bing.com/maps/?lvl=14&amp;sty=h&amp;cp=33.6915~44.6634&amp;sp=point.33.6915_44.6634_Al Dawasir","Maplink3")</f>
        <v>Maplink3</v>
      </c>
    </row>
    <row r="1682" spans="1:49" ht="15" customHeight="1" x14ac:dyDescent="0.25">
      <c r="A1682" s="21">
        <v>23155</v>
      </c>
      <c r="B1682" s="22" t="s">
        <v>14</v>
      </c>
      <c r="C1682" s="22" t="s">
        <v>3227</v>
      </c>
      <c r="D1682" s="22" t="s">
        <v>3232</v>
      </c>
      <c r="E1682" s="22" t="s">
        <v>3233</v>
      </c>
      <c r="F1682" s="22">
        <v>33.833145104099998</v>
      </c>
      <c r="G1682" s="22">
        <v>44.6391617564</v>
      </c>
      <c r="H1682" s="21" t="s">
        <v>3164</v>
      </c>
      <c r="I1682" s="21" t="s">
        <v>3228</v>
      </c>
      <c r="J1682" s="21" t="s">
        <v>3234</v>
      </c>
      <c r="K1682" s="24">
        <v>4</v>
      </c>
      <c r="L1682" s="24">
        <v>24</v>
      </c>
      <c r="M1682" s="23"/>
      <c r="N1682" s="23"/>
      <c r="O1682" s="23"/>
      <c r="P1682" s="23"/>
      <c r="Q1682" s="23"/>
      <c r="R1682" s="23">
        <v>4</v>
      </c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>
        <v>4</v>
      </c>
      <c r="AL1682" s="23"/>
      <c r="AM1682" s="23"/>
      <c r="AN1682" s="23"/>
      <c r="AO1682" s="23"/>
      <c r="AP1682" s="23"/>
      <c r="AQ1682" s="23"/>
      <c r="AR1682" s="23">
        <v>4</v>
      </c>
      <c r="AS1682" s="23"/>
      <c r="AT1682" s="23"/>
      <c r="AU1682" s="14" t="str">
        <f>HYPERLINK("http://www.openstreetmap.org/?mlat=33.4748&amp;mlon=44.4359&amp;zoom=12#map=12/33.4748/44.4359","Maplink1")</f>
        <v>Maplink1</v>
      </c>
      <c r="AV1682" s="14" t="str">
        <f>HYPERLINK("https://www.google.iq/maps/search/+33.4748,44.4359/@33.4748,44.4359,14z?hl=en","Maplink2")</f>
        <v>Maplink2</v>
      </c>
      <c r="AW1682" s="14" t="str">
        <f>HYPERLINK("http://www.bing.com/maps/?lvl=14&amp;sty=h&amp;cp=33.4748~44.4359&amp;sp=point.33.4748_44.4359_Al Doryeen Village","Maplink3")</f>
        <v>Maplink3</v>
      </c>
    </row>
    <row r="1683" spans="1:49" ht="15" customHeight="1" x14ac:dyDescent="0.25">
      <c r="A1683" s="21">
        <v>11177</v>
      </c>
      <c r="B1683" s="22" t="s">
        <v>14</v>
      </c>
      <c r="C1683" s="22" t="s">
        <v>3227</v>
      </c>
      <c r="D1683" s="22" t="s">
        <v>7318</v>
      </c>
      <c r="E1683" s="22" t="s">
        <v>3235</v>
      </c>
      <c r="F1683" s="22">
        <v>33.757581724799998</v>
      </c>
      <c r="G1683" s="22">
        <v>44.582321383100002</v>
      </c>
      <c r="H1683" s="21" t="s">
        <v>3164</v>
      </c>
      <c r="I1683" s="21" t="s">
        <v>3228</v>
      </c>
      <c r="J1683" s="21"/>
      <c r="K1683" s="24">
        <v>127</v>
      </c>
      <c r="L1683" s="24">
        <v>762</v>
      </c>
      <c r="M1683" s="23"/>
      <c r="N1683" s="23"/>
      <c r="O1683" s="23"/>
      <c r="P1683" s="23"/>
      <c r="Q1683" s="23"/>
      <c r="R1683" s="23">
        <v>127</v>
      </c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>
        <v>127</v>
      </c>
      <c r="AL1683" s="23"/>
      <c r="AM1683" s="23"/>
      <c r="AN1683" s="23"/>
      <c r="AO1683" s="23"/>
      <c r="AP1683" s="23"/>
      <c r="AQ1683" s="23"/>
      <c r="AR1683" s="23">
        <v>127</v>
      </c>
      <c r="AS1683" s="23"/>
      <c r="AT1683" s="23"/>
      <c r="AU1683" s="14" t="str">
        <f>HYPERLINK("http://www.openstreetmap.org/?mlat=33.7586&amp;mlon=44.582&amp;zoom=12#map=12/33.7586/44.582","Maplink1")</f>
        <v>Maplink1</v>
      </c>
      <c r="AV1683" s="14" t="str">
        <f>HYPERLINK("https://www.google.iq/maps/search/+33.7586,44.582/@33.7586,44.582,14z?hl=en","Maplink2")</f>
        <v>Maplink2</v>
      </c>
      <c r="AW1683" s="14" t="str">
        <f>HYPERLINK("http://www.bing.com/maps/?lvl=14&amp;sty=h&amp;cp=33.7586~44.582&amp;sp=point.33.7586_44.582_Al Gatoon - Al Mujama Qtr","Maplink3")</f>
        <v>Maplink3</v>
      </c>
    </row>
    <row r="1684" spans="1:49" ht="15" customHeight="1" x14ac:dyDescent="0.25">
      <c r="A1684" s="21">
        <v>24915</v>
      </c>
      <c r="B1684" s="22" t="s">
        <v>14</v>
      </c>
      <c r="C1684" s="22" t="s">
        <v>3227</v>
      </c>
      <c r="D1684" s="22" t="s">
        <v>7319</v>
      </c>
      <c r="E1684" s="22" t="s">
        <v>3236</v>
      </c>
      <c r="F1684" s="22">
        <v>33.756937156399999</v>
      </c>
      <c r="G1684" s="22">
        <v>44.594535408500001</v>
      </c>
      <c r="H1684" s="21" t="s">
        <v>3164</v>
      </c>
      <c r="I1684" s="21" t="s">
        <v>3228</v>
      </c>
      <c r="J1684" s="21"/>
      <c r="K1684" s="24">
        <v>540</v>
      </c>
      <c r="L1684" s="24">
        <v>3240</v>
      </c>
      <c r="M1684" s="23">
        <v>9</v>
      </c>
      <c r="N1684" s="23"/>
      <c r="O1684" s="23"/>
      <c r="P1684" s="23"/>
      <c r="Q1684" s="23"/>
      <c r="R1684" s="23">
        <v>531</v>
      </c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>
        <v>540</v>
      </c>
      <c r="AL1684" s="23"/>
      <c r="AM1684" s="23"/>
      <c r="AN1684" s="23"/>
      <c r="AO1684" s="23"/>
      <c r="AP1684" s="23"/>
      <c r="AQ1684" s="23"/>
      <c r="AR1684" s="23">
        <v>540</v>
      </c>
      <c r="AS1684" s="23"/>
      <c r="AT1684" s="23"/>
      <c r="AU1684" s="14" t="str">
        <f>HYPERLINK("http://www.openstreetmap.org/?mlat=33.7577&amp;mlon=44.5939&amp;zoom=12#map=12/33.7577/44.5939","Maplink1")</f>
        <v>Maplink1</v>
      </c>
      <c r="AV1684" s="14" t="str">
        <f>HYPERLINK("https://www.google.iq/maps/search/+33.7577,44.5939/@33.7577,44.5939,14z?hl=en","Maplink2")</f>
        <v>Maplink2</v>
      </c>
      <c r="AW1684" s="14" t="str">
        <f>HYPERLINK("http://www.bing.com/maps/?lvl=14&amp;sty=h&amp;cp=33.7577~44.5939&amp;sp=point.33.7577_44.5939_Al Gatoon - Al rahma","Maplink3")</f>
        <v>Maplink3</v>
      </c>
    </row>
    <row r="1685" spans="1:49" ht="15" customHeight="1" x14ac:dyDescent="0.25">
      <c r="A1685" s="21">
        <v>24805</v>
      </c>
      <c r="B1685" s="22" t="s">
        <v>14</v>
      </c>
      <c r="C1685" s="22" t="s">
        <v>3227</v>
      </c>
      <c r="D1685" s="22" t="s">
        <v>7320</v>
      </c>
      <c r="E1685" s="22" t="s">
        <v>8010</v>
      </c>
      <c r="F1685" s="22">
        <v>33.718238789600001</v>
      </c>
      <c r="G1685" s="22">
        <v>44.600549675499998</v>
      </c>
      <c r="H1685" s="21" t="s">
        <v>3164</v>
      </c>
      <c r="I1685" s="21" t="s">
        <v>3228</v>
      </c>
      <c r="J1685" s="21"/>
      <c r="K1685" s="24">
        <v>915</v>
      </c>
      <c r="L1685" s="24">
        <v>5490</v>
      </c>
      <c r="M1685" s="23">
        <v>7</v>
      </c>
      <c r="N1685" s="23"/>
      <c r="O1685" s="23"/>
      <c r="P1685" s="23"/>
      <c r="Q1685" s="23"/>
      <c r="R1685" s="23">
        <v>908</v>
      </c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>
        <v>351</v>
      </c>
      <c r="AG1685" s="23"/>
      <c r="AH1685" s="23"/>
      <c r="AI1685" s="23"/>
      <c r="AJ1685" s="23"/>
      <c r="AK1685" s="23">
        <v>564</v>
      </c>
      <c r="AL1685" s="23"/>
      <c r="AM1685" s="23"/>
      <c r="AN1685" s="23"/>
      <c r="AO1685" s="23"/>
      <c r="AP1685" s="23"/>
      <c r="AQ1685" s="23"/>
      <c r="AR1685" s="23">
        <v>908</v>
      </c>
      <c r="AS1685" s="23">
        <v>7</v>
      </c>
      <c r="AT1685" s="23"/>
      <c r="AU1685" s="14" t="str">
        <f>HYPERLINK("http://www.openstreetmap.org/?mlat=33.7522&amp;mlon=44.5921&amp;zoom=12#map=12/33.7522/44.5921","Maplink1")</f>
        <v>Maplink1</v>
      </c>
      <c r="AV1685" s="14" t="str">
        <f>HYPERLINK("https://www.google.iq/maps/search/+33.7522,44.5921/@33.7522,44.5921,14z?hl=en","Maplink2")</f>
        <v>Maplink2</v>
      </c>
      <c r="AW1685" s="14" t="str">
        <f>HYPERLINK("http://www.bing.com/maps/?lvl=14&amp;sty=h&amp;cp=33.7522~44.5921&amp;sp=point.33.7522_44.5921_Al Gatoon - Al Yarmook Qtr","Maplink3")</f>
        <v>Maplink3</v>
      </c>
    </row>
    <row r="1686" spans="1:49" ht="15" customHeight="1" x14ac:dyDescent="0.25">
      <c r="A1686" s="21">
        <v>23740</v>
      </c>
      <c r="B1686" s="22" t="s">
        <v>14</v>
      </c>
      <c r="C1686" s="22" t="s">
        <v>3227</v>
      </c>
      <c r="D1686" s="22" t="s">
        <v>3237</v>
      </c>
      <c r="E1686" s="22" t="s">
        <v>3238</v>
      </c>
      <c r="F1686" s="22">
        <v>33.769708041800001</v>
      </c>
      <c r="G1686" s="22">
        <v>44.624163062800001</v>
      </c>
      <c r="H1686" s="21" t="s">
        <v>3164</v>
      </c>
      <c r="I1686" s="21" t="s">
        <v>3228</v>
      </c>
      <c r="J1686" s="21" t="s">
        <v>3239</v>
      </c>
      <c r="K1686" s="24">
        <v>31</v>
      </c>
      <c r="L1686" s="24">
        <v>186</v>
      </c>
      <c r="M1686" s="23">
        <v>5</v>
      </c>
      <c r="N1686" s="23"/>
      <c r="O1686" s="23"/>
      <c r="P1686" s="23"/>
      <c r="Q1686" s="23"/>
      <c r="R1686" s="23">
        <v>26</v>
      </c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>
        <v>25</v>
      </c>
      <c r="AG1686" s="23"/>
      <c r="AH1686" s="23"/>
      <c r="AI1686" s="23"/>
      <c r="AJ1686" s="23"/>
      <c r="AK1686" s="23">
        <v>6</v>
      </c>
      <c r="AL1686" s="23"/>
      <c r="AM1686" s="23"/>
      <c r="AN1686" s="23"/>
      <c r="AO1686" s="23">
        <v>5</v>
      </c>
      <c r="AP1686" s="23"/>
      <c r="AQ1686" s="23">
        <v>6</v>
      </c>
      <c r="AR1686" s="23">
        <v>20</v>
      </c>
      <c r="AS1686" s="23"/>
      <c r="AT1686" s="23"/>
      <c r="AU1686" s="14" t="str">
        <f>HYPERLINK("http://www.openstreetmap.org/?mlat=33.7709&amp;mlon=44.6233&amp;zoom=12#map=12/33.7709/44.6233","Maplink1")</f>
        <v>Maplink1</v>
      </c>
      <c r="AV1686" s="14" t="str">
        <f>HYPERLINK("https://www.google.iq/maps/search/+33.7709,44.6233/@33.7709,44.6233,14z?hl=en","Maplink2")</f>
        <v>Maplink2</v>
      </c>
      <c r="AW1686" s="14" t="str">
        <f>HYPERLINK("http://www.bing.com/maps/?lvl=14&amp;sty=h&amp;cp=33.7709~44.6233&amp;sp=point.33.7709_44.6233_Al Hawidar","Maplink3")</f>
        <v>Maplink3</v>
      </c>
    </row>
    <row r="1687" spans="1:49" ht="15" customHeight="1" x14ac:dyDescent="0.25">
      <c r="A1687" s="21">
        <v>23694</v>
      </c>
      <c r="B1687" s="22" t="s">
        <v>14</v>
      </c>
      <c r="C1687" s="22" t="s">
        <v>3227</v>
      </c>
      <c r="D1687" s="22" t="s">
        <v>8674</v>
      </c>
      <c r="E1687" s="22" t="s">
        <v>3285</v>
      </c>
      <c r="F1687" s="22">
        <v>33.583922688800001</v>
      </c>
      <c r="G1687" s="22">
        <v>44.556546108799999</v>
      </c>
      <c r="H1687" s="21" t="s">
        <v>3164</v>
      </c>
      <c r="I1687" s="21" t="s">
        <v>3228</v>
      </c>
      <c r="J1687" s="21" t="s">
        <v>3286</v>
      </c>
      <c r="K1687" s="24">
        <v>60</v>
      </c>
      <c r="L1687" s="24">
        <v>360</v>
      </c>
      <c r="M1687" s="23">
        <v>18</v>
      </c>
      <c r="N1687" s="23"/>
      <c r="O1687" s="23"/>
      <c r="P1687" s="23"/>
      <c r="Q1687" s="23"/>
      <c r="R1687" s="23">
        <v>28</v>
      </c>
      <c r="S1687" s="23"/>
      <c r="T1687" s="23"/>
      <c r="U1687" s="23"/>
      <c r="V1687" s="23"/>
      <c r="W1687" s="23"/>
      <c r="X1687" s="23"/>
      <c r="Y1687" s="23"/>
      <c r="Z1687" s="23"/>
      <c r="AA1687" s="23">
        <v>14</v>
      </c>
      <c r="AB1687" s="23"/>
      <c r="AC1687" s="23"/>
      <c r="AD1687" s="23"/>
      <c r="AE1687" s="23"/>
      <c r="AF1687" s="23">
        <v>28</v>
      </c>
      <c r="AG1687" s="23"/>
      <c r="AH1687" s="23"/>
      <c r="AI1687" s="23"/>
      <c r="AJ1687" s="23"/>
      <c r="AK1687" s="23">
        <v>32</v>
      </c>
      <c r="AL1687" s="23"/>
      <c r="AM1687" s="23"/>
      <c r="AN1687" s="23"/>
      <c r="AO1687" s="23">
        <v>8</v>
      </c>
      <c r="AP1687" s="23"/>
      <c r="AQ1687" s="23">
        <v>30</v>
      </c>
      <c r="AR1687" s="23">
        <v>9</v>
      </c>
      <c r="AS1687" s="23">
        <v>13</v>
      </c>
      <c r="AT1687" s="23"/>
      <c r="AU1687" s="14" t="str">
        <f>HYPERLINK("http://www.openstreetmap.org/?mlat=33.5719&amp;mlon=44.5567&amp;zoom=12#map=12/33.5719/44.5567","Maplink1")</f>
        <v>Maplink1</v>
      </c>
      <c r="AV1687" s="14" t="str">
        <f>HYPERLINK("https://www.google.iq/maps/search/+33.5719,44.5567/@33.5719,44.5567,14z?hl=en","Maplink2")</f>
        <v>Maplink2</v>
      </c>
      <c r="AW1687" s="14" t="str">
        <f>HYPERLINK("http://www.bing.com/maps/?lvl=14&amp;sty=h&amp;cp=33.5719~44.5567&amp;sp=point.33.5719_44.5567_Hay Al Intesar-1","Maplink3")</f>
        <v>Maplink3</v>
      </c>
    </row>
    <row r="1688" spans="1:49" ht="15" customHeight="1" x14ac:dyDescent="0.25">
      <c r="A1688" s="21">
        <v>11220</v>
      </c>
      <c r="B1688" s="22" t="s">
        <v>14</v>
      </c>
      <c r="C1688" s="22" t="s">
        <v>3227</v>
      </c>
      <c r="D1688" s="22" t="s">
        <v>8675</v>
      </c>
      <c r="E1688" s="22" t="s">
        <v>3287</v>
      </c>
      <c r="F1688" s="22">
        <v>33.480842965699999</v>
      </c>
      <c r="G1688" s="22">
        <v>44.526921361699998</v>
      </c>
      <c r="H1688" s="21" t="s">
        <v>3164</v>
      </c>
      <c r="I1688" s="21" t="s">
        <v>3228</v>
      </c>
      <c r="J1688" s="21" t="s">
        <v>3288</v>
      </c>
      <c r="K1688" s="24">
        <v>8</v>
      </c>
      <c r="L1688" s="24">
        <v>48</v>
      </c>
      <c r="M1688" s="23"/>
      <c r="N1688" s="23"/>
      <c r="O1688" s="23"/>
      <c r="P1688" s="23"/>
      <c r="Q1688" s="23"/>
      <c r="R1688" s="23">
        <v>8</v>
      </c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>
        <v>8</v>
      </c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23">
        <v>8</v>
      </c>
      <c r="AS1688" s="23"/>
      <c r="AT1688" s="23"/>
      <c r="AU1688" s="14" t="str">
        <f>HYPERLINK("http://www.openstreetmap.org/?mlat=33.5674&amp;mlon=44.5443&amp;zoom=12#map=12/33.5674/44.5443","Maplink1")</f>
        <v>Maplink1</v>
      </c>
      <c r="AV1688" s="14" t="str">
        <f>HYPERLINK("https://www.google.iq/maps/search/+33.5674,44.5443/@33.5674,44.5443,14z?hl=en","Maplink2")</f>
        <v>Maplink2</v>
      </c>
      <c r="AW1688" s="14" t="str">
        <f>HYPERLINK("http://www.bing.com/maps/?lvl=14&amp;sty=h&amp;cp=33.5674~44.5443&amp;sp=point.33.5674_44.5443_Hay Al Karama","Maplink3")</f>
        <v>Maplink3</v>
      </c>
    </row>
    <row r="1689" spans="1:49" ht="15" customHeight="1" x14ac:dyDescent="0.25">
      <c r="A1689" s="21">
        <v>25047</v>
      </c>
      <c r="B1689" s="22" t="s">
        <v>14</v>
      </c>
      <c r="C1689" s="22" t="s">
        <v>3227</v>
      </c>
      <c r="D1689" s="22" t="s">
        <v>8676</v>
      </c>
      <c r="E1689" s="22" t="s">
        <v>2702</v>
      </c>
      <c r="F1689" s="22">
        <v>33.695153011199999</v>
      </c>
      <c r="G1689" s="22">
        <v>44.793955286600003</v>
      </c>
      <c r="H1689" s="21" t="s">
        <v>3164</v>
      </c>
      <c r="I1689" s="21" t="s">
        <v>3228</v>
      </c>
      <c r="J1689" s="21"/>
      <c r="K1689" s="24">
        <v>70</v>
      </c>
      <c r="L1689" s="24">
        <v>420</v>
      </c>
      <c r="M1689" s="23"/>
      <c r="N1689" s="23"/>
      <c r="O1689" s="23"/>
      <c r="P1689" s="23"/>
      <c r="Q1689" s="23"/>
      <c r="R1689" s="23">
        <v>52</v>
      </c>
      <c r="S1689" s="23"/>
      <c r="T1689" s="23"/>
      <c r="U1689" s="23"/>
      <c r="V1689" s="23"/>
      <c r="W1689" s="23"/>
      <c r="X1689" s="23"/>
      <c r="Y1689" s="23"/>
      <c r="Z1689" s="23"/>
      <c r="AA1689" s="23">
        <v>18</v>
      </c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>
        <v>70</v>
      </c>
      <c r="AL1689" s="23"/>
      <c r="AM1689" s="23"/>
      <c r="AN1689" s="23"/>
      <c r="AO1689" s="23"/>
      <c r="AP1689" s="23"/>
      <c r="AQ1689" s="23"/>
      <c r="AR1689" s="23">
        <v>70</v>
      </c>
      <c r="AS1689" s="23"/>
      <c r="AT1689" s="23"/>
      <c r="AU1689" s="14" t="str">
        <f>HYPERLINK("http://www.openstreetmap.org/?mlat=33.6929&amp;mlon=44.8131&amp;zoom=12#map=12/33.6929/44.8131","Maplink1")</f>
        <v>Maplink1</v>
      </c>
      <c r="AV1689" s="14" t="str">
        <f>HYPERLINK("https://www.google.iq/maps/search/+33.6929,44.8131/@33.6929,44.8131,14z?hl=en","Maplink2")</f>
        <v>Maplink2</v>
      </c>
      <c r="AW1689" s="14" t="str">
        <f>HYPERLINK("http://www.bing.com/maps/?lvl=14&amp;sty=h&amp;cp=33.6929~44.8131&amp;sp=point.33.6929_44.8131_Kanaan-Al Khadra Qtr","Maplink3")</f>
        <v>Maplink3</v>
      </c>
    </row>
    <row r="1690" spans="1:49" ht="15" customHeight="1" x14ac:dyDescent="0.25">
      <c r="A1690" s="21">
        <v>11189</v>
      </c>
      <c r="B1690" s="22" t="s">
        <v>14</v>
      </c>
      <c r="C1690" s="22" t="s">
        <v>3227</v>
      </c>
      <c r="D1690" s="22" t="s">
        <v>3240</v>
      </c>
      <c r="E1690" s="22" t="s">
        <v>3241</v>
      </c>
      <c r="F1690" s="22">
        <v>33.749724528800002</v>
      </c>
      <c r="G1690" s="22">
        <v>44.608885394399998</v>
      </c>
      <c r="H1690" s="21" t="s">
        <v>3164</v>
      </c>
      <c r="I1690" s="21" t="s">
        <v>3228</v>
      </c>
      <c r="J1690" s="21" t="s">
        <v>3242</v>
      </c>
      <c r="K1690" s="24">
        <v>311</v>
      </c>
      <c r="L1690" s="24">
        <v>1866</v>
      </c>
      <c r="M1690" s="23"/>
      <c r="N1690" s="23"/>
      <c r="O1690" s="23"/>
      <c r="P1690" s="23"/>
      <c r="Q1690" s="23"/>
      <c r="R1690" s="23">
        <v>311</v>
      </c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>
        <v>17</v>
      </c>
      <c r="AG1690" s="23"/>
      <c r="AH1690" s="23"/>
      <c r="AI1690" s="23"/>
      <c r="AJ1690" s="23"/>
      <c r="AK1690" s="23">
        <v>224</v>
      </c>
      <c r="AL1690" s="23"/>
      <c r="AM1690" s="23">
        <v>70</v>
      </c>
      <c r="AN1690" s="23"/>
      <c r="AO1690" s="23"/>
      <c r="AP1690" s="23"/>
      <c r="AQ1690" s="23"/>
      <c r="AR1690" s="23">
        <v>311</v>
      </c>
      <c r="AS1690" s="23"/>
      <c r="AT1690" s="23"/>
      <c r="AU1690" s="14" t="str">
        <f>HYPERLINK("http://www.openstreetmap.org/?mlat=33.7431&amp;mlon=44.6115&amp;zoom=12#map=12/33.7431/44.6115","Maplink1")</f>
        <v>Maplink1</v>
      </c>
      <c r="AV1690" s="14" t="str">
        <f>HYPERLINK("https://www.google.iq/maps/search/+33.7431,44.6115/@33.7431,44.6115,14z?hl=en","Maplink2")</f>
        <v>Maplink2</v>
      </c>
      <c r="AW1690" s="14" t="str">
        <f>HYPERLINK("http://www.bing.com/maps/?lvl=14&amp;sty=h&amp;cp=33.7431~44.6115&amp;sp=point.33.7431_44.6115_Al Mafraq","Maplink3")</f>
        <v>Maplink3</v>
      </c>
    </row>
    <row r="1691" spans="1:49" ht="15" customHeight="1" x14ac:dyDescent="0.25">
      <c r="A1691" s="21">
        <v>25054</v>
      </c>
      <c r="B1691" s="22" t="s">
        <v>14</v>
      </c>
      <c r="C1691" s="22" t="s">
        <v>3227</v>
      </c>
      <c r="D1691" s="22" t="s">
        <v>8677</v>
      </c>
      <c r="E1691" s="22" t="s">
        <v>842</v>
      </c>
      <c r="F1691" s="22">
        <v>33.694356835800001</v>
      </c>
      <c r="G1691" s="22">
        <v>44.801922956299997</v>
      </c>
      <c r="H1691" s="21" t="s">
        <v>3164</v>
      </c>
      <c r="I1691" s="21" t="s">
        <v>3228</v>
      </c>
      <c r="J1691" s="21"/>
      <c r="K1691" s="24">
        <v>20</v>
      </c>
      <c r="L1691" s="24">
        <v>120</v>
      </c>
      <c r="M1691" s="23"/>
      <c r="N1691" s="23"/>
      <c r="O1691" s="23"/>
      <c r="P1691" s="23"/>
      <c r="Q1691" s="23"/>
      <c r="R1691" s="23">
        <v>15</v>
      </c>
      <c r="S1691" s="23"/>
      <c r="T1691" s="23"/>
      <c r="U1691" s="23"/>
      <c r="V1691" s="23"/>
      <c r="W1691" s="23"/>
      <c r="X1691" s="23"/>
      <c r="Y1691" s="23">
        <v>5</v>
      </c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>
        <v>20</v>
      </c>
      <c r="AL1691" s="23"/>
      <c r="AM1691" s="23"/>
      <c r="AN1691" s="23"/>
      <c r="AO1691" s="23"/>
      <c r="AP1691" s="23"/>
      <c r="AQ1691" s="23"/>
      <c r="AR1691" s="23">
        <v>20</v>
      </c>
      <c r="AS1691" s="23"/>
      <c r="AT1691" s="23"/>
      <c r="AU1691" s="14" t="str">
        <f>HYPERLINK("http://www.openstreetmap.org/?mlat=33.6901&amp;mlon=44.8076&amp;zoom=12#map=12/33.6901/44.8076","Maplink1")</f>
        <v>Maplink1</v>
      </c>
      <c r="AV1691" s="14" t="str">
        <f>HYPERLINK("https://www.google.iq/maps/search/+33.6901,44.8076/@33.6901,44.8076,14z?hl=en","Maplink2")</f>
        <v>Maplink2</v>
      </c>
      <c r="AW1691" s="14" t="str">
        <f>HYPERLINK("http://www.bing.com/maps/?lvl=14&amp;sty=h&amp;cp=33.6901~44.8076&amp;sp=point.33.6901_44.8076_Kanaan-Al Mashtl Qtr","Maplink3")</f>
        <v>Maplink3</v>
      </c>
    </row>
    <row r="1692" spans="1:49" ht="15" customHeight="1" x14ac:dyDescent="0.25">
      <c r="A1692" s="21">
        <v>25049</v>
      </c>
      <c r="B1692" s="22" t="s">
        <v>14</v>
      </c>
      <c r="C1692" s="22" t="s">
        <v>3227</v>
      </c>
      <c r="D1692" s="22" t="s">
        <v>8678</v>
      </c>
      <c r="E1692" s="22" t="s">
        <v>222</v>
      </c>
      <c r="F1692" s="22">
        <v>33.688934305499998</v>
      </c>
      <c r="G1692" s="22">
        <v>44.794854460099998</v>
      </c>
      <c r="H1692" s="21" t="s">
        <v>3164</v>
      </c>
      <c r="I1692" s="21" t="s">
        <v>3228</v>
      </c>
      <c r="J1692" s="21"/>
      <c r="K1692" s="24">
        <v>15</v>
      </c>
      <c r="L1692" s="24">
        <v>90</v>
      </c>
      <c r="M1692" s="23"/>
      <c r="N1692" s="23"/>
      <c r="O1692" s="23"/>
      <c r="P1692" s="23"/>
      <c r="Q1692" s="23"/>
      <c r="R1692" s="23">
        <v>15</v>
      </c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>
        <v>15</v>
      </c>
      <c r="AL1692" s="23"/>
      <c r="AM1692" s="23"/>
      <c r="AN1692" s="23"/>
      <c r="AO1692" s="23"/>
      <c r="AP1692" s="23"/>
      <c r="AQ1692" s="23"/>
      <c r="AR1692" s="23">
        <v>15</v>
      </c>
      <c r="AS1692" s="23"/>
      <c r="AT1692" s="23"/>
      <c r="AU1692" s="14" t="str">
        <f>HYPERLINK("http://www.openstreetmap.org/?mlat=33.6321&amp;mlon=44.8813&amp;zoom=12#map=12/33.6321/44.8813","Maplink1")</f>
        <v>Maplink1</v>
      </c>
      <c r="AV1692" s="14" t="str">
        <f>HYPERLINK("https://www.google.iq/maps/search/+33.6321,44.8813/@33.6321,44.8813,14z?hl=en","Maplink2")</f>
        <v>Maplink2</v>
      </c>
      <c r="AW1692" s="14" t="str">
        <f>HYPERLINK("http://www.bing.com/maps/?lvl=14&amp;sty=h&amp;cp=33.6321~44.8813&amp;sp=point.33.6321_44.8813_Kanaan-Al Nasr Qtr","Maplink3")</f>
        <v>Maplink3</v>
      </c>
    </row>
    <row r="1693" spans="1:49" ht="15" customHeight="1" x14ac:dyDescent="0.25">
      <c r="A1693" s="21">
        <v>25044</v>
      </c>
      <c r="B1693" s="22" t="s">
        <v>14</v>
      </c>
      <c r="C1693" s="22" t="s">
        <v>3227</v>
      </c>
      <c r="D1693" s="22" t="s">
        <v>8679</v>
      </c>
      <c r="E1693" s="22" t="s">
        <v>2190</v>
      </c>
      <c r="F1693" s="22">
        <v>33.693120433600001</v>
      </c>
      <c r="G1693" s="22">
        <v>44.801483993399998</v>
      </c>
      <c r="H1693" s="21" t="s">
        <v>3164</v>
      </c>
      <c r="I1693" s="21" t="s">
        <v>3228</v>
      </c>
      <c r="J1693" s="21"/>
      <c r="K1693" s="24">
        <v>50</v>
      </c>
      <c r="L1693" s="24">
        <v>300</v>
      </c>
      <c r="M1693" s="23"/>
      <c r="N1693" s="23"/>
      <c r="O1693" s="23"/>
      <c r="P1693" s="23"/>
      <c r="Q1693" s="23"/>
      <c r="R1693" s="23">
        <v>35</v>
      </c>
      <c r="S1693" s="23"/>
      <c r="T1693" s="23"/>
      <c r="U1693" s="23"/>
      <c r="V1693" s="23"/>
      <c r="W1693" s="23"/>
      <c r="X1693" s="23"/>
      <c r="Y1693" s="23"/>
      <c r="Z1693" s="23"/>
      <c r="AA1693" s="23">
        <v>15</v>
      </c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>
        <v>50</v>
      </c>
      <c r="AL1693" s="23"/>
      <c r="AM1693" s="23"/>
      <c r="AN1693" s="23"/>
      <c r="AO1693" s="23"/>
      <c r="AP1693" s="23"/>
      <c r="AQ1693" s="23">
        <v>15</v>
      </c>
      <c r="AR1693" s="23">
        <v>35</v>
      </c>
      <c r="AS1693" s="23"/>
      <c r="AT1693" s="23"/>
      <c r="AU1693" s="14" t="str">
        <f>HYPERLINK("http://www.openstreetmap.org/?mlat=33.6627&amp;mlon=44.8414&amp;zoom=12#map=12/33.6627/44.8414","Maplink1")</f>
        <v>Maplink1</v>
      </c>
      <c r="AV1693" s="14" t="str">
        <f>HYPERLINK("https://www.google.iq/maps/search/+33.6627,44.8414/@33.6627,44.8414,14z?hl=en","Maplink2")</f>
        <v>Maplink2</v>
      </c>
      <c r="AW1693" s="14" t="str">
        <f>HYPERLINK("http://www.bing.com/maps/?lvl=14&amp;sty=h&amp;cp=33.6627~44.8414&amp;sp=point.33.6627_44.8414_Kanaan-Al Oroba Qtr","Maplink3")</f>
        <v>Maplink3</v>
      </c>
    </row>
    <row r="1694" spans="1:49" ht="15" customHeight="1" x14ac:dyDescent="0.25">
      <c r="A1694" s="21">
        <v>11268</v>
      </c>
      <c r="B1694" s="22" t="s">
        <v>14</v>
      </c>
      <c r="C1694" s="22" t="s">
        <v>3227</v>
      </c>
      <c r="D1694" s="22" t="s">
        <v>8680</v>
      </c>
      <c r="E1694" s="22" t="s">
        <v>225</v>
      </c>
      <c r="F1694" s="22">
        <v>33.719744853599998</v>
      </c>
      <c r="G1694" s="22">
        <v>44.652193555499998</v>
      </c>
      <c r="H1694" s="21" t="s">
        <v>3164</v>
      </c>
      <c r="I1694" s="21" t="s">
        <v>3228</v>
      </c>
      <c r="J1694" s="21" t="s">
        <v>3289</v>
      </c>
      <c r="K1694" s="24">
        <v>55</v>
      </c>
      <c r="L1694" s="24">
        <v>330</v>
      </c>
      <c r="M1694" s="23"/>
      <c r="N1694" s="23"/>
      <c r="O1694" s="23"/>
      <c r="P1694" s="23"/>
      <c r="Q1694" s="23"/>
      <c r="R1694" s="23">
        <v>55</v>
      </c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>
        <v>55</v>
      </c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>
        <v>55</v>
      </c>
      <c r="AS1694" s="23"/>
      <c r="AT1694" s="23"/>
      <c r="AU1694" s="14" t="str">
        <f>HYPERLINK("http://www.openstreetmap.org/?mlat=33.7112&amp;mlon=44.65&amp;zoom=12#map=12/33.7112/44.65","Maplink1")</f>
        <v>Maplink1</v>
      </c>
      <c r="AV1694" s="14" t="str">
        <f>HYPERLINK("https://www.google.iq/maps/search/+33.7112,44.65/@33.7112,44.65,14z?hl=en","Maplink2")</f>
        <v>Maplink2</v>
      </c>
      <c r="AW1694" s="14" t="str">
        <f>HYPERLINK("http://www.bing.com/maps/?lvl=14&amp;sty=h&amp;cp=33.7112~44.65&amp;sp=point.33.7112_44.65_Hay Al Qadisiya","Maplink3")</f>
        <v>Maplink3</v>
      </c>
    </row>
    <row r="1695" spans="1:49" ht="15" customHeight="1" x14ac:dyDescent="0.25">
      <c r="A1695" s="21">
        <v>11410</v>
      </c>
      <c r="B1695" s="22" t="s">
        <v>14</v>
      </c>
      <c r="C1695" s="22" t="s">
        <v>3227</v>
      </c>
      <c r="D1695" s="22" t="s">
        <v>8681</v>
      </c>
      <c r="E1695" s="22" t="s">
        <v>869</v>
      </c>
      <c r="F1695" s="22">
        <v>33.582837735299996</v>
      </c>
      <c r="G1695" s="22">
        <v>44.553046077499999</v>
      </c>
      <c r="H1695" s="21" t="s">
        <v>3164</v>
      </c>
      <c r="I1695" s="21" t="s">
        <v>3228</v>
      </c>
      <c r="J1695" s="21" t="s">
        <v>3243</v>
      </c>
      <c r="K1695" s="24">
        <v>105</v>
      </c>
      <c r="L1695" s="24">
        <v>630</v>
      </c>
      <c r="M1695" s="23"/>
      <c r="N1695" s="23"/>
      <c r="O1695" s="23"/>
      <c r="P1695" s="23"/>
      <c r="Q1695" s="23"/>
      <c r="R1695" s="23">
        <v>76</v>
      </c>
      <c r="S1695" s="23"/>
      <c r="T1695" s="23"/>
      <c r="U1695" s="23"/>
      <c r="V1695" s="23"/>
      <c r="W1695" s="23"/>
      <c r="X1695" s="23"/>
      <c r="Y1695" s="23"/>
      <c r="Z1695" s="23"/>
      <c r="AA1695" s="23">
        <v>29</v>
      </c>
      <c r="AB1695" s="23"/>
      <c r="AC1695" s="23"/>
      <c r="AD1695" s="23"/>
      <c r="AE1695" s="23"/>
      <c r="AF1695" s="23">
        <v>65</v>
      </c>
      <c r="AG1695" s="23"/>
      <c r="AH1695" s="23"/>
      <c r="AI1695" s="23"/>
      <c r="AJ1695" s="23"/>
      <c r="AK1695" s="23">
        <v>33</v>
      </c>
      <c r="AL1695" s="23"/>
      <c r="AM1695" s="23">
        <v>7</v>
      </c>
      <c r="AN1695" s="23"/>
      <c r="AO1695" s="23"/>
      <c r="AP1695" s="23"/>
      <c r="AQ1695" s="23">
        <v>10</v>
      </c>
      <c r="AR1695" s="23">
        <v>95</v>
      </c>
      <c r="AS1695" s="23"/>
      <c r="AT1695" s="23"/>
      <c r="AU1695" s="14" t="str">
        <f>HYPERLINK("http://www.openstreetmap.org/?mlat=33.5706&amp;mlon=44.547&amp;zoom=12#map=12/33.5706/44.547","Maplink1")</f>
        <v>Maplink1</v>
      </c>
      <c r="AV1695" s="14" t="str">
        <f>HYPERLINK("https://www.google.iq/maps/search/+33.5706,44.547/@33.5706,44.547,14z?hl=en","Maplink2")</f>
        <v>Maplink2</v>
      </c>
      <c r="AW1695" s="14" t="str">
        <f>HYPERLINK("http://www.bing.com/maps/?lvl=14&amp;sty=h&amp;cp=33.5706~44.547&amp;sp=point.33.5706_44.547_Al Rasool","Maplink3")</f>
        <v>Maplink3</v>
      </c>
    </row>
    <row r="1696" spans="1:49" ht="15" customHeight="1" x14ac:dyDescent="0.25">
      <c r="A1696" s="21">
        <v>25041</v>
      </c>
      <c r="B1696" s="22" t="s">
        <v>14</v>
      </c>
      <c r="C1696" s="22" t="s">
        <v>3227</v>
      </c>
      <c r="D1696" s="22" t="s">
        <v>8682</v>
      </c>
      <c r="E1696" s="22" t="s">
        <v>2300</v>
      </c>
      <c r="F1696" s="22">
        <v>33.695017035299998</v>
      </c>
      <c r="G1696" s="22">
        <v>44.801136631299997</v>
      </c>
      <c r="H1696" s="21" t="s">
        <v>3164</v>
      </c>
      <c r="I1696" s="21" t="s">
        <v>3228</v>
      </c>
      <c r="J1696" s="21"/>
      <c r="K1696" s="24">
        <v>50</v>
      </c>
      <c r="L1696" s="24">
        <v>300</v>
      </c>
      <c r="M1696" s="23"/>
      <c r="N1696" s="23"/>
      <c r="O1696" s="23"/>
      <c r="P1696" s="23"/>
      <c r="Q1696" s="23"/>
      <c r="R1696" s="23">
        <v>50</v>
      </c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>
        <v>30</v>
      </c>
      <c r="AL1696" s="23"/>
      <c r="AM1696" s="23">
        <v>20</v>
      </c>
      <c r="AN1696" s="23"/>
      <c r="AO1696" s="23"/>
      <c r="AP1696" s="23"/>
      <c r="AQ1696" s="23"/>
      <c r="AR1696" s="23">
        <v>50</v>
      </c>
      <c r="AS1696" s="23"/>
      <c r="AT1696" s="23"/>
      <c r="AU1696" s="14" t="str">
        <f>HYPERLINK("http://www.openstreetmap.org/?mlat=33.6955&amp;mlon=44.8053&amp;zoom=12#map=12/33.6955/44.8053","Maplink1")</f>
        <v>Maplink1</v>
      </c>
      <c r="AV1696" s="14" t="str">
        <f>HYPERLINK("https://www.google.iq/maps/search/+33.6955,44.8053/@33.6955,44.8053,14z?hl=en","Maplink2")</f>
        <v>Maplink2</v>
      </c>
      <c r="AW1696" s="14" t="str">
        <f>HYPERLINK("http://www.bing.com/maps/?lvl=14&amp;sty=h&amp;cp=33.6955~44.8053&amp;sp=point.33.6955_44.8053_Kanaan-Al Resala Qtr","Maplink3")</f>
        <v>Maplink3</v>
      </c>
    </row>
    <row r="1697" spans="1:49" ht="15" customHeight="1" x14ac:dyDescent="0.25">
      <c r="A1697" s="21">
        <v>11411</v>
      </c>
      <c r="B1697" s="22" t="s">
        <v>14</v>
      </c>
      <c r="C1697" s="22" t="s">
        <v>3227</v>
      </c>
      <c r="D1697" s="22" t="s">
        <v>8683</v>
      </c>
      <c r="E1697" s="22" t="s">
        <v>3244</v>
      </c>
      <c r="F1697" s="22">
        <v>33.783917265699998</v>
      </c>
      <c r="G1697" s="22">
        <v>44.6092173758</v>
      </c>
      <c r="H1697" s="21" t="s">
        <v>3164</v>
      </c>
      <c r="I1697" s="21" t="s">
        <v>3228</v>
      </c>
      <c r="J1697" s="21" t="s">
        <v>3245</v>
      </c>
      <c r="K1697" s="24">
        <v>38</v>
      </c>
      <c r="L1697" s="24">
        <v>228</v>
      </c>
      <c r="M1697" s="23"/>
      <c r="N1697" s="23"/>
      <c r="O1697" s="23"/>
      <c r="P1697" s="23"/>
      <c r="Q1697" s="23"/>
      <c r="R1697" s="23">
        <v>38</v>
      </c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>
        <v>38</v>
      </c>
      <c r="AL1697" s="23"/>
      <c r="AM1697" s="23"/>
      <c r="AN1697" s="23"/>
      <c r="AO1697" s="23"/>
      <c r="AP1697" s="23"/>
      <c r="AQ1697" s="23"/>
      <c r="AR1697" s="23">
        <v>38</v>
      </c>
      <c r="AS1697" s="23"/>
      <c r="AT1697" s="23"/>
      <c r="AU1697" s="14" t="str">
        <f>HYPERLINK("http://www.openstreetmap.org/?mlat=33.7833&amp;mlon=44.6232&amp;zoom=12#map=12/33.7833/44.6232","Maplink1")</f>
        <v>Maplink1</v>
      </c>
      <c r="AV1697" s="14" t="str">
        <f>HYPERLINK("https://www.google.iq/maps/search/+33.7833,44.6232/@33.7833,44.6232,14z?hl=en","Maplink2")</f>
        <v>Maplink2</v>
      </c>
      <c r="AW1697" s="14" t="str">
        <f>HYPERLINK("http://www.bing.com/maps/?lvl=14&amp;sty=h&amp;cp=33.7833~44.6232&amp;sp=point.33.7833_44.6232_Al Sabtiyah","Maplink3")</f>
        <v>Maplink3</v>
      </c>
    </row>
    <row r="1698" spans="1:49" ht="15" customHeight="1" x14ac:dyDescent="0.25">
      <c r="A1698" s="21">
        <v>11408</v>
      </c>
      <c r="B1698" s="22" t="s">
        <v>14</v>
      </c>
      <c r="C1698" s="22" t="s">
        <v>3227</v>
      </c>
      <c r="D1698" s="22" t="s">
        <v>8684</v>
      </c>
      <c r="E1698" s="22" t="s">
        <v>3246</v>
      </c>
      <c r="F1698" s="22">
        <v>33.7895039442</v>
      </c>
      <c r="G1698" s="22">
        <v>44.667950926499998</v>
      </c>
      <c r="H1698" s="21" t="s">
        <v>3164</v>
      </c>
      <c r="I1698" s="21" t="s">
        <v>3228</v>
      </c>
      <c r="J1698" s="21" t="s">
        <v>3247</v>
      </c>
      <c r="K1698" s="24">
        <v>50</v>
      </c>
      <c r="L1698" s="24">
        <v>300</v>
      </c>
      <c r="M1698" s="23">
        <v>15</v>
      </c>
      <c r="N1698" s="23"/>
      <c r="O1698" s="23"/>
      <c r="P1698" s="23"/>
      <c r="Q1698" s="23"/>
      <c r="R1698" s="23">
        <v>35</v>
      </c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>
        <v>31</v>
      </c>
      <c r="AG1698" s="23"/>
      <c r="AH1698" s="23"/>
      <c r="AI1698" s="23"/>
      <c r="AJ1698" s="23"/>
      <c r="AK1698" s="23">
        <v>19</v>
      </c>
      <c r="AL1698" s="23"/>
      <c r="AM1698" s="23"/>
      <c r="AN1698" s="23"/>
      <c r="AO1698" s="23"/>
      <c r="AP1698" s="23"/>
      <c r="AQ1698" s="23"/>
      <c r="AR1698" s="23">
        <v>35</v>
      </c>
      <c r="AS1698" s="23">
        <v>15</v>
      </c>
      <c r="AT1698" s="23"/>
      <c r="AU1698" s="14" t="str">
        <f>HYPERLINK("http://www.openstreetmap.org/?mlat=33.7967&amp;mlon=44.6758&amp;zoom=12#map=12/33.7967/44.6758","Maplink1")</f>
        <v>Maplink1</v>
      </c>
      <c r="AV1698" s="14" t="str">
        <f>HYPERLINK("https://www.google.iq/maps/search/+33.7967,44.6758/@33.7967,44.6758,14z?hl=en","Maplink2")</f>
        <v>Maplink2</v>
      </c>
      <c r="AW1698" s="14" t="str">
        <f>HYPERLINK("http://www.bing.com/maps/?lvl=14&amp;sty=h&amp;cp=33.7967~44.6758&amp;sp=point.33.7967_44.6758_Al Sadah","Maplink3")</f>
        <v>Maplink3</v>
      </c>
    </row>
    <row r="1699" spans="1:49" ht="15" customHeight="1" x14ac:dyDescent="0.25">
      <c r="A1699" s="21">
        <v>24917</v>
      </c>
      <c r="B1699" s="22" t="s">
        <v>14</v>
      </c>
      <c r="C1699" s="22" t="s">
        <v>3227</v>
      </c>
      <c r="D1699" s="22" t="s">
        <v>3248</v>
      </c>
      <c r="E1699" s="22" t="s">
        <v>3249</v>
      </c>
      <c r="F1699" s="22">
        <v>33.489226503300003</v>
      </c>
      <c r="G1699" s="22">
        <v>44.524821694899998</v>
      </c>
      <c r="H1699" s="21" t="s">
        <v>3164</v>
      </c>
      <c r="I1699" s="21" t="s">
        <v>3228</v>
      </c>
      <c r="J1699" s="21"/>
      <c r="K1699" s="24">
        <v>13</v>
      </c>
      <c r="L1699" s="24">
        <v>78</v>
      </c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>
        <v>13</v>
      </c>
      <c r="AB1699" s="23"/>
      <c r="AC1699" s="23"/>
      <c r="AD1699" s="23"/>
      <c r="AE1699" s="23"/>
      <c r="AF1699" s="23">
        <v>13</v>
      </c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23">
        <v>13</v>
      </c>
      <c r="AS1699" s="23"/>
      <c r="AT1699" s="23"/>
      <c r="AU1699" s="14" t="str">
        <f>HYPERLINK("http://www.openstreetmap.org/?mlat=33.6013&amp;mlon=44.5825&amp;zoom=12#map=12/33.6013/44.5825","Maplink1")</f>
        <v>Maplink1</v>
      </c>
      <c r="AV1699" s="14" t="str">
        <f>HYPERLINK("https://www.google.iq/maps/search/+33.6013,44.5825/@33.6013,44.5825,14z?hl=en","Maplink2")</f>
        <v>Maplink2</v>
      </c>
      <c r="AW1699" s="14" t="str">
        <f>HYPERLINK("http://www.bing.com/maps/?lvl=14&amp;sty=h&amp;cp=33.6013~44.5825&amp;sp=point.33.6013_44.5825_Al Sadah Village","Maplink3")</f>
        <v>Maplink3</v>
      </c>
    </row>
    <row r="1700" spans="1:49" ht="15" customHeight="1" x14ac:dyDescent="0.25">
      <c r="A1700" s="21">
        <v>25046</v>
      </c>
      <c r="B1700" s="22" t="s">
        <v>14</v>
      </c>
      <c r="C1700" s="22" t="s">
        <v>3227</v>
      </c>
      <c r="D1700" s="22" t="s">
        <v>8685</v>
      </c>
      <c r="E1700" s="22" t="s">
        <v>436</v>
      </c>
      <c r="F1700" s="22">
        <v>33.688733044899998</v>
      </c>
      <c r="G1700" s="22">
        <v>44.7899144832</v>
      </c>
      <c r="H1700" s="21" t="s">
        <v>3164</v>
      </c>
      <c r="I1700" s="21" t="s">
        <v>3228</v>
      </c>
      <c r="J1700" s="21"/>
      <c r="K1700" s="24">
        <v>20</v>
      </c>
      <c r="L1700" s="24">
        <v>120</v>
      </c>
      <c r="M1700" s="23"/>
      <c r="N1700" s="23"/>
      <c r="O1700" s="23"/>
      <c r="P1700" s="23"/>
      <c r="Q1700" s="23"/>
      <c r="R1700" s="23">
        <v>20</v>
      </c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>
        <v>20</v>
      </c>
      <c r="AL1700" s="23"/>
      <c r="AM1700" s="23"/>
      <c r="AN1700" s="23"/>
      <c r="AO1700" s="23"/>
      <c r="AP1700" s="23"/>
      <c r="AQ1700" s="23"/>
      <c r="AR1700" s="23">
        <v>20</v>
      </c>
      <c r="AS1700" s="23"/>
      <c r="AT1700" s="23"/>
      <c r="AU1700" s="14" t="str">
        <f>HYPERLINK("http://www.openstreetmap.org/?mlat=33.6721&amp;mlon=44.8334&amp;zoom=12#map=12/33.6721/44.8334","Maplink1")</f>
        <v>Maplink1</v>
      </c>
      <c r="AV1700" s="14" t="str">
        <f>HYPERLINK("https://www.google.iq/maps/search/+33.6721,44.8334/@33.6721,44.8334,14z?hl=en","Maplink2")</f>
        <v>Maplink2</v>
      </c>
      <c r="AW1700" s="14" t="str">
        <f>HYPERLINK("http://www.bing.com/maps/?lvl=14&amp;sty=h&amp;cp=33.6721~44.8334&amp;sp=point.33.6721_44.8334_Kanaan-Al Sadiq Qtr","Maplink3")</f>
        <v>Maplink3</v>
      </c>
    </row>
    <row r="1701" spans="1:49" ht="15" customHeight="1" x14ac:dyDescent="0.25">
      <c r="A1701" s="21">
        <v>11251</v>
      </c>
      <c r="B1701" s="22" t="s">
        <v>14</v>
      </c>
      <c r="C1701" s="22" t="s">
        <v>3227</v>
      </c>
      <c r="D1701" s="22" t="s">
        <v>8686</v>
      </c>
      <c r="E1701" s="22" t="s">
        <v>150</v>
      </c>
      <c r="F1701" s="22">
        <v>33.715427674399997</v>
      </c>
      <c r="G1701" s="22">
        <v>44.651807304999998</v>
      </c>
      <c r="H1701" s="21" t="s">
        <v>3164</v>
      </c>
      <c r="I1701" s="21" t="s">
        <v>3228</v>
      </c>
      <c r="J1701" s="21" t="s">
        <v>3290</v>
      </c>
      <c r="K1701" s="24">
        <v>36</v>
      </c>
      <c r="L1701" s="24">
        <v>216</v>
      </c>
      <c r="M1701" s="23"/>
      <c r="N1701" s="23"/>
      <c r="O1701" s="23"/>
      <c r="P1701" s="23"/>
      <c r="Q1701" s="23"/>
      <c r="R1701" s="23">
        <v>36</v>
      </c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>
        <v>36</v>
      </c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23">
        <v>36</v>
      </c>
      <c r="AS1701" s="23"/>
      <c r="AT1701" s="23"/>
      <c r="AU1701" s="14" t="str">
        <f>HYPERLINK("http://www.openstreetmap.org/?mlat=33.71&amp;mlon=44.64&amp;zoom=12#map=12/33.71/44.64","Maplink1")</f>
        <v>Maplink1</v>
      </c>
      <c r="AV1701" s="14" t="str">
        <f>HYPERLINK("https://www.google.iq/maps/search/+33.71,44.64/@33.71,44.64,14z?hl=en","Maplink2")</f>
        <v>Maplink2</v>
      </c>
      <c r="AW1701" s="14" t="str">
        <f>HYPERLINK("http://www.bing.com/maps/?lvl=14&amp;sty=h&amp;cp=33.71~44.64&amp;sp=point.33.71_44.64_Hay Al Salam","Maplink3")</f>
        <v>Maplink3</v>
      </c>
    </row>
    <row r="1702" spans="1:49" ht="15" customHeight="1" x14ac:dyDescent="0.25">
      <c r="A1702" s="21">
        <v>11420</v>
      </c>
      <c r="B1702" s="22" t="s">
        <v>14</v>
      </c>
      <c r="C1702" s="22" t="s">
        <v>3227</v>
      </c>
      <c r="D1702" s="22" t="s">
        <v>8687</v>
      </c>
      <c r="E1702" s="22" t="s">
        <v>3250</v>
      </c>
      <c r="F1702" s="22">
        <v>33.561300000000003</v>
      </c>
      <c r="G1702" s="22">
        <v>44.564</v>
      </c>
      <c r="H1702" s="21" t="s">
        <v>3164</v>
      </c>
      <c r="I1702" s="21" t="s">
        <v>3228</v>
      </c>
      <c r="J1702" s="21" t="s">
        <v>3251</v>
      </c>
      <c r="K1702" s="24">
        <v>23</v>
      </c>
      <c r="L1702" s="24">
        <v>138</v>
      </c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>
        <v>23</v>
      </c>
      <c r="AB1702" s="23"/>
      <c r="AC1702" s="23"/>
      <c r="AD1702" s="23"/>
      <c r="AE1702" s="23"/>
      <c r="AF1702" s="23">
        <v>23</v>
      </c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23">
        <v>23</v>
      </c>
      <c r="AS1702" s="23"/>
      <c r="AT1702" s="23"/>
      <c r="AU1702" s="14" t="str">
        <f>HYPERLINK("http://www.openstreetmap.org/?mlat=33.5613&amp;mlon=44.564&amp;zoom=12#map=12/33.5613/44.564","Maplink1")</f>
        <v>Maplink1</v>
      </c>
      <c r="AV1702" s="14" t="str">
        <f>HYPERLINK("https://www.google.iq/maps/search/+33.5613,44.564/@33.5613,44.564,14z?hl=en","Maplink2")</f>
        <v>Maplink2</v>
      </c>
      <c r="AW1702" s="14" t="str">
        <f>HYPERLINK("http://www.bing.com/maps/?lvl=14&amp;sty=h&amp;cp=33.5613~44.564&amp;sp=point.33.5613_44.564_Al Shikh","Maplink3")</f>
        <v>Maplink3</v>
      </c>
    </row>
    <row r="1703" spans="1:49" ht="15" customHeight="1" x14ac:dyDescent="0.25">
      <c r="A1703" s="21">
        <v>25055</v>
      </c>
      <c r="B1703" s="22" t="s">
        <v>14</v>
      </c>
      <c r="C1703" s="22" t="s">
        <v>3227</v>
      </c>
      <c r="D1703" s="22" t="s">
        <v>8688</v>
      </c>
      <c r="E1703" s="22" t="s">
        <v>3300</v>
      </c>
      <c r="F1703" s="22">
        <v>33.688415893299997</v>
      </c>
      <c r="G1703" s="22">
        <v>44.793511264700001</v>
      </c>
      <c r="H1703" s="21" t="s">
        <v>3164</v>
      </c>
      <c r="I1703" s="21" t="s">
        <v>3228</v>
      </c>
      <c r="J1703" s="21"/>
      <c r="K1703" s="24">
        <v>15</v>
      </c>
      <c r="L1703" s="24">
        <v>90</v>
      </c>
      <c r="M1703" s="23"/>
      <c r="N1703" s="23"/>
      <c r="O1703" s="23"/>
      <c r="P1703" s="23"/>
      <c r="Q1703" s="23"/>
      <c r="R1703" s="23">
        <v>15</v>
      </c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>
        <v>15</v>
      </c>
      <c r="AL1703" s="23"/>
      <c r="AM1703" s="23"/>
      <c r="AN1703" s="23"/>
      <c r="AO1703" s="23"/>
      <c r="AP1703" s="23"/>
      <c r="AQ1703" s="23"/>
      <c r="AR1703" s="23">
        <v>15</v>
      </c>
      <c r="AS1703" s="23"/>
      <c r="AT1703" s="23"/>
      <c r="AU1703" s="14" t="str">
        <f>HYPERLINK("http://www.openstreetmap.org/?mlat=33.6977&amp;mlon=44.7984&amp;zoom=12#map=12/33.6977/44.7984","Maplink1")</f>
        <v>Maplink1</v>
      </c>
      <c r="AV1703" s="14" t="str">
        <f>HYPERLINK("https://www.google.iq/maps/search/+33.6977,44.7984/@33.6977,44.7984,14z?hl=en","Maplink2")</f>
        <v>Maplink2</v>
      </c>
      <c r="AW1703" s="14" t="str">
        <f>HYPERLINK("http://www.bing.com/maps/?lvl=14&amp;sty=h&amp;cp=33.6977~44.7984&amp;sp=point.33.6977_44.7984_Kanaan-Al Shrika Qtr","Maplink3")</f>
        <v>Maplink3</v>
      </c>
    </row>
    <row r="1704" spans="1:49" ht="15" customHeight="1" x14ac:dyDescent="0.25">
      <c r="A1704" s="21">
        <v>11178</v>
      </c>
      <c r="B1704" s="22" t="s">
        <v>14</v>
      </c>
      <c r="C1704" s="22" t="s">
        <v>3227</v>
      </c>
      <c r="D1704" s="22" t="s">
        <v>3252</v>
      </c>
      <c r="E1704" s="22" t="s">
        <v>3253</v>
      </c>
      <c r="F1704" s="22">
        <v>33.741533259000001</v>
      </c>
      <c r="G1704" s="22">
        <v>44.651309397399999</v>
      </c>
      <c r="H1704" s="21" t="s">
        <v>3164</v>
      </c>
      <c r="I1704" s="21" t="s">
        <v>3228</v>
      </c>
      <c r="J1704" s="21" t="s">
        <v>3254</v>
      </c>
      <c r="K1704" s="24">
        <v>695</v>
      </c>
      <c r="L1704" s="24">
        <v>4170</v>
      </c>
      <c r="M1704" s="23"/>
      <c r="N1704" s="23"/>
      <c r="O1704" s="23"/>
      <c r="P1704" s="23"/>
      <c r="Q1704" s="23"/>
      <c r="R1704" s="23">
        <v>695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>
        <v>180</v>
      </c>
      <c r="AG1704" s="23"/>
      <c r="AH1704" s="23"/>
      <c r="AI1704" s="23"/>
      <c r="AJ1704" s="23"/>
      <c r="AK1704" s="23">
        <v>515</v>
      </c>
      <c r="AL1704" s="23"/>
      <c r="AM1704" s="23"/>
      <c r="AN1704" s="23"/>
      <c r="AO1704" s="23"/>
      <c r="AP1704" s="23">
        <v>205</v>
      </c>
      <c r="AQ1704" s="23">
        <v>250</v>
      </c>
      <c r="AR1704" s="23">
        <v>240</v>
      </c>
      <c r="AS1704" s="23"/>
      <c r="AT1704" s="23"/>
      <c r="AU1704" s="14" t="str">
        <f>HYPERLINK("http://www.openstreetmap.org/?mlat=33.75&amp;mlon=44.64&amp;zoom=12#map=12/33.75/44.64","Maplink1")</f>
        <v>Maplink1</v>
      </c>
      <c r="AV1704" s="14" t="str">
        <f>HYPERLINK("https://www.google.iq/maps/search/+33.75,44.64/@33.75,44.64,14z?hl=en","Maplink2")</f>
        <v>Maplink2</v>
      </c>
      <c r="AW1704" s="14" t="str">
        <f>HYPERLINK("http://www.bing.com/maps/?lvl=14&amp;sty=h&amp;cp=33.75~44.64&amp;sp=point.33.75_44.64_Al Tahreer","Maplink3")</f>
        <v>Maplink3</v>
      </c>
    </row>
    <row r="1705" spans="1:49" ht="15" customHeight="1" x14ac:dyDescent="0.25">
      <c r="A1705" s="21">
        <v>11213</v>
      </c>
      <c r="B1705" s="22" t="s">
        <v>14</v>
      </c>
      <c r="C1705" s="22" t="s">
        <v>3227</v>
      </c>
      <c r="D1705" s="22" t="s">
        <v>3255</v>
      </c>
      <c r="E1705" s="22" t="s">
        <v>3256</v>
      </c>
      <c r="F1705" s="22">
        <v>33.749622034799998</v>
      </c>
      <c r="G1705" s="22">
        <v>44.6481109295</v>
      </c>
      <c r="H1705" s="21" t="s">
        <v>3164</v>
      </c>
      <c r="I1705" s="21" t="s">
        <v>3228</v>
      </c>
      <c r="J1705" s="21" t="s">
        <v>3257</v>
      </c>
      <c r="K1705" s="24">
        <v>70</v>
      </c>
      <c r="L1705" s="24">
        <v>420</v>
      </c>
      <c r="M1705" s="23">
        <v>7</v>
      </c>
      <c r="N1705" s="23"/>
      <c r="O1705" s="23"/>
      <c r="P1705" s="23"/>
      <c r="Q1705" s="23"/>
      <c r="R1705" s="23">
        <v>58</v>
      </c>
      <c r="S1705" s="23"/>
      <c r="T1705" s="23"/>
      <c r="U1705" s="23"/>
      <c r="V1705" s="23"/>
      <c r="W1705" s="23"/>
      <c r="X1705" s="23"/>
      <c r="Y1705" s="23"/>
      <c r="Z1705" s="23"/>
      <c r="AA1705" s="23">
        <v>5</v>
      </c>
      <c r="AB1705" s="23"/>
      <c r="AC1705" s="23"/>
      <c r="AD1705" s="23"/>
      <c r="AE1705" s="23"/>
      <c r="AF1705" s="23">
        <v>28</v>
      </c>
      <c r="AG1705" s="23"/>
      <c r="AH1705" s="23"/>
      <c r="AI1705" s="23"/>
      <c r="AJ1705" s="23"/>
      <c r="AK1705" s="23">
        <v>42</v>
      </c>
      <c r="AL1705" s="23"/>
      <c r="AM1705" s="23"/>
      <c r="AN1705" s="23"/>
      <c r="AO1705" s="23"/>
      <c r="AP1705" s="23"/>
      <c r="AQ1705" s="23"/>
      <c r="AR1705" s="23">
        <v>63</v>
      </c>
      <c r="AS1705" s="23">
        <v>7</v>
      </c>
      <c r="AT1705" s="23"/>
      <c r="AU1705" s="14" t="str">
        <f>HYPERLINK("http://www.openstreetmap.org/?mlat=34.0214&amp;mlon=44.538&amp;zoom=12#map=12/34.0214/44.538","Maplink1")</f>
        <v>Maplink1</v>
      </c>
      <c r="AV1705" s="14" t="str">
        <f>HYPERLINK("https://www.google.iq/maps/search/+34.0214,44.538/@34.0214,44.538,14z?hl=en","Maplink2")</f>
        <v>Maplink2</v>
      </c>
      <c r="AW1705" s="14" t="str">
        <f>HYPERLINK("http://www.bing.com/maps/?lvl=14&amp;sty=h&amp;cp=34.0214~44.538&amp;sp=point.34.0214_44.538_Al Takiya","Maplink3")</f>
        <v>Maplink3</v>
      </c>
    </row>
    <row r="1706" spans="1:49" ht="15" customHeight="1" x14ac:dyDescent="0.25">
      <c r="A1706" s="21">
        <v>24964</v>
      </c>
      <c r="B1706" s="22" t="s">
        <v>14</v>
      </c>
      <c r="C1706" s="22" t="s">
        <v>3227</v>
      </c>
      <c r="D1706" s="22" t="s">
        <v>3258</v>
      </c>
      <c r="E1706" s="22" t="s">
        <v>429</v>
      </c>
      <c r="F1706" s="22">
        <v>33.7419283949</v>
      </c>
      <c r="G1706" s="22">
        <v>44.624537760400003</v>
      </c>
      <c r="H1706" s="21" t="s">
        <v>3164</v>
      </c>
      <c r="I1706" s="21" t="s">
        <v>3228</v>
      </c>
      <c r="J1706" s="21"/>
      <c r="K1706" s="24">
        <v>160</v>
      </c>
      <c r="L1706" s="24">
        <v>960</v>
      </c>
      <c r="M1706" s="23"/>
      <c r="N1706" s="23"/>
      <c r="O1706" s="23"/>
      <c r="P1706" s="23"/>
      <c r="Q1706" s="23"/>
      <c r="R1706" s="23">
        <v>160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>
        <v>160</v>
      </c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23">
        <v>160</v>
      </c>
      <c r="AS1706" s="23"/>
      <c r="AT1706" s="23"/>
      <c r="AU1706" s="14" t="str">
        <f>HYPERLINK("http://www.openstreetmap.org/?mlat=33.7422&amp;mlon=44.62&amp;zoom=12#map=12/33.7422/44.62","Maplink1")</f>
        <v>Maplink1</v>
      </c>
      <c r="AV1706" s="14" t="str">
        <f>HYPERLINK("https://www.google.iq/maps/search/+33.7422,44.62/@33.7422,44.62,14z?hl=en","Maplink2")</f>
        <v>Maplink2</v>
      </c>
      <c r="AW1706" s="14" t="str">
        <f>HYPERLINK("http://www.bing.com/maps/?lvl=14&amp;sty=h&amp;cp=33.7422~44.62&amp;sp=point.33.7422_44.62_Al- Mustafa Qtr","Maplink3")</f>
        <v>Maplink3</v>
      </c>
    </row>
    <row r="1707" spans="1:49" ht="15" customHeight="1" x14ac:dyDescent="0.25">
      <c r="A1707" s="21">
        <v>25465</v>
      </c>
      <c r="B1707" s="22" t="s">
        <v>14</v>
      </c>
      <c r="C1707" s="22" t="s">
        <v>3227</v>
      </c>
      <c r="D1707" s="22" t="s">
        <v>3261</v>
      </c>
      <c r="E1707" s="22" t="s">
        <v>3262</v>
      </c>
      <c r="F1707" s="22">
        <v>33.754950756600003</v>
      </c>
      <c r="G1707" s="22">
        <v>44.638911890800003</v>
      </c>
      <c r="H1707" s="21" t="s">
        <v>3164</v>
      </c>
      <c r="I1707" s="21" t="s">
        <v>3228</v>
      </c>
      <c r="J1707" s="21"/>
      <c r="K1707" s="24">
        <v>20</v>
      </c>
      <c r="L1707" s="24">
        <v>120</v>
      </c>
      <c r="M1707" s="23"/>
      <c r="N1707" s="23"/>
      <c r="O1707" s="23"/>
      <c r="P1707" s="23"/>
      <c r="Q1707" s="23"/>
      <c r="R1707" s="23">
        <v>20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>
        <v>20</v>
      </c>
      <c r="AL1707" s="23"/>
      <c r="AM1707" s="23"/>
      <c r="AN1707" s="23"/>
      <c r="AO1707" s="23"/>
      <c r="AP1707" s="23">
        <v>20</v>
      </c>
      <c r="AQ1707" s="23"/>
      <c r="AR1707" s="23"/>
      <c r="AS1707" s="23"/>
      <c r="AT1707" s="23"/>
      <c r="AU1707" s="14" t="str">
        <f>HYPERLINK("http://www.openstreetmap.org/?mlat=33.7553&amp;mlon=44.6386&amp;zoom=12#map=12/33.7553/44.6386","Maplink1")</f>
        <v>Maplink1</v>
      </c>
      <c r="AV1707" s="14" t="str">
        <f>HYPERLINK("https://www.google.iq/maps/search/+33.7553,44.6386/@33.7553,44.6386,14z?hl=en","Maplink2")</f>
        <v>Maplink2</v>
      </c>
      <c r="AW1707" s="14" t="str">
        <f>HYPERLINK("http://www.bing.com/maps/?lvl=14&amp;sty=h&amp;cp=33.7553~44.6386&amp;sp=point.33.7553_44.6386_Al-Manjara Village","Maplink3")</f>
        <v>Maplink3</v>
      </c>
    </row>
    <row r="1708" spans="1:49" ht="15" customHeight="1" x14ac:dyDescent="0.25">
      <c r="A1708" s="21">
        <v>21413</v>
      </c>
      <c r="B1708" s="22" t="s">
        <v>14</v>
      </c>
      <c r="C1708" s="22" t="s">
        <v>3227</v>
      </c>
      <c r="D1708" s="22" t="s">
        <v>8689</v>
      </c>
      <c r="E1708" s="22" t="s">
        <v>3291</v>
      </c>
      <c r="F1708" s="22">
        <v>33.728316309900002</v>
      </c>
      <c r="G1708" s="22">
        <v>44.6098641492</v>
      </c>
      <c r="H1708" s="21" t="s">
        <v>3164</v>
      </c>
      <c r="I1708" s="21" t="s">
        <v>3228</v>
      </c>
      <c r="J1708" s="21" t="s">
        <v>3292</v>
      </c>
      <c r="K1708" s="24">
        <v>120</v>
      </c>
      <c r="L1708" s="24">
        <v>720</v>
      </c>
      <c r="M1708" s="23">
        <v>6</v>
      </c>
      <c r="N1708" s="23"/>
      <c r="O1708" s="23"/>
      <c r="P1708" s="23"/>
      <c r="Q1708" s="23"/>
      <c r="R1708" s="23">
        <v>80</v>
      </c>
      <c r="S1708" s="23"/>
      <c r="T1708" s="23"/>
      <c r="U1708" s="23"/>
      <c r="V1708" s="23"/>
      <c r="W1708" s="23"/>
      <c r="X1708" s="23"/>
      <c r="Y1708" s="23">
        <v>10</v>
      </c>
      <c r="Z1708" s="23"/>
      <c r="AA1708" s="23">
        <v>24</v>
      </c>
      <c r="AB1708" s="23"/>
      <c r="AC1708" s="23"/>
      <c r="AD1708" s="23"/>
      <c r="AE1708" s="23"/>
      <c r="AF1708" s="23">
        <v>10</v>
      </c>
      <c r="AG1708" s="23"/>
      <c r="AH1708" s="23"/>
      <c r="AI1708" s="23"/>
      <c r="AJ1708" s="23"/>
      <c r="AK1708" s="23">
        <v>75</v>
      </c>
      <c r="AL1708" s="23"/>
      <c r="AM1708" s="23">
        <v>35</v>
      </c>
      <c r="AN1708" s="23"/>
      <c r="AO1708" s="23">
        <v>6</v>
      </c>
      <c r="AP1708" s="23"/>
      <c r="AQ1708" s="23"/>
      <c r="AR1708" s="23">
        <v>114</v>
      </c>
      <c r="AS1708" s="23"/>
      <c r="AT1708" s="23"/>
      <c r="AU1708" s="14" t="str">
        <f>HYPERLINK("http://www.openstreetmap.org/?mlat=33.723&amp;mlon=44.6132&amp;zoom=12#map=12/33.723/44.6132","Maplink1")</f>
        <v>Maplink1</v>
      </c>
      <c r="AV1708" s="14" t="str">
        <f>HYPERLINK("https://www.google.iq/maps/search/+33.723,44.6132/@33.723,44.6132,14z?hl=en","Maplink2")</f>
        <v>Maplink2</v>
      </c>
      <c r="AW1708" s="14" t="str">
        <f>HYPERLINK("http://www.bing.com/maps/?lvl=14&amp;sty=h&amp;cp=33.723~44.6132&amp;sp=point.33.723_44.6132_Hay Al-Mualimeen-Shahid wadah","Maplink3")</f>
        <v>Maplink3</v>
      </c>
    </row>
    <row r="1709" spans="1:49" ht="15" customHeight="1" x14ac:dyDescent="0.25">
      <c r="A1709" s="21">
        <v>11328</v>
      </c>
      <c r="B1709" s="22" t="s">
        <v>14</v>
      </c>
      <c r="C1709" s="22" t="s">
        <v>3227</v>
      </c>
      <c r="D1709" s="22" t="s">
        <v>8690</v>
      </c>
      <c r="E1709" s="22" t="s">
        <v>258</v>
      </c>
      <c r="F1709" s="22">
        <v>33.732263348099998</v>
      </c>
      <c r="G1709" s="22">
        <v>44.611699702199999</v>
      </c>
      <c r="H1709" s="21" t="s">
        <v>3164</v>
      </c>
      <c r="I1709" s="21" t="s">
        <v>3228</v>
      </c>
      <c r="J1709" s="21" t="s">
        <v>3263</v>
      </c>
      <c r="K1709" s="24">
        <v>175</v>
      </c>
      <c r="L1709" s="24">
        <v>1050</v>
      </c>
      <c r="M1709" s="23">
        <v>10</v>
      </c>
      <c r="N1709" s="23"/>
      <c r="O1709" s="23"/>
      <c r="P1709" s="23"/>
      <c r="Q1709" s="23"/>
      <c r="R1709" s="23">
        <v>165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>
        <v>175</v>
      </c>
      <c r="AL1709" s="23"/>
      <c r="AM1709" s="23"/>
      <c r="AN1709" s="23"/>
      <c r="AO1709" s="23"/>
      <c r="AP1709" s="23">
        <v>130</v>
      </c>
      <c r="AQ1709" s="23"/>
      <c r="AR1709" s="23">
        <v>35</v>
      </c>
      <c r="AS1709" s="23">
        <v>10</v>
      </c>
      <c r="AT1709" s="23"/>
      <c r="AU1709" s="14" t="str">
        <f>HYPERLINK("http://www.openstreetmap.org/?mlat=33.7319&amp;mlon=44.6165&amp;zoom=12#map=12/33.7319/44.6165","Maplink1")</f>
        <v>Maplink1</v>
      </c>
      <c r="AV1709" s="14" t="str">
        <f>HYPERLINK("https://www.google.iq/maps/search/+33.7319,44.6165/@33.7319,44.6165,14z?hl=en","Maplink2")</f>
        <v>Maplink2</v>
      </c>
      <c r="AW1709" s="14" t="str">
        <f>HYPERLINK("http://www.bing.com/maps/?lvl=14&amp;sty=h&amp;cp=33.7319~44.6165&amp;sp=point.33.7319_44.6165_Al-Mualmeen quarter","Maplink3")</f>
        <v>Maplink3</v>
      </c>
    </row>
    <row r="1710" spans="1:49" ht="15" customHeight="1" x14ac:dyDescent="0.25">
      <c r="A1710" s="21">
        <v>21273</v>
      </c>
      <c r="B1710" s="22" t="s">
        <v>14</v>
      </c>
      <c r="C1710" s="22" t="s">
        <v>3227</v>
      </c>
      <c r="D1710" s="22" t="s">
        <v>8274</v>
      </c>
      <c r="E1710" s="22" t="s">
        <v>8218</v>
      </c>
      <c r="F1710" s="22">
        <v>33.725684308399998</v>
      </c>
      <c r="G1710" s="22">
        <v>44.599119890499999</v>
      </c>
      <c r="H1710" s="21" t="s">
        <v>3164</v>
      </c>
      <c r="I1710" s="21" t="s">
        <v>3228</v>
      </c>
      <c r="J1710" s="21" t="s">
        <v>3264</v>
      </c>
      <c r="K1710" s="24">
        <v>75</v>
      </c>
      <c r="L1710" s="24">
        <v>450</v>
      </c>
      <c r="M1710" s="23"/>
      <c r="N1710" s="23"/>
      <c r="O1710" s="23"/>
      <c r="P1710" s="23"/>
      <c r="Q1710" s="23"/>
      <c r="R1710" s="23">
        <v>75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>
        <v>15</v>
      </c>
      <c r="AG1710" s="23"/>
      <c r="AH1710" s="23"/>
      <c r="AI1710" s="23"/>
      <c r="AJ1710" s="23"/>
      <c r="AK1710" s="23">
        <v>60</v>
      </c>
      <c r="AL1710" s="23"/>
      <c r="AM1710" s="23"/>
      <c r="AN1710" s="23"/>
      <c r="AO1710" s="23"/>
      <c r="AP1710" s="23"/>
      <c r="AQ1710" s="23"/>
      <c r="AR1710" s="23">
        <v>75</v>
      </c>
      <c r="AS1710" s="23"/>
      <c r="AT1710" s="23"/>
      <c r="AU1710" s="14" t="str">
        <f>HYPERLINK("http://www.openstreetmap.org/?mlat=33.7484&amp;mlon=44.5992&amp;zoom=12#map=12/33.7484/44.5992","Maplink1")</f>
        <v>Maplink1</v>
      </c>
      <c r="AV1710" s="14" t="str">
        <f>HYPERLINK("https://www.google.iq/maps/search/+33.7484,44.5992/@33.7484,44.5992,14z?hl=en","Maplink2")</f>
        <v>Maplink2</v>
      </c>
      <c r="AW1710" s="14" t="str">
        <f>HYPERLINK("http://www.bing.com/maps/?lvl=14&amp;sty=h&amp;cp=33.7484~44.5992&amp;sp=point.33.7484_44.5992_Al-Qatoon","Maplink3")</f>
        <v>Maplink3</v>
      </c>
    </row>
    <row r="1711" spans="1:49" ht="15" customHeight="1" x14ac:dyDescent="0.25">
      <c r="A1711" s="21">
        <v>21271</v>
      </c>
      <c r="B1711" s="22" t="s">
        <v>14</v>
      </c>
      <c r="C1711" s="22" t="s">
        <v>3227</v>
      </c>
      <c r="D1711" s="22" t="s">
        <v>8691</v>
      </c>
      <c r="E1711" s="22" t="s">
        <v>129</v>
      </c>
      <c r="F1711" s="22">
        <v>33.729456667800001</v>
      </c>
      <c r="G1711" s="22">
        <v>44.652819139899997</v>
      </c>
      <c r="H1711" s="21" t="s">
        <v>3164</v>
      </c>
      <c r="I1711" s="21" t="s">
        <v>3228</v>
      </c>
      <c r="J1711" s="21" t="s">
        <v>3294</v>
      </c>
      <c r="K1711" s="24">
        <v>15</v>
      </c>
      <c r="L1711" s="24">
        <v>90</v>
      </c>
      <c r="M1711" s="23"/>
      <c r="N1711" s="23"/>
      <c r="O1711" s="23"/>
      <c r="P1711" s="23"/>
      <c r="Q1711" s="23"/>
      <c r="R1711" s="23">
        <v>15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>
        <v>15</v>
      </c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>
        <v>15</v>
      </c>
      <c r="AR1711" s="23"/>
      <c r="AS1711" s="23"/>
      <c r="AT1711" s="23"/>
      <c r="AU1711" s="14" t="str">
        <f>HYPERLINK("http://www.openstreetmap.org/?mlat=33.5695&amp;mlon=44.5484&amp;zoom=12#map=12/33.5695/44.5484","Maplink1")</f>
        <v>Maplink1</v>
      </c>
      <c r="AV1711" s="14" t="str">
        <f>HYPERLINK("https://www.google.iq/maps/search/+33.5695,44.5484/@33.5695,44.5484,14z?hl=en","Maplink2")</f>
        <v>Maplink2</v>
      </c>
      <c r="AW1711" s="14" t="str">
        <f>HYPERLINK("http://www.bing.com/maps/?lvl=14&amp;sty=h&amp;cp=33.5695~44.5484&amp;sp=point.33.5695_44.5484_Hay Al-Shuhada","Maplink3")</f>
        <v>Maplink3</v>
      </c>
    </row>
    <row r="1712" spans="1:49" ht="15" customHeight="1" x14ac:dyDescent="0.25">
      <c r="A1712" s="21">
        <v>25464</v>
      </c>
      <c r="B1712" s="22" t="s">
        <v>14</v>
      </c>
      <c r="C1712" s="22" t="s">
        <v>3227</v>
      </c>
      <c r="D1712" s="22" t="s">
        <v>3265</v>
      </c>
      <c r="E1712" s="22" t="s">
        <v>447</v>
      </c>
      <c r="F1712" s="22">
        <v>33.757952037300001</v>
      </c>
      <c r="G1712" s="22">
        <v>44.641098976099997</v>
      </c>
      <c r="H1712" s="21" t="s">
        <v>3164</v>
      </c>
      <c r="I1712" s="21" t="s">
        <v>3228</v>
      </c>
      <c r="J1712" s="21"/>
      <c r="K1712" s="24">
        <v>10</v>
      </c>
      <c r="L1712" s="24">
        <v>60</v>
      </c>
      <c r="M1712" s="23"/>
      <c r="N1712" s="23"/>
      <c r="O1712" s="23"/>
      <c r="P1712" s="23"/>
      <c r="Q1712" s="23"/>
      <c r="R1712" s="23">
        <v>10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>
        <v>10</v>
      </c>
      <c r="AL1712" s="23"/>
      <c r="AM1712" s="23"/>
      <c r="AN1712" s="23"/>
      <c r="AO1712" s="23"/>
      <c r="AP1712" s="23">
        <v>10</v>
      </c>
      <c r="AQ1712" s="23"/>
      <c r="AR1712" s="23"/>
      <c r="AS1712" s="23"/>
      <c r="AT1712" s="23"/>
      <c r="AU1712" s="14" t="str">
        <f>HYPERLINK("http://www.openstreetmap.org/?mlat=33.7554&amp;mlon=44.6434&amp;zoom=12#map=12/33.7554/44.6434","Maplink1")</f>
        <v>Maplink1</v>
      </c>
      <c r="AV1712" s="14" t="str">
        <f>HYPERLINK("https://www.google.iq/maps/search/+33.7554,44.6434/@33.7554,44.6434,14z?hl=en","Maplink2")</f>
        <v>Maplink2</v>
      </c>
      <c r="AW1712" s="14" t="str">
        <f>HYPERLINK("http://www.bing.com/maps/?lvl=14&amp;sty=h&amp;cp=33.7554~44.6434&amp;sp=point.33.7554_44.6434_Al-Sumud Qtr","Maplink3")</f>
        <v>Maplink3</v>
      </c>
    </row>
    <row r="1713" spans="1:49" ht="15" customHeight="1" x14ac:dyDescent="0.25">
      <c r="A1713" s="21">
        <v>11432</v>
      </c>
      <c r="B1713" s="22" t="s">
        <v>14</v>
      </c>
      <c r="C1713" s="22" t="s">
        <v>3227</v>
      </c>
      <c r="D1713" s="22" t="s">
        <v>3266</v>
      </c>
      <c r="E1713" s="22" t="s">
        <v>8692</v>
      </c>
      <c r="F1713" s="22">
        <v>33.759377164999997</v>
      </c>
      <c r="G1713" s="22">
        <v>44.639954655099999</v>
      </c>
      <c r="H1713" s="21" t="s">
        <v>3164</v>
      </c>
      <c r="I1713" s="21" t="s">
        <v>3228</v>
      </c>
      <c r="J1713" s="21" t="s">
        <v>3267</v>
      </c>
      <c r="K1713" s="24">
        <v>85</v>
      </c>
      <c r="L1713" s="24">
        <v>510</v>
      </c>
      <c r="M1713" s="23"/>
      <c r="N1713" s="23"/>
      <c r="O1713" s="23"/>
      <c r="P1713" s="23"/>
      <c r="Q1713" s="23"/>
      <c r="R1713" s="23">
        <v>72</v>
      </c>
      <c r="S1713" s="23"/>
      <c r="T1713" s="23"/>
      <c r="U1713" s="23"/>
      <c r="V1713" s="23"/>
      <c r="W1713" s="23"/>
      <c r="X1713" s="23"/>
      <c r="Y1713" s="23"/>
      <c r="Z1713" s="23"/>
      <c r="AA1713" s="23">
        <v>13</v>
      </c>
      <c r="AB1713" s="23"/>
      <c r="AC1713" s="23"/>
      <c r="AD1713" s="23"/>
      <c r="AE1713" s="23"/>
      <c r="AF1713" s="23">
        <v>7</v>
      </c>
      <c r="AG1713" s="23"/>
      <c r="AH1713" s="23"/>
      <c r="AI1713" s="23"/>
      <c r="AJ1713" s="23"/>
      <c r="AK1713" s="23">
        <v>65</v>
      </c>
      <c r="AL1713" s="23">
        <v>13</v>
      </c>
      <c r="AM1713" s="23"/>
      <c r="AN1713" s="23"/>
      <c r="AO1713" s="23"/>
      <c r="AP1713" s="23"/>
      <c r="AQ1713" s="23"/>
      <c r="AR1713" s="23">
        <v>85</v>
      </c>
      <c r="AS1713" s="23"/>
      <c r="AT1713" s="23"/>
      <c r="AU1713" s="14" t="str">
        <f>HYPERLINK("http://www.openstreetmap.org/?mlat=33.7576&amp;mlon=44.6517&amp;zoom=12#map=12/33.7576/44.6517","Maplink1")</f>
        <v>Maplink1</v>
      </c>
      <c r="AV1713" s="14" t="str">
        <f>HYPERLINK("https://www.google.iq/maps/search/+33.7576,44.6517/@33.7576,44.6517,14z?hl=en","Maplink2")</f>
        <v>Maplink2</v>
      </c>
      <c r="AW1713" s="14" t="str">
        <f>HYPERLINK("http://www.bing.com/maps/?lvl=14&amp;sty=h&amp;cp=33.7576~44.6517&amp;sp=point.33.7576_44.6517_Al-Swamra village","Maplink3")</f>
        <v>Maplink3</v>
      </c>
    </row>
    <row r="1714" spans="1:49" ht="15" customHeight="1" x14ac:dyDescent="0.25">
      <c r="A1714" s="21">
        <v>24916</v>
      </c>
      <c r="B1714" s="22" t="s">
        <v>14</v>
      </c>
      <c r="C1714" s="22" t="s">
        <v>3227</v>
      </c>
      <c r="D1714" s="22" t="s">
        <v>8693</v>
      </c>
      <c r="E1714" s="22" t="s">
        <v>622</v>
      </c>
      <c r="F1714" s="22">
        <v>33.573418068700001</v>
      </c>
      <c r="G1714" s="22">
        <v>44.544129995600002</v>
      </c>
      <c r="H1714" s="21" t="s">
        <v>3164</v>
      </c>
      <c r="I1714" s="21" t="s">
        <v>3228</v>
      </c>
      <c r="J1714" s="21"/>
      <c r="K1714" s="24">
        <v>25</v>
      </c>
      <c r="L1714" s="24">
        <v>150</v>
      </c>
      <c r="M1714" s="23">
        <v>12</v>
      </c>
      <c r="N1714" s="23"/>
      <c r="O1714" s="23"/>
      <c r="P1714" s="23"/>
      <c r="Q1714" s="23"/>
      <c r="R1714" s="23">
        <v>11</v>
      </c>
      <c r="S1714" s="23"/>
      <c r="T1714" s="23"/>
      <c r="U1714" s="23"/>
      <c r="V1714" s="23"/>
      <c r="W1714" s="23"/>
      <c r="X1714" s="23"/>
      <c r="Y1714" s="23"/>
      <c r="Z1714" s="23"/>
      <c r="AA1714" s="23">
        <v>2</v>
      </c>
      <c r="AB1714" s="23"/>
      <c r="AC1714" s="23"/>
      <c r="AD1714" s="23"/>
      <c r="AE1714" s="23"/>
      <c r="AF1714" s="23">
        <v>2</v>
      </c>
      <c r="AG1714" s="23"/>
      <c r="AH1714" s="23"/>
      <c r="AI1714" s="23"/>
      <c r="AJ1714" s="23"/>
      <c r="AK1714" s="23">
        <v>23</v>
      </c>
      <c r="AL1714" s="23"/>
      <c r="AM1714" s="23"/>
      <c r="AN1714" s="23"/>
      <c r="AO1714" s="23"/>
      <c r="AP1714" s="23"/>
      <c r="AQ1714" s="23">
        <v>11</v>
      </c>
      <c r="AR1714" s="23">
        <v>14</v>
      </c>
      <c r="AS1714" s="23"/>
      <c r="AT1714" s="23"/>
      <c r="AU1714" s="14" t="str">
        <f>HYPERLINK("http://www.openstreetmap.org/?mlat=33.6031&amp;mlon=44.5946&amp;zoom=12#map=12/33.6031/44.5946","Maplink1")</f>
        <v>Maplink1</v>
      </c>
      <c r="AV1714" s="14" t="str">
        <f>HYPERLINK("https://www.google.iq/maps/search/+33.6031,44.5946/@33.6031,44.5946,14z?hl=en","Maplink2")</f>
        <v>Maplink2</v>
      </c>
      <c r="AW1714" s="14" t="str">
        <f>HYPERLINK("http://www.bing.com/maps/?lvl=14&amp;sty=h&amp;cp=33.6031~44.5946&amp;sp=point.33.6031_44.5946_Bane Saad - Al-Askari","Maplink3")</f>
        <v>Maplink3</v>
      </c>
    </row>
    <row r="1715" spans="1:49" ht="15" customHeight="1" x14ac:dyDescent="0.25">
      <c r="A1715" s="21">
        <v>24574</v>
      </c>
      <c r="B1715" s="22" t="s">
        <v>14</v>
      </c>
      <c r="C1715" s="22" t="s">
        <v>3227</v>
      </c>
      <c r="D1715" s="22" t="s">
        <v>8694</v>
      </c>
      <c r="E1715" s="22" t="s">
        <v>8011</v>
      </c>
      <c r="F1715" s="22">
        <v>33.572054249200001</v>
      </c>
      <c r="G1715" s="22">
        <v>44.5281432755</v>
      </c>
      <c r="H1715" s="21" t="s">
        <v>3164</v>
      </c>
      <c r="I1715" s="21" t="s">
        <v>3228</v>
      </c>
      <c r="J1715" s="21"/>
      <c r="K1715" s="24">
        <v>30</v>
      </c>
      <c r="L1715" s="24">
        <v>180</v>
      </c>
      <c r="M1715" s="23"/>
      <c r="N1715" s="23"/>
      <c r="O1715" s="23"/>
      <c r="P1715" s="23"/>
      <c r="Q1715" s="23"/>
      <c r="R1715" s="23">
        <v>30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>
        <v>30</v>
      </c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>
        <v>30</v>
      </c>
      <c r="AR1715" s="23"/>
      <c r="AS1715" s="23"/>
      <c r="AT1715" s="23"/>
      <c r="AU1715" s="14" t="str">
        <f>HYPERLINK("http://www.openstreetmap.org/?mlat=33.5772&amp;mlon=44.5284&amp;zoom=12#map=12/33.5772/44.5284","Maplink1")</f>
        <v>Maplink1</v>
      </c>
      <c r="AV1715" s="14" t="str">
        <f>HYPERLINK("https://www.google.iq/maps/search/+33.5772,44.5284/@33.5772,44.5284,14z?hl=en","Maplink2")</f>
        <v>Maplink2</v>
      </c>
      <c r="AW1715" s="14" t="str">
        <f>HYPERLINK("http://www.bing.com/maps/?lvl=14&amp;sty=h&amp;cp=33.5772~44.5284&amp;sp=point.33.5772_44.5284_Bani Saad-Hay Al Salam","Maplink3")</f>
        <v>Maplink3</v>
      </c>
    </row>
    <row r="1716" spans="1:49" ht="15" customHeight="1" x14ac:dyDescent="0.25">
      <c r="A1716" s="21">
        <v>24575</v>
      </c>
      <c r="B1716" s="22" t="s">
        <v>14</v>
      </c>
      <c r="C1716" s="22" t="s">
        <v>3227</v>
      </c>
      <c r="D1716" s="22" t="s">
        <v>8695</v>
      </c>
      <c r="E1716" s="22" t="s">
        <v>8012</v>
      </c>
      <c r="F1716" s="22">
        <v>33.568646377</v>
      </c>
      <c r="G1716" s="22">
        <v>44.549609161900001</v>
      </c>
      <c r="H1716" s="21" t="s">
        <v>3164</v>
      </c>
      <c r="I1716" s="21" t="s">
        <v>3228</v>
      </c>
      <c r="J1716" s="21"/>
      <c r="K1716" s="24">
        <v>18</v>
      </c>
      <c r="L1716" s="24">
        <v>108</v>
      </c>
      <c r="M1716" s="23"/>
      <c r="N1716" s="23"/>
      <c r="O1716" s="23"/>
      <c r="P1716" s="23"/>
      <c r="Q1716" s="23"/>
      <c r="R1716" s="23">
        <v>18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>
        <v>18</v>
      </c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>
        <v>18</v>
      </c>
      <c r="AR1716" s="23"/>
      <c r="AS1716" s="23"/>
      <c r="AT1716" s="23"/>
      <c r="AU1716" s="14" t="str">
        <f>HYPERLINK("http://www.openstreetmap.org/?mlat=33.565&amp;mlon=44.545&amp;zoom=12#map=12/33.565/44.545","Maplink1")</f>
        <v>Maplink1</v>
      </c>
      <c r="AV1716" s="14" t="str">
        <f>HYPERLINK("https://www.google.iq/maps/search/+33.565,44.545/@33.565,44.545,14z?hl=en","Maplink2")</f>
        <v>Maplink2</v>
      </c>
      <c r="AW1716" s="14" t="str">
        <f>HYPERLINK("http://www.bing.com/maps/?lvl=14&amp;sty=h&amp;cp=33.565~44.545&amp;sp=point.33.565_44.545_Bani Saad - Hay Ali Al Hady","Maplink3")</f>
        <v>Maplink3</v>
      </c>
    </row>
    <row r="1717" spans="1:49" ht="15" customHeight="1" x14ac:dyDescent="0.25">
      <c r="A1717" s="21">
        <v>24576</v>
      </c>
      <c r="B1717" s="22" t="s">
        <v>14</v>
      </c>
      <c r="C1717" s="22" t="s">
        <v>3227</v>
      </c>
      <c r="D1717" s="22" t="s">
        <v>8696</v>
      </c>
      <c r="E1717" s="22" t="s">
        <v>8013</v>
      </c>
      <c r="F1717" s="22">
        <v>33.570895660700003</v>
      </c>
      <c r="G1717" s="22">
        <v>44.546835590199997</v>
      </c>
      <c r="H1717" s="21" t="s">
        <v>3164</v>
      </c>
      <c r="I1717" s="21" t="s">
        <v>3228</v>
      </c>
      <c r="J1717" s="21"/>
      <c r="K1717" s="24">
        <v>8</v>
      </c>
      <c r="L1717" s="24">
        <v>48</v>
      </c>
      <c r="M1717" s="23"/>
      <c r="N1717" s="23"/>
      <c r="O1717" s="23"/>
      <c r="P1717" s="23"/>
      <c r="Q1717" s="23"/>
      <c r="R1717" s="23">
        <v>8</v>
      </c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>
        <v>8</v>
      </c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>
        <v>8</v>
      </c>
      <c r="AR1717" s="23"/>
      <c r="AS1717" s="23"/>
      <c r="AT1717" s="23"/>
      <c r="AU1717" s="14" t="str">
        <f>HYPERLINK("http://www.openstreetmap.org/?mlat=33.57&amp;mlon=44.53&amp;zoom=12#map=12/33.57/44.53","Maplink1")</f>
        <v>Maplink1</v>
      </c>
      <c r="AV1717" s="14" t="str">
        <f>HYPERLINK("https://www.google.iq/maps/search/+33.57,44.53/@33.57,44.53,14z?hl=en","Maplink2")</f>
        <v>Maplink2</v>
      </c>
      <c r="AW1717" s="14" t="str">
        <f>HYPERLINK("http://www.bing.com/maps/?lvl=14&amp;sty=h&amp;cp=33.57~44.53&amp;sp=point.33.57_44.53_Bani Saad - Hay Zahraa","Maplink3")</f>
        <v>Maplink3</v>
      </c>
    </row>
    <row r="1718" spans="1:49" ht="15" customHeight="1" x14ac:dyDescent="0.25">
      <c r="A1718" s="21">
        <v>11376</v>
      </c>
      <c r="B1718" s="22" t="s">
        <v>14</v>
      </c>
      <c r="C1718" s="22" t="s">
        <v>3227</v>
      </c>
      <c r="D1718" s="22" t="s">
        <v>8697</v>
      </c>
      <c r="E1718" s="22" t="s">
        <v>3273</v>
      </c>
      <c r="F1718" s="22">
        <v>33.712801386999999</v>
      </c>
      <c r="G1718" s="22">
        <v>44.652880532499999</v>
      </c>
      <c r="H1718" s="21" t="s">
        <v>3164</v>
      </c>
      <c r="I1718" s="21" t="s">
        <v>3228</v>
      </c>
      <c r="J1718" s="21" t="s">
        <v>3274</v>
      </c>
      <c r="K1718" s="24">
        <v>22</v>
      </c>
      <c r="L1718" s="24">
        <v>132</v>
      </c>
      <c r="M1718" s="23"/>
      <c r="N1718" s="23"/>
      <c r="O1718" s="23"/>
      <c r="P1718" s="23"/>
      <c r="Q1718" s="23"/>
      <c r="R1718" s="23">
        <v>22</v>
      </c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/>
      <c r="AI1718" s="23"/>
      <c r="AJ1718" s="23"/>
      <c r="AK1718" s="23">
        <v>22</v>
      </c>
      <c r="AL1718" s="23"/>
      <c r="AM1718" s="23"/>
      <c r="AN1718" s="23"/>
      <c r="AO1718" s="23"/>
      <c r="AP1718" s="23"/>
      <c r="AQ1718" s="23"/>
      <c r="AR1718" s="23">
        <v>22</v>
      </c>
      <c r="AS1718" s="23"/>
      <c r="AT1718" s="23"/>
      <c r="AU1718" s="14" t="str">
        <f>HYPERLINK("http://www.openstreetmap.org/?mlat=33.7051&amp;mlon=44.6639&amp;zoom=12#map=12/33.7051/44.6639","Maplink1")</f>
        <v>Maplink1</v>
      </c>
      <c r="AV1718" s="14" t="str">
        <f>HYPERLINK("https://www.google.iq/maps/search/+33.7051,44.6639/@33.7051,44.6639,14z?hl=en","Maplink2")</f>
        <v>Maplink2</v>
      </c>
      <c r="AW1718" s="14" t="str">
        <f>HYPERLINK("http://www.bing.com/maps/?lvl=14&amp;sty=h&amp;cp=33.7051~44.6639&amp;sp=point.33.7051_44.6639_Buhriz-Hay Al- Mustafa","Maplink3")</f>
        <v>Maplink3</v>
      </c>
    </row>
    <row r="1719" spans="1:49" ht="15" customHeight="1" x14ac:dyDescent="0.25">
      <c r="A1719" s="21">
        <v>11368</v>
      </c>
      <c r="B1719" s="22" t="s">
        <v>14</v>
      </c>
      <c r="C1719" s="22" t="s">
        <v>3227</v>
      </c>
      <c r="D1719" s="22" t="s">
        <v>8698</v>
      </c>
      <c r="E1719" s="22" t="s">
        <v>8014</v>
      </c>
      <c r="F1719" s="22">
        <v>33.727083681800003</v>
      </c>
      <c r="G1719" s="22">
        <v>44.660062148800002</v>
      </c>
      <c r="H1719" s="21" t="s">
        <v>3164</v>
      </c>
      <c r="I1719" s="21" t="s">
        <v>3228</v>
      </c>
      <c r="J1719" s="21" t="s">
        <v>3275</v>
      </c>
      <c r="K1719" s="24">
        <v>5</v>
      </c>
      <c r="L1719" s="24">
        <v>30</v>
      </c>
      <c r="M1719" s="23"/>
      <c r="N1719" s="23"/>
      <c r="O1719" s="23"/>
      <c r="P1719" s="23"/>
      <c r="Q1719" s="23"/>
      <c r="R1719" s="23">
        <v>5</v>
      </c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>
        <v>5</v>
      </c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23">
        <v>5</v>
      </c>
      <c r="AS1719" s="23"/>
      <c r="AT1719" s="23"/>
      <c r="AU1719" s="14" t="str">
        <f>HYPERLINK("http://www.openstreetmap.org/?mlat=33.7024&amp;mlon=44.6622&amp;zoom=12#map=12/33.7024/44.6622","Maplink1")</f>
        <v>Maplink1</v>
      </c>
      <c r="AV1719" s="14" t="str">
        <f>HYPERLINK("https://www.google.iq/maps/search/+33.7024,44.6622/@33.7024,44.6622,14z?hl=en","Maplink2")</f>
        <v>Maplink2</v>
      </c>
      <c r="AW1719" s="14" t="str">
        <f>HYPERLINK("http://www.bing.com/maps/?lvl=14&amp;sty=h&amp;cp=33.7024~44.6622&amp;sp=point.33.7024_44.6622_Buhriz-Hay Borgha","Maplink3")</f>
        <v>Maplink3</v>
      </c>
    </row>
    <row r="1720" spans="1:49" ht="15" customHeight="1" x14ac:dyDescent="0.25">
      <c r="A1720" s="21">
        <v>25039</v>
      </c>
      <c r="B1720" s="22" t="s">
        <v>14</v>
      </c>
      <c r="C1720" s="22" t="s">
        <v>3227</v>
      </c>
      <c r="D1720" s="22" t="s">
        <v>3268</v>
      </c>
      <c r="E1720" s="22" t="s">
        <v>3269</v>
      </c>
      <c r="F1720" s="22">
        <v>33.659700162</v>
      </c>
      <c r="G1720" s="22">
        <v>44.686219826299997</v>
      </c>
      <c r="H1720" s="21" t="s">
        <v>3164</v>
      </c>
      <c r="I1720" s="21" t="s">
        <v>3228</v>
      </c>
      <c r="J1720" s="21"/>
      <c r="K1720" s="24">
        <v>15</v>
      </c>
      <c r="L1720" s="24">
        <v>90</v>
      </c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  <c r="AA1720" s="23">
        <v>15</v>
      </c>
      <c r="AB1720" s="23"/>
      <c r="AC1720" s="23"/>
      <c r="AD1720" s="23"/>
      <c r="AE1720" s="23"/>
      <c r="AF1720" s="23">
        <v>15</v>
      </c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  <c r="AQ1720" s="23">
        <v>15</v>
      </c>
      <c r="AR1720" s="23"/>
      <c r="AS1720" s="23"/>
      <c r="AT1720" s="23"/>
      <c r="AU1720" s="14" t="str">
        <f>HYPERLINK("http://www.openstreetmap.org/?mlat=33.6895&amp;mlon=44.6641&amp;zoom=12#map=12/33.6895/44.6641","Maplink1")</f>
        <v>Maplink1</v>
      </c>
      <c r="AV1720" s="14" t="str">
        <f>HYPERLINK("https://www.google.iq/maps/search/+33.6895,44.6641/@33.6895,44.6641,14z?hl=en","Maplink2")</f>
        <v>Maplink2</v>
      </c>
      <c r="AW1720" s="14" t="str">
        <f>HYPERLINK("http://www.bing.com/maps/?lvl=14&amp;sty=h&amp;cp=33.6895~44.6641&amp;sp=point.33.6895_44.6641_Buhriz-Abdulah Jasim village","Maplink3")</f>
        <v>Maplink3</v>
      </c>
    </row>
    <row r="1721" spans="1:49" ht="15" customHeight="1" x14ac:dyDescent="0.25">
      <c r="A1721" s="21">
        <v>25038</v>
      </c>
      <c r="B1721" s="22" t="s">
        <v>14</v>
      </c>
      <c r="C1721" s="22" t="s">
        <v>3227</v>
      </c>
      <c r="D1721" s="22" t="s">
        <v>3270</v>
      </c>
      <c r="E1721" s="22" t="s">
        <v>3271</v>
      </c>
      <c r="F1721" s="22">
        <v>33.658830024799997</v>
      </c>
      <c r="G1721" s="22">
        <v>44.680599181600002</v>
      </c>
      <c r="H1721" s="21" t="s">
        <v>3164</v>
      </c>
      <c r="I1721" s="21" t="s">
        <v>3228</v>
      </c>
      <c r="J1721" s="21"/>
      <c r="K1721" s="24">
        <v>10</v>
      </c>
      <c r="L1721" s="24">
        <v>60</v>
      </c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>
        <v>10</v>
      </c>
      <c r="AB1721" s="23"/>
      <c r="AC1721" s="23"/>
      <c r="AD1721" s="23"/>
      <c r="AE1721" s="23"/>
      <c r="AF1721" s="23">
        <v>10</v>
      </c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>
        <v>10</v>
      </c>
      <c r="AR1721" s="23"/>
      <c r="AS1721" s="23"/>
      <c r="AT1721" s="23"/>
      <c r="AU1721" s="14" t="str">
        <f>HYPERLINK("http://www.openstreetmap.org/?mlat=33.6605&amp;mlon=44.6795&amp;zoom=12#map=12/33.6605/44.6795","Maplink1")</f>
        <v>Maplink1</v>
      </c>
      <c r="AV1721" s="14" t="str">
        <f>HYPERLINK("https://www.google.iq/maps/search/+33.6605,44.6795/@33.6605,44.6795,14z?hl=en","Maplink2")</f>
        <v>Maplink2</v>
      </c>
      <c r="AW1721" s="14" t="str">
        <f>HYPERLINK("http://www.bing.com/maps/?lvl=14&amp;sty=h&amp;cp=33.6605~44.6795&amp;sp=point.33.6605_44.6795_Buhriz-Al Bwadish village","Maplink3")</f>
        <v>Maplink3</v>
      </c>
    </row>
    <row r="1722" spans="1:49" ht="15" customHeight="1" x14ac:dyDescent="0.25">
      <c r="A1722" s="21">
        <v>24918</v>
      </c>
      <c r="B1722" s="22" t="s">
        <v>14</v>
      </c>
      <c r="C1722" s="22" t="s">
        <v>3227</v>
      </c>
      <c r="D1722" s="22" t="s">
        <v>8699</v>
      </c>
      <c r="E1722" s="22" t="s">
        <v>3272</v>
      </c>
      <c r="F1722" s="22">
        <v>33.711714565500003</v>
      </c>
      <c r="G1722" s="22">
        <v>44.647719092999999</v>
      </c>
      <c r="H1722" s="21" t="s">
        <v>3164</v>
      </c>
      <c r="I1722" s="21" t="s">
        <v>3228</v>
      </c>
      <c r="J1722" s="21"/>
      <c r="K1722" s="24">
        <v>15</v>
      </c>
      <c r="L1722" s="24">
        <v>90</v>
      </c>
      <c r="M1722" s="23"/>
      <c r="N1722" s="23"/>
      <c r="O1722" s="23"/>
      <c r="P1722" s="23"/>
      <c r="Q1722" s="23"/>
      <c r="R1722" s="23">
        <v>15</v>
      </c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>
        <v>15</v>
      </c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23">
        <v>15</v>
      </c>
      <c r="AS1722" s="23"/>
      <c r="AT1722" s="23"/>
      <c r="AU1722" s="14" t="str">
        <f>HYPERLINK("http://www.openstreetmap.org/?mlat=33.7119&amp;mlon=44.6484&amp;zoom=12#map=12/33.7119/44.6484","Maplink1")</f>
        <v>Maplink1</v>
      </c>
      <c r="AV1722" s="14" t="str">
        <f>HYPERLINK("https://www.google.iq/maps/search/+33.7119,44.6484/@33.7119,44.6484,14z?hl=en","Maplink2")</f>
        <v>Maplink2</v>
      </c>
      <c r="AW1722" s="14" t="str">
        <f>HYPERLINK("http://www.bing.com/maps/?lvl=14&amp;sty=h&amp;cp=33.7119~44.6484&amp;sp=point.33.7119_44.6484_Buhriz-Al-Asri","Maplink3")</f>
        <v>Maplink3</v>
      </c>
    </row>
    <row r="1723" spans="1:49" ht="15" customHeight="1" x14ac:dyDescent="0.25">
      <c r="A1723" s="21">
        <v>25037</v>
      </c>
      <c r="B1723" s="22" t="s">
        <v>14</v>
      </c>
      <c r="C1723" s="22" t="s">
        <v>3227</v>
      </c>
      <c r="D1723" s="22" t="s">
        <v>3276</v>
      </c>
      <c r="E1723" s="22" t="s">
        <v>3277</v>
      </c>
      <c r="F1723" s="22">
        <v>33.650120372099998</v>
      </c>
      <c r="G1723" s="22">
        <v>44.684838241000001</v>
      </c>
      <c r="H1723" s="21" t="s">
        <v>3164</v>
      </c>
      <c r="I1723" s="21" t="s">
        <v>3228</v>
      </c>
      <c r="J1723" s="21"/>
      <c r="K1723" s="24">
        <v>11</v>
      </c>
      <c r="L1723" s="24">
        <v>66</v>
      </c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>
        <v>11</v>
      </c>
      <c r="AB1723" s="23"/>
      <c r="AC1723" s="23"/>
      <c r="AD1723" s="23"/>
      <c r="AE1723" s="23"/>
      <c r="AF1723" s="23">
        <v>11</v>
      </c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>
        <v>11</v>
      </c>
      <c r="AR1723" s="23"/>
      <c r="AS1723" s="23"/>
      <c r="AT1723" s="23"/>
      <c r="AU1723" s="14" t="str">
        <f>HYPERLINK("http://www.openstreetmap.org/?mlat=33.6621&amp;mlon=44.8755&amp;zoom=12#map=12/33.6621/44.8755","Maplink1")</f>
        <v>Maplink1</v>
      </c>
      <c r="AV1723" s="14" t="str">
        <f>HYPERLINK("https://www.google.iq/maps/search/+33.6621,44.8755/@33.6621,44.8755,14z?hl=en","Maplink2")</f>
        <v>Maplink2</v>
      </c>
      <c r="AW1723" s="14" t="str">
        <f>HYPERLINK("http://www.bing.com/maps/?lvl=14&amp;sty=h&amp;cp=33.6621~44.8755&amp;sp=point.33.6621_44.8755_Buhriz-Shatib village","Maplink3")</f>
        <v>Maplink3</v>
      </c>
    </row>
    <row r="1724" spans="1:49" ht="15" customHeight="1" x14ac:dyDescent="0.25">
      <c r="A1724" s="21">
        <v>25045</v>
      </c>
      <c r="B1724" s="22" t="s">
        <v>14</v>
      </c>
      <c r="C1724" s="22" t="s">
        <v>3227</v>
      </c>
      <c r="D1724" s="22" t="s">
        <v>8700</v>
      </c>
      <c r="E1724" s="22" t="s">
        <v>3301</v>
      </c>
      <c r="F1724" s="22">
        <v>33.7011757852</v>
      </c>
      <c r="G1724" s="22">
        <v>44.7947242077</v>
      </c>
      <c r="H1724" s="21" t="s">
        <v>3164</v>
      </c>
      <c r="I1724" s="21" t="s">
        <v>3228</v>
      </c>
      <c r="J1724" s="21"/>
      <c r="K1724" s="24">
        <v>18</v>
      </c>
      <c r="L1724" s="24">
        <v>108</v>
      </c>
      <c r="M1724" s="23"/>
      <c r="N1724" s="23"/>
      <c r="O1724" s="23"/>
      <c r="P1724" s="23"/>
      <c r="Q1724" s="23"/>
      <c r="R1724" s="23">
        <v>18</v>
      </c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>
        <v>18</v>
      </c>
      <c r="AL1724" s="23"/>
      <c r="AM1724" s="23"/>
      <c r="AN1724" s="23"/>
      <c r="AO1724" s="23"/>
      <c r="AP1724" s="23"/>
      <c r="AQ1724" s="23"/>
      <c r="AR1724" s="23">
        <v>18</v>
      </c>
      <c r="AS1724" s="23"/>
      <c r="AT1724" s="23"/>
      <c r="AU1724" s="14" t="str">
        <f>HYPERLINK("http://www.openstreetmap.org/?mlat=33.6984&amp;mlon=44.7921&amp;zoom=12#map=12/33.6984/44.7921","Maplink1")</f>
        <v>Maplink1</v>
      </c>
      <c r="AV1724" s="14" t="str">
        <f>HYPERLINK("https://www.google.iq/maps/search/+33.6984,44.7921/@33.6984,44.7921,14z?hl=en","Maplink2")</f>
        <v>Maplink2</v>
      </c>
      <c r="AW1724" s="14" t="str">
        <f>HYPERLINK("http://www.bing.com/maps/?lvl=14&amp;sty=h&amp;cp=33.6984~44.7921&amp;sp=point.33.6984_44.7921_Kanaan-Dor Mindli Qtr","Maplink3")</f>
        <v>Maplink3</v>
      </c>
    </row>
    <row r="1725" spans="1:49" ht="15" customHeight="1" x14ac:dyDescent="0.25">
      <c r="A1725" s="21">
        <v>11496</v>
      </c>
      <c r="B1725" s="22" t="s">
        <v>14</v>
      </c>
      <c r="C1725" s="22" t="s">
        <v>3227</v>
      </c>
      <c r="D1725" s="22" t="s">
        <v>8701</v>
      </c>
      <c r="E1725" s="22" t="s">
        <v>3278</v>
      </c>
      <c r="F1725" s="22">
        <v>33.769522115900003</v>
      </c>
      <c r="G1725" s="22">
        <v>44.643582006499997</v>
      </c>
      <c r="H1725" s="21" t="s">
        <v>3164</v>
      </c>
      <c r="I1725" s="21" t="s">
        <v>3228</v>
      </c>
      <c r="J1725" s="21" t="s">
        <v>3279</v>
      </c>
      <c r="K1725" s="24">
        <v>25</v>
      </c>
      <c r="L1725" s="24">
        <v>150</v>
      </c>
      <c r="M1725" s="23"/>
      <c r="N1725" s="23"/>
      <c r="O1725" s="23"/>
      <c r="P1725" s="23"/>
      <c r="Q1725" s="23"/>
      <c r="R1725" s="23">
        <v>25</v>
      </c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>
        <v>25</v>
      </c>
      <c r="AL1725" s="23"/>
      <c r="AM1725" s="23"/>
      <c r="AN1725" s="23"/>
      <c r="AO1725" s="23"/>
      <c r="AP1725" s="23">
        <v>25</v>
      </c>
      <c r="AQ1725" s="23"/>
      <c r="AR1725" s="23"/>
      <c r="AS1725" s="23"/>
      <c r="AT1725" s="23"/>
      <c r="AU1725" s="14" t="str">
        <f>HYPERLINK("http://www.openstreetmap.org/?mlat=33.7687&amp;mlon=44.6437&amp;zoom=12#map=12/33.7687/44.6437","Maplink1")</f>
        <v>Maplink1</v>
      </c>
      <c r="AV1725" s="14" t="str">
        <f>HYPERLINK("https://www.google.iq/maps/search/+33.7687,44.6437/@33.7687,44.6437,14z?hl=en","Maplink2")</f>
        <v>Maplink2</v>
      </c>
      <c r="AW1725" s="14" t="str">
        <f>HYPERLINK("http://www.bing.com/maps/?lvl=14&amp;sty=h&amp;cp=33.7687~44.6437&amp;sp=point.33.7687_44.6437_Ejbainat","Maplink3")</f>
        <v>Maplink3</v>
      </c>
    </row>
    <row r="1726" spans="1:49" ht="15" customHeight="1" x14ac:dyDescent="0.25">
      <c r="A1726" s="21">
        <v>25050</v>
      </c>
      <c r="B1726" s="22" t="s">
        <v>14</v>
      </c>
      <c r="C1726" s="22" t="s">
        <v>3227</v>
      </c>
      <c r="D1726" s="22" t="s">
        <v>8702</v>
      </c>
      <c r="E1726" s="22" t="s">
        <v>3302</v>
      </c>
      <c r="F1726" s="22">
        <v>33.708146760699996</v>
      </c>
      <c r="G1726" s="22">
        <v>44.7714936689</v>
      </c>
      <c r="H1726" s="21" t="s">
        <v>3164</v>
      </c>
      <c r="I1726" s="21" t="s">
        <v>3228</v>
      </c>
      <c r="J1726" s="21"/>
      <c r="K1726" s="24">
        <v>16</v>
      </c>
      <c r="L1726" s="24">
        <v>96</v>
      </c>
      <c r="M1726" s="23"/>
      <c r="N1726" s="23"/>
      <c r="O1726" s="23"/>
      <c r="P1726" s="23"/>
      <c r="Q1726" s="23"/>
      <c r="R1726" s="23">
        <v>16</v>
      </c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>
        <v>16</v>
      </c>
      <c r="AL1726" s="23"/>
      <c r="AM1726" s="23"/>
      <c r="AN1726" s="23"/>
      <c r="AO1726" s="23"/>
      <c r="AP1726" s="23"/>
      <c r="AQ1726" s="23"/>
      <c r="AR1726" s="23">
        <v>16</v>
      </c>
      <c r="AS1726" s="23"/>
      <c r="AT1726" s="23"/>
      <c r="AU1726" s="14" t="str">
        <f>HYPERLINK("http://www.openstreetmap.org/?mlat=33.6767&amp;mlon=44.8081&amp;zoom=12#map=12/33.6767/44.8081","Maplink1")</f>
        <v>Maplink1</v>
      </c>
      <c r="AV1726" s="14" t="str">
        <f>HYPERLINK("https://www.google.iq/maps/search/+33.6767,44.8081/@33.6767,44.8081,14z?hl=en","Maplink2")</f>
        <v>Maplink2</v>
      </c>
      <c r="AW1726" s="14" t="str">
        <f>HYPERLINK("http://www.bing.com/maps/?lvl=14&amp;sty=h&amp;cp=33.6767~44.8081&amp;sp=point.33.6767_44.8081_Kanaan-Fars Tarish Village","Maplink3")</f>
        <v>Maplink3</v>
      </c>
    </row>
    <row r="1727" spans="1:49" ht="15" customHeight="1" x14ac:dyDescent="0.25">
      <c r="A1727" s="21">
        <v>11553</v>
      </c>
      <c r="B1727" s="22" t="s">
        <v>14</v>
      </c>
      <c r="C1727" s="22" t="s">
        <v>3227</v>
      </c>
      <c r="D1727" s="22" t="s">
        <v>8703</v>
      </c>
      <c r="E1727" s="22" t="s">
        <v>3280</v>
      </c>
      <c r="F1727" s="22">
        <v>33.828371013100003</v>
      </c>
      <c r="G1727" s="22">
        <v>44.673970367300001</v>
      </c>
      <c r="H1727" s="21" t="s">
        <v>3164</v>
      </c>
      <c r="I1727" s="21" t="s">
        <v>3228</v>
      </c>
      <c r="J1727" s="21" t="s">
        <v>3281</v>
      </c>
      <c r="K1727" s="24">
        <v>20</v>
      </c>
      <c r="L1727" s="24">
        <v>120</v>
      </c>
      <c r="M1727" s="23"/>
      <c r="N1727" s="23"/>
      <c r="O1727" s="23"/>
      <c r="P1727" s="23"/>
      <c r="Q1727" s="23"/>
      <c r="R1727" s="23">
        <v>20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>
        <v>20</v>
      </c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23">
        <v>20</v>
      </c>
      <c r="AS1727" s="23"/>
      <c r="AT1727" s="23"/>
      <c r="AU1727" s="14" t="str">
        <f>HYPERLINK("http://www.openstreetmap.org/?mlat=33.8281&amp;mlon=44.6744&amp;zoom=12#map=12/33.8281/44.6744","Maplink1")</f>
        <v>Maplink1</v>
      </c>
      <c r="AV1727" s="14" t="str">
        <f>HYPERLINK("https://www.google.iq/maps/search/+33.8281,44.6744/@33.8281,44.6744,14z?hl=en","Maplink2")</f>
        <v>Maplink2</v>
      </c>
      <c r="AW1727" s="14" t="str">
        <f>HYPERLINK("http://www.bing.com/maps/?lvl=14&amp;sty=h&amp;cp=33.8281~44.6744&amp;sp=point.33.8281_44.6744_Had Al-Akhdhar","Maplink3")</f>
        <v>Maplink3</v>
      </c>
    </row>
    <row r="1728" spans="1:49" ht="15" customHeight="1" x14ac:dyDescent="0.25">
      <c r="A1728" s="21">
        <v>11463</v>
      </c>
      <c r="B1728" s="22" t="s">
        <v>14</v>
      </c>
      <c r="C1728" s="22" t="s">
        <v>3227</v>
      </c>
      <c r="D1728" s="22" t="s">
        <v>3282</v>
      </c>
      <c r="E1728" s="22" t="s">
        <v>3283</v>
      </c>
      <c r="F1728" s="22">
        <v>33.844936526200001</v>
      </c>
      <c r="G1728" s="22">
        <v>44.644540854600002</v>
      </c>
      <c r="H1728" s="21" t="s">
        <v>3164</v>
      </c>
      <c r="I1728" s="21" t="s">
        <v>3228</v>
      </c>
      <c r="J1728" s="21" t="s">
        <v>3284</v>
      </c>
      <c r="K1728" s="24">
        <v>44</v>
      </c>
      <c r="L1728" s="24">
        <v>264</v>
      </c>
      <c r="M1728" s="23"/>
      <c r="N1728" s="23"/>
      <c r="O1728" s="23"/>
      <c r="P1728" s="23"/>
      <c r="Q1728" s="23"/>
      <c r="R1728" s="23">
        <v>19</v>
      </c>
      <c r="S1728" s="23"/>
      <c r="T1728" s="23"/>
      <c r="U1728" s="23"/>
      <c r="V1728" s="23"/>
      <c r="W1728" s="23"/>
      <c r="X1728" s="23"/>
      <c r="Y1728" s="23"/>
      <c r="Z1728" s="23"/>
      <c r="AA1728" s="23">
        <v>25</v>
      </c>
      <c r="AB1728" s="23"/>
      <c r="AC1728" s="23"/>
      <c r="AD1728" s="23"/>
      <c r="AE1728" s="23"/>
      <c r="AF1728" s="23">
        <v>22</v>
      </c>
      <c r="AG1728" s="23"/>
      <c r="AH1728" s="23"/>
      <c r="AI1728" s="23"/>
      <c r="AJ1728" s="23"/>
      <c r="AK1728" s="23">
        <v>22</v>
      </c>
      <c r="AL1728" s="23"/>
      <c r="AM1728" s="23"/>
      <c r="AN1728" s="23"/>
      <c r="AO1728" s="23"/>
      <c r="AP1728" s="23"/>
      <c r="AQ1728" s="23"/>
      <c r="AR1728" s="23">
        <v>44</v>
      </c>
      <c r="AS1728" s="23"/>
      <c r="AT1728" s="23"/>
      <c r="AU1728" s="14" t="str">
        <f>HYPERLINK("http://www.openstreetmap.org/?mlat=33.8408&amp;mlon=44.6428&amp;zoom=12#map=12/33.8408/44.6428","Maplink1")</f>
        <v>Maplink1</v>
      </c>
      <c r="AV1728" s="14" t="str">
        <f>HYPERLINK("https://www.google.iq/maps/search/+33.8408,44.6428/@33.8408,44.6428,14z?hl=en","Maplink2")</f>
        <v>Maplink2</v>
      </c>
      <c r="AW1728" s="14" t="str">
        <f>HYPERLINK("http://www.bing.com/maps/?lvl=14&amp;sty=h&amp;cp=33.8408~44.6428&amp;sp=point.33.8408_44.6428_Had Mekser","Maplink3")</f>
        <v>Maplink3</v>
      </c>
    </row>
    <row r="1729" spans="1:49" ht="15" customHeight="1" x14ac:dyDescent="0.25">
      <c r="A1729" s="21">
        <v>11217</v>
      </c>
      <c r="B1729" s="22" t="s">
        <v>14</v>
      </c>
      <c r="C1729" s="22" t="s">
        <v>3227</v>
      </c>
      <c r="D1729" s="22" t="s">
        <v>8704</v>
      </c>
      <c r="E1729" s="22" t="s">
        <v>3295</v>
      </c>
      <c r="F1729" s="22">
        <v>33.756726175600001</v>
      </c>
      <c r="G1729" s="22">
        <v>44.654957994299998</v>
      </c>
      <c r="H1729" s="21" t="s">
        <v>3164</v>
      </c>
      <c r="I1729" s="21" t="s">
        <v>3228</v>
      </c>
      <c r="J1729" s="21" t="s">
        <v>3296</v>
      </c>
      <c r="K1729" s="24">
        <v>49</v>
      </c>
      <c r="L1729" s="24">
        <v>294</v>
      </c>
      <c r="M1729" s="23"/>
      <c r="N1729" s="23"/>
      <c r="O1729" s="23"/>
      <c r="P1729" s="23"/>
      <c r="Q1729" s="23"/>
      <c r="R1729" s="23">
        <v>49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>
        <v>49</v>
      </c>
      <c r="AL1729" s="23"/>
      <c r="AM1729" s="23"/>
      <c r="AN1729" s="23"/>
      <c r="AO1729" s="23"/>
      <c r="AP1729" s="23">
        <v>49</v>
      </c>
      <c r="AQ1729" s="23"/>
      <c r="AR1729" s="23"/>
      <c r="AS1729" s="23"/>
      <c r="AT1729" s="23"/>
      <c r="AU1729" s="14" t="str">
        <f>HYPERLINK("http://www.openstreetmap.org/?mlat=33.7663&amp;mlon=44.6686&amp;zoom=12#map=12/33.7663/44.6686","Maplink1")</f>
        <v>Maplink1</v>
      </c>
      <c r="AV1729" s="14" t="str">
        <f>HYPERLINK("https://www.google.iq/maps/search/+33.7663,44.6686/@33.7663,44.6686,14z?hl=en","Maplink2")</f>
        <v>Maplink2</v>
      </c>
      <c r="AW1729" s="14" t="str">
        <f>HYPERLINK("http://www.bing.com/maps/?lvl=14&amp;sty=h&amp;cp=33.7663~44.6686&amp;sp=point.33.7663_44.6686_Hay Jarf Al Milih","Maplink3")</f>
        <v>Maplink3</v>
      </c>
    </row>
    <row r="1730" spans="1:49" ht="15" customHeight="1" x14ac:dyDescent="0.25">
      <c r="A1730" s="21">
        <v>25048</v>
      </c>
      <c r="B1730" s="22" t="s">
        <v>14</v>
      </c>
      <c r="C1730" s="22" t="s">
        <v>3227</v>
      </c>
      <c r="D1730" s="22" t="s">
        <v>8705</v>
      </c>
      <c r="E1730" s="22" t="s">
        <v>3303</v>
      </c>
      <c r="F1730" s="22">
        <v>33.6975296938</v>
      </c>
      <c r="G1730" s="22">
        <v>44.8052039568</v>
      </c>
      <c r="H1730" s="21" t="s">
        <v>3164</v>
      </c>
      <c r="I1730" s="21" t="s">
        <v>3228</v>
      </c>
      <c r="J1730" s="21"/>
      <c r="K1730" s="24">
        <v>10</v>
      </c>
      <c r="L1730" s="24">
        <v>60</v>
      </c>
      <c r="M1730" s="23"/>
      <c r="N1730" s="23"/>
      <c r="O1730" s="23"/>
      <c r="P1730" s="23"/>
      <c r="Q1730" s="23"/>
      <c r="R1730" s="23">
        <v>10</v>
      </c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>
        <v>10</v>
      </c>
      <c r="AN1730" s="23"/>
      <c r="AO1730" s="23"/>
      <c r="AP1730" s="23"/>
      <c r="AQ1730" s="23"/>
      <c r="AR1730" s="23">
        <v>10</v>
      </c>
      <c r="AS1730" s="23"/>
      <c r="AT1730" s="23"/>
      <c r="AU1730" s="14" t="str">
        <f>HYPERLINK("http://www.openstreetmap.org/?mlat=33.5821&amp;mlon=45.1228&amp;zoom=12#map=12/33.5821/45.1228","Maplink1")</f>
        <v>Maplink1</v>
      </c>
      <c r="AV1730" s="14" t="str">
        <f>HYPERLINK("https://www.google.iq/maps/search/+33.5821,45.1228/@33.5821,45.1228,14z?hl=en","Maplink2")</f>
        <v>Maplink2</v>
      </c>
      <c r="AW1730" s="14" t="str">
        <f>HYPERLINK("http://www.bing.com/maps/?lvl=14&amp;sty=h&amp;cp=33.5821~45.1228&amp;sp=point.33.5821_45.1228_Kanaan-Kanbar Village","Maplink3")</f>
        <v>Maplink3</v>
      </c>
    </row>
    <row r="1731" spans="1:49" ht="15" customHeight="1" x14ac:dyDescent="0.25">
      <c r="A1731" s="21">
        <v>25051</v>
      </c>
      <c r="B1731" s="22" t="s">
        <v>14</v>
      </c>
      <c r="C1731" s="22" t="s">
        <v>3227</v>
      </c>
      <c r="D1731" s="22" t="s">
        <v>8706</v>
      </c>
      <c r="E1731" s="22" t="s">
        <v>3304</v>
      </c>
      <c r="F1731" s="22">
        <v>33.676023034499998</v>
      </c>
      <c r="G1731" s="22">
        <v>44.777653294799997</v>
      </c>
      <c r="H1731" s="21" t="s">
        <v>3164</v>
      </c>
      <c r="I1731" s="21" t="s">
        <v>3228</v>
      </c>
      <c r="J1731" s="21"/>
      <c r="K1731" s="24">
        <v>16</v>
      </c>
      <c r="L1731" s="24">
        <v>96</v>
      </c>
      <c r="M1731" s="23"/>
      <c r="N1731" s="23"/>
      <c r="O1731" s="23"/>
      <c r="P1731" s="23"/>
      <c r="Q1731" s="23"/>
      <c r="R1731" s="23">
        <v>16</v>
      </c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>
        <v>10</v>
      </c>
      <c r="AG1731" s="23"/>
      <c r="AH1731" s="23"/>
      <c r="AI1731" s="23"/>
      <c r="AJ1731" s="23"/>
      <c r="AK1731" s="23"/>
      <c r="AL1731" s="23"/>
      <c r="AM1731" s="23">
        <v>6</v>
      </c>
      <c r="AN1731" s="23"/>
      <c r="AO1731" s="23"/>
      <c r="AP1731" s="23"/>
      <c r="AQ1731" s="23"/>
      <c r="AR1731" s="23">
        <v>16</v>
      </c>
      <c r="AS1731" s="23"/>
      <c r="AT1731" s="23"/>
      <c r="AU1731" s="14" t="str">
        <f>HYPERLINK("http://www.openstreetmap.org/?mlat=33.6445&amp;mlon=44.8271&amp;zoom=12#map=12/33.6445/44.8271","Maplink1")</f>
        <v>Maplink1</v>
      </c>
      <c r="AV1731" s="14" t="str">
        <f>HYPERLINK("https://www.google.iq/maps/search/+33.6445,44.8271/@33.6445,44.8271,14z?hl=en","Maplink2")</f>
        <v>Maplink2</v>
      </c>
      <c r="AW1731" s="14" t="str">
        <f>HYPERLINK("http://www.bing.com/maps/?lvl=14&amp;sty=h&amp;cp=33.6445~44.8271&amp;sp=point.33.6445_44.8271_Kanaan-Khamis Village","Maplink3")</f>
        <v>Maplink3</v>
      </c>
    </row>
    <row r="1732" spans="1:49" ht="15" customHeight="1" x14ac:dyDescent="0.25">
      <c r="A1732" s="21">
        <v>11200</v>
      </c>
      <c r="B1732" s="22" t="s">
        <v>14</v>
      </c>
      <c r="C1732" s="22" t="s">
        <v>3227</v>
      </c>
      <c r="D1732" s="22" t="s">
        <v>8707</v>
      </c>
      <c r="E1732" s="22" t="s">
        <v>3308</v>
      </c>
      <c r="F1732" s="22">
        <v>33.803115000799998</v>
      </c>
      <c r="G1732" s="22">
        <v>44.634264964099998</v>
      </c>
      <c r="H1732" s="21" t="s">
        <v>3164</v>
      </c>
      <c r="I1732" s="21" t="s">
        <v>3228</v>
      </c>
      <c r="J1732" s="21" t="s">
        <v>3309</v>
      </c>
      <c r="K1732" s="24">
        <v>40</v>
      </c>
      <c r="L1732" s="24">
        <v>240</v>
      </c>
      <c r="M1732" s="23"/>
      <c r="N1732" s="23"/>
      <c r="O1732" s="23"/>
      <c r="P1732" s="23"/>
      <c r="Q1732" s="23"/>
      <c r="R1732" s="23">
        <v>40</v>
      </c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>
        <v>20</v>
      </c>
      <c r="AG1732" s="23"/>
      <c r="AH1732" s="23"/>
      <c r="AI1732" s="23"/>
      <c r="AJ1732" s="23"/>
      <c r="AK1732" s="23">
        <v>20</v>
      </c>
      <c r="AL1732" s="23"/>
      <c r="AM1732" s="23"/>
      <c r="AN1732" s="23"/>
      <c r="AO1732" s="23"/>
      <c r="AP1732" s="23"/>
      <c r="AQ1732" s="23"/>
      <c r="AR1732" s="23">
        <v>40</v>
      </c>
      <c r="AS1732" s="23"/>
      <c r="AT1732" s="23"/>
      <c r="AU1732" s="14" t="str">
        <f>HYPERLINK("http://www.openstreetmap.org/?mlat=33.8035&amp;mlon=44.6341&amp;zoom=12#map=12/33.8035/44.6341","Maplink1")</f>
        <v>Maplink1</v>
      </c>
      <c r="AV1732" s="14" t="str">
        <f>HYPERLINK("https://www.google.iq/maps/search/+33.8035,44.6341/@33.8035,44.6341,14z?hl=en","Maplink2")</f>
        <v>Maplink2</v>
      </c>
      <c r="AW1732" s="14" t="str">
        <f>HYPERLINK("http://www.bing.com/maps/?lvl=14&amp;sty=h&amp;cp=33.8035~44.6341&amp;sp=point.33.8035_44.6341_Khirnabat","Maplink3")</f>
        <v>Maplink3</v>
      </c>
    </row>
    <row r="1733" spans="1:49" ht="15" customHeight="1" x14ac:dyDescent="0.25">
      <c r="A1733" s="21">
        <v>11193</v>
      </c>
      <c r="B1733" s="22" t="s">
        <v>14</v>
      </c>
      <c r="C1733" s="22" t="s">
        <v>3227</v>
      </c>
      <c r="D1733" s="22" t="s">
        <v>8708</v>
      </c>
      <c r="E1733" s="22" t="s">
        <v>8009</v>
      </c>
      <c r="F1733" s="22">
        <v>33.814073790099997</v>
      </c>
      <c r="G1733" s="22">
        <v>44.657461330099999</v>
      </c>
      <c r="H1733" s="21" t="s">
        <v>3164</v>
      </c>
      <c r="I1733" s="21" t="s">
        <v>3228</v>
      </c>
      <c r="J1733" s="21" t="s">
        <v>3229</v>
      </c>
      <c r="K1733" s="24">
        <v>80</v>
      </c>
      <c r="L1733" s="24">
        <v>480</v>
      </c>
      <c r="M1733" s="23"/>
      <c r="N1733" s="23"/>
      <c r="O1733" s="23"/>
      <c r="P1733" s="23"/>
      <c r="Q1733" s="23"/>
      <c r="R1733" s="23">
        <v>80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>
        <v>80</v>
      </c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>
        <v>80</v>
      </c>
      <c r="AR1733" s="23"/>
      <c r="AS1733" s="23"/>
      <c r="AT1733" s="23"/>
      <c r="AU1733" s="14" t="str">
        <f>HYPERLINK("http://www.openstreetmap.org/?mlat=33.7&amp;mlon=44.45&amp;zoom=12#map=12/33.7/44.45","Maplink1")</f>
        <v>Maplink1</v>
      </c>
      <c r="AV1733" s="14" t="str">
        <f>HYPERLINK("https://www.google.iq/maps/search/+33.7,44.45/@33.7,44.45,14z?hl=en","Maplink2")</f>
        <v>Maplink2</v>
      </c>
      <c r="AW1733" s="14" t="str">
        <f>HYPERLINK("http://www.bing.com/maps/?lvl=14&amp;sty=h&amp;cp=33.7~44.45&amp;sp=point.33.7_44.45_Al Abara","Maplink3")</f>
        <v>Maplink3</v>
      </c>
    </row>
    <row r="1734" spans="1:49" ht="15" customHeight="1" x14ac:dyDescent="0.25">
      <c r="A1734" s="21">
        <v>11363</v>
      </c>
      <c r="B1734" s="22" t="s">
        <v>14</v>
      </c>
      <c r="C1734" s="22" t="s">
        <v>3227</v>
      </c>
      <c r="D1734" s="22" t="s">
        <v>8709</v>
      </c>
      <c r="E1734" s="22" t="s">
        <v>3297</v>
      </c>
      <c r="F1734" s="22">
        <v>33.690296649700002</v>
      </c>
      <c r="G1734" s="22">
        <v>44.796961393399997</v>
      </c>
      <c r="H1734" s="21" t="s">
        <v>3164</v>
      </c>
      <c r="I1734" s="21" t="s">
        <v>3228</v>
      </c>
      <c r="J1734" s="21" t="s">
        <v>3298</v>
      </c>
      <c r="K1734" s="24">
        <v>50</v>
      </c>
      <c r="L1734" s="24">
        <v>300</v>
      </c>
      <c r="M1734" s="23"/>
      <c r="N1734" s="23"/>
      <c r="O1734" s="23"/>
      <c r="P1734" s="23"/>
      <c r="Q1734" s="23"/>
      <c r="R1734" s="23">
        <v>50</v>
      </c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>
        <v>35</v>
      </c>
      <c r="AG1734" s="23"/>
      <c r="AH1734" s="23"/>
      <c r="AI1734" s="23"/>
      <c r="AJ1734" s="23"/>
      <c r="AK1734" s="23">
        <v>15</v>
      </c>
      <c r="AL1734" s="23"/>
      <c r="AM1734" s="23"/>
      <c r="AN1734" s="23"/>
      <c r="AO1734" s="23"/>
      <c r="AP1734" s="23"/>
      <c r="AQ1734" s="23">
        <v>50</v>
      </c>
      <c r="AR1734" s="23"/>
      <c r="AS1734" s="23"/>
      <c r="AT1734" s="23"/>
      <c r="AU1734" s="14" t="str">
        <f>HYPERLINK("http://www.openstreetmap.org/?mlat=33.5836&amp;mlon=45.0578&amp;zoom=12#map=12/33.5836/45.0578","Maplink1")</f>
        <v>Maplink1</v>
      </c>
      <c r="AV1734" s="14" t="str">
        <f>HYPERLINK("https://www.google.iq/maps/search/+33.5836,45.0578/@33.5836,45.0578,14z?hl=en","Maplink2")</f>
        <v>Maplink2</v>
      </c>
      <c r="AW1734" s="14" t="str">
        <f>HYPERLINK("http://www.bing.com/maps/?lvl=14&amp;sty=h&amp;cp=33.5836~45.0578&amp;sp=point.33.5836_45.0578_Kanaan","Maplink3")</f>
        <v>Maplink3</v>
      </c>
    </row>
    <row r="1735" spans="1:49" ht="15" customHeight="1" x14ac:dyDescent="0.25">
      <c r="A1735" s="21">
        <v>23709</v>
      </c>
      <c r="B1735" s="22" t="s">
        <v>14</v>
      </c>
      <c r="C1735" s="22" t="s">
        <v>3227</v>
      </c>
      <c r="D1735" s="22" t="s">
        <v>3310</v>
      </c>
      <c r="E1735" s="22" t="s">
        <v>3311</v>
      </c>
      <c r="F1735" s="22">
        <v>34.4562113645</v>
      </c>
      <c r="G1735" s="22">
        <v>44.929121990699997</v>
      </c>
      <c r="H1735" s="21" t="s">
        <v>3164</v>
      </c>
      <c r="I1735" s="21" t="s">
        <v>3228</v>
      </c>
      <c r="J1735" s="21" t="s">
        <v>3312</v>
      </c>
      <c r="K1735" s="24">
        <v>98</v>
      </c>
      <c r="L1735" s="24">
        <v>588</v>
      </c>
      <c r="M1735" s="23">
        <v>82</v>
      </c>
      <c r="N1735" s="23"/>
      <c r="O1735" s="23"/>
      <c r="P1735" s="23"/>
      <c r="Q1735" s="23"/>
      <c r="R1735" s="23">
        <v>16</v>
      </c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>
        <v>98</v>
      </c>
      <c r="AG1735" s="23"/>
      <c r="AH1735" s="23"/>
      <c r="AI1735" s="23"/>
      <c r="AJ1735" s="23"/>
      <c r="AK1735" s="23"/>
      <c r="AL1735" s="23"/>
      <c r="AM1735" s="23"/>
      <c r="AN1735" s="23"/>
      <c r="AO1735" s="23">
        <v>82</v>
      </c>
      <c r="AP1735" s="23">
        <v>16</v>
      </c>
      <c r="AQ1735" s="23"/>
      <c r="AR1735" s="23"/>
      <c r="AS1735" s="23"/>
      <c r="AT1735" s="23"/>
      <c r="AU1735" s="14" t="str">
        <f>HYPERLINK("http://www.openstreetmap.org/?mlat=33.6206&amp;mlon=44.5057&amp;zoom=12#map=12/33.6206/44.5057","Maplink1")</f>
        <v>Maplink1</v>
      </c>
      <c r="AV1735" s="14" t="str">
        <f>HYPERLINK("https://www.google.iq/maps/search/+33.6206,44.5057/@33.6206,44.5057,14z?hl=en","Maplink2")</f>
        <v>Maplink2</v>
      </c>
      <c r="AW1735" s="14" t="str">
        <f>HYPERLINK("http://www.bing.com/maps/?lvl=14&amp;sty=h&amp;cp=33.6206~44.5057&amp;sp=point.33.6206_44.5057_Mohamed sakran","Maplink3")</f>
        <v>Maplink3</v>
      </c>
    </row>
    <row r="1736" spans="1:49" ht="15" customHeight="1" x14ac:dyDescent="0.25">
      <c r="A1736" s="21">
        <v>24776</v>
      </c>
      <c r="B1736" s="22" t="s">
        <v>14</v>
      </c>
      <c r="C1736" s="22" t="s">
        <v>3227</v>
      </c>
      <c r="D1736" s="22" t="s">
        <v>3313</v>
      </c>
      <c r="E1736" s="22" t="s">
        <v>8710</v>
      </c>
      <c r="F1736" s="22">
        <v>33.751054481200001</v>
      </c>
      <c r="G1736" s="22">
        <v>44.663778428000001</v>
      </c>
      <c r="H1736" s="21" t="s">
        <v>3164</v>
      </c>
      <c r="I1736" s="21" t="s">
        <v>3228</v>
      </c>
      <c r="J1736" s="21"/>
      <c r="K1736" s="24">
        <v>200</v>
      </c>
      <c r="L1736" s="24">
        <v>1200</v>
      </c>
      <c r="M1736" s="23"/>
      <c r="N1736" s="23"/>
      <c r="O1736" s="23"/>
      <c r="P1736" s="23"/>
      <c r="Q1736" s="23"/>
      <c r="R1736" s="23">
        <v>200</v>
      </c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>
        <v>200</v>
      </c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23">
        <v>200</v>
      </c>
      <c r="AS1736" s="23"/>
      <c r="AT1736" s="23"/>
      <c r="AU1736" s="14" t="str">
        <f>HYPERLINK("http://www.openstreetmap.org/?mlat=33.7567&amp;mlon=44.6801&amp;zoom=12#map=12/33.7567/44.6801","Maplink1")</f>
        <v>Maplink1</v>
      </c>
      <c r="AV1736" s="14" t="str">
        <f>HYPERLINK("https://www.google.iq/maps/search/+33.7567,44.6801/@33.7567,44.6801,14z?hl=en","Maplink2")</f>
        <v>Maplink2</v>
      </c>
      <c r="AW1736" s="14" t="str">
        <f>HYPERLINK("http://www.bing.com/maps/?lvl=14&amp;sty=h&amp;cp=33.7567~44.6801&amp;sp=point.33.7567_44.6801_Muskar Saad Camp","Maplink3")</f>
        <v>Maplink3</v>
      </c>
    </row>
    <row r="1737" spans="1:49" ht="15" customHeight="1" x14ac:dyDescent="0.25">
      <c r="A1737" s="21">
        <v>11208</v>
      </c>
      <c r="B1737" s="22" t="s">
        <v>14</v>
      </c>
      <c r="C1737" s="22" t="s">
        <v>3227</v>
      </c>
      <c r="D1737" s="22" t="s">
        <v>8711</v>
      </c>
      <c r="E1737" s="22" t="s">
        <v>3314</v>
      </c>
      <c r="F1737" s="22">
        <v>33.751573290499998</v>
      </c>
      <c r="G1737" s="22">
        <v>44.664129574500002</v>
      </c>
      <c r="H1737" s="21" t="s">
        <v>3164</v>
      </c>
      <c r="I1737" s="21" t="s">
        <v>3228</v>
      </c>
      <c r="J1737" s="21" t="s">
        <v>3315</v>
      </c>
      <c r="K1737" s="24">
        <v>70</v>
      </c>
      <c r="L1737" s="24">
        <v>420</v>
      </c>
      <c r="M1737" s="23"/>
      <c r="N1737" s="23"/>
      <c r="O1737" s="23"/>
      <c r="P1737" s="23"/>
      <c r="Q1737" s="23"/>
      <c r="R1737" s="23">
        <v>70</v>
      </c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>
        <v>70</v>
      </c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/>
      <c r="AR1737" s="23">
        <v>70</v>
      </c>
      <c r="AS1737" s="23"/>
      <c r="AT1737" s="23"/>
      <c r="AU1737" s="14" t="str">
        <f>HYPERLINK("http://www.openstreetmap.org/?mlat=33.7572&amp;mlon=44.6742&amp;zoom=12#map=12/33.7572/44.6742","Maplink1")</f>
        <v>Maplink1</v>
      </c>
      <c r="AV1737" s="14" t="str">
        <f>HYPERLINK("https://www.google.iq/maps/search/+33.7572,44.6742/@33.7572,44.6742,14z?hl=en","Maplink2")</f>
        <v>Maplink2</v>
      </c>
      <c r="AW1737" s="14" t="str">
        <f>HYPERLINK("http://www.bing.com/maps/?lvl=14&amp;sty=h&amp;cp=33.7572~44.6742&amp;sp=point.33.7572_44.6742_Muskar Saad Village","Maplink3")</f>
        <v>Maplink3</v>
      </c>
    </row>
    <row r="1738" spans="1:49" ht="15" customHeight="1" x14ac:dyDescent="0.25">
      <c r="A1738" s="21">
        <v>11426</v>
      </c>
      <c r="B1738" s="22" t="s">
        <v>14</v>
      </c>
      <c r="C1738" s="22" t="s">
        <v>3227</v>
      </c>
      <c r="D1738" s="22" t="s">
        <v>8712</v>
      </c>
      <c r="E1738" s="22" t="s">
        <v>3259</v>
      </c>
      <c r="F1738" s="22">
        <v>33.750594470400003</v>
      </c>
      <c r="G1738" s="22">
        <v>44.615930645600002</v>
      </c>
      <c r="H1738" s="21" t="s">
        <v>3164</v>
      </c>
      <c r="I1738" s="21" t="s">
        <v>3228</v>
      </c>
      <c r="J1738" s="21" t="s">
        <v>3260</v>
      </c>
      <c r="K1738" s="24">
        <v>103</v>
      </c>
      <c r="L1738" s="24">
        <v>618</v>
      </c>
      <c r="M1738" s="23"/>
      <c r="N1738" s="23"/>
      <c r="O1738" s="23"/>
      <c r="P1738" s="23"/>
      <c r="Q1738" s="23"/>
      <c r="R1738" s="23">
        <v>103</v>
      </c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>
        <v>73</v>
      </c>
      <c r="AG1738" s="23"/>
      <c r="AH1738" s="23"/>
      <c r="AI1738" s="23"/>
      <c r="AJ1738" s="23"/>
      <c r="AK1738" s="23">
        <v>30</v>
      </c>
      <c r="AL1738" s="23"/>
      <c r="AM1738" s="23"/>
      <c r="AN1738" s="23"/>
      <c r="AO1738" s="23"/>
      <c r="AP1738" s="23"/>
      <c r="AQ1738" s="23"/>
      <c r="AR1738" s="23">
        <v>103</v>
      </c>
      <c r="AS1738" s="23"/>
      <c r="AT1738" s="23"/>
      <c r="AU1738" s="14" t="str">
        <f>HYPERLINK("http://www.openstreetmap.org/?mlat=33.63&amp;mlon=44.42&amp;zoom=12#map=12/33.63/44.42","Maplink1")</f>
        <v>Maplink1</v>
      </c>
      <c r="AV1738" s="14" t="str">
        <f>HYPERLINK("https://www.google.iq/maps/search/+33.63,44.42/@33.63,44.42,14z?hl=en","Maplink2")</f>
        <v>Maplink2</v>
      </c>
      <c r="AW1738" s="14" t="str">
        <f>HYPERLINK("http://www.bing.com/maps/?lvl=14&amp;sty=h&amp;cp=33.63~44.42&amp;sp=point.33.63_44.42_Al-Hajiyah River","Maplink3")</f>
        <v>Maplink3</v>
      </c>
    </row>
    <row r="1739" spans="1:49" ht="15" customHeight="1" x14ac:dyDescent="0.25">
      <c r="A1739" s="21">
        <v>24919</v>
      </c>
      <c r="B1739" s="22" t="s">
        <v>14</v>
      </c>
      <c r="C1739" s="22" t="s">
        <v>3227</v>
      </c>
      <c r="D1739" s="22" t="s">
        <v>3316</v>
      </c>
      <c r="E1739" s="22" t="s">
        <v>3317</v>
      </c>
      <c r="F1739" s="22">
        <v>33.800422700600002</v>
      </c>
      <c r="G1739" s="22">
        <v>44.672922078900001</v>
      </c>
      <c r="H1739" s="21" t="s">
        <v>3164</v>
      </c>
      <c r="I1739" s="21" t="s">
        <v>3228</v>
      </c>
      <c r="J1739" s="21"/>
      <c r="K1739" s="24">
        <v>18</v>
      </c>
      <c r="L1739" s="24">
        <v>108</v>
      </c>
      <c r="M1739" s="23"/>
      <c r="N1739" s="23"/>
      <c r="O1739" s="23"/>
      <c r="P1739" s="23"/>
      <c r="Q1739" s="23"/>
      <c r="R1739" s="23">
        <v>18</v>
      </c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>
        <v>18</v>
      </c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>
        <v>18</v>
      </c>
      <c r="AS1739" s="23"/>
      <c r="AT1739" s="23"/>
      <c r="AU1739" s="14" t="str">
        <f>HYPERLINK("http://www.openstreetmap.org/?mlat=33.7866&amp;mlon=44.6434&amp;zoom=12#map=12/33.7866/44.6434","Maplink1")</f>
        <v>Maplink1</v>
      </c>
      <c r="AV1739" s="14" t="str">
        <f>HYPERLINK("https://www.google.iq/maps/search/+33.7866,44.6434/@33.7866,44.6434,14z?hl=en","Maplink2")</f>
        <v>Maplink2</v>
      </c>
      <c r="AW1739" s="14" t="str">
        <f>HYPERLINK("http://www.bing.com/maps/?lvl=14&amp;sty=h&amp;cp=33.7866~44.6434&amp;sp=point.33.7866_44.6434_Nahr Alshikh Village","Maplink3")</f>
        <v>Maplink3</v>
      </c>
    </row>
    <row r="1740" spans="1:49" ht="15" customHeight="1" x14ac:dyDescent="0.25">
      <c r="A1740" s="21">
        <v>25043</v>
      </c>
      <c r="B1740" s="22" t="s">
        <v>14</v>
      </c>
      <c r="C1740" s="22" t="s">
        <v>3227</v>
      </c>
      <c r="D1740" s="22" t="s">
        <v>8713</v>
      </c>
      <c r="E1740" s="22" t="s">
        <v>3305</v>
      </c>
      <c r="F1740" s="22">
        <v>33.6369044817</v>
      </c>
      <c r="G1740" s="22">
        <v>44.814349297500002</v>
      </c>
      <c r="H1740" s="21" t="s">
        <v>3164</v>
      </c>
      <c r="I1740" s="21" t="s">
        <v>3228</v>
      </c>
      <c r="J1740" s="21"/>
      <c r="K1740" s="24">
        <v>20</v>
      </c>
      <c r="L1740" s="24">
        <v>120</v>
      </c>
      <c r="M1740" s="23"/>
      <c r="N1740" s="23"/>
      <c r="O1740" s="23"/>
      <c r="P1740" s="23"/>
      <c r="Q1740" s="23"/>
      <c r="R1740" s="23">
        <v>20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>
        <v>20</v>
      </c>
      <c r="AL1740" s="23"/>
      <c r="AM1740" s="23"/>
      <c r="AN1740" s="23"/>
      <c r="AO1740" s="23"/>
      <c r="AP1740" s="23"/>
      <c r="AQ1740" s="23"/>
      <c r="AR1740" s="23">
        <v>20</v>
      </c>
      <c r="AS1740" s="23"/>
      <c r="AT1740" s="23"/>
      <c r="AU1740" s="14" t="str">
        <f>HYPERLINK("http://www.openstreetmap.org/?mlat=33.7022&amp;mlon=44.7832&amp;zoom=12#map=12/33.7022/44.7832","Maplink1")</f>
        <v>Maplink1</v>
      </c>
      <c r="AV1740" s="14" t="str">
        <f>HYPERLINK("https://www.google.iq/maps/search/+33.7022,44.7832/@33.7022,44.7832,14z?hl=en","Maplink2")</f>
        <v>Maplink2</v>
      </c>
      <c r="AW1740" s="14" t="str">
        <f>HYPERLINK("http://www.bing.com/maps/?lvl=14&amp;sty=h&amp;cp=33.7022~44.7832&amp;sp=point.33.7022_44.7832_Kanaan-Nahr Ibraheem Village","Maplink3")</f>
        <v>Maplink3</v>
      </c>
    </row>
    <row r="1741" spans="1:49" ht="15" customHeight="1" x14ac:dyDescent="0.25">
      <c r="A1741" s="21">
        <v>25053</v>
      </c>
      <c r="B1741" s="22" t="s">
        <v>14</v>
      </c>
      <c r="C1741" s="22" t="s">
        <v>3227</v>
      </c>
      <c r="D1741" s="22" t="s">
        <v>8714</v>
      </c>
      <c r="E1741" s="22" t="s">
        <v>3306</v>
      </c>
      <c r="F1741" s="22">
        <v>33.740680046000001</v>
      </c>
      <c r="G1741" s="22">
        <v>44.811379493600001</v>
      </c>
      <c r="H1741" s="21" t="s">
        <v>3164</v>
      </c>
      <c r="I1741" s="21" t="s">
        <v>3228</v>
      </c>
      <c r="J1741" s="21"/>
      <c r="K1741" s="24">
        <v>11</v>
      </c>
      <c r="L1741" s="24">
        <v>66</v>
      </c>
      <c r="M1741" s="23"/>
      <c r="N1741" s="23"/>
      <c r="O1741" s="23"/>
      <c r="P1741" s="23"/>
      <c r="Q1741" s="23"/>
      <c r="R1741" s="23">
        <v>11</v>
      </c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>
        <v>11</v>
      </c>
      <c r="AL1741" s="23"/>
      <c r="AM1741" s="23"/>
      <c r="AN1741" s="23"/>
      <c r="AO1741" s="23"/>
      <c r="AP1741" s="23"/>
      <c r="AQ1741" s="23"/>
      <c r="AR1741" s="23">
        <v>11</v>
      </c>
      <c r="AS1741" s="23"/>
      <c r="AT1741" s="23"/>
      <c r="AU1741" s="14" t="str">
        <f>HYPERLINK("http://www.openstreetmap.org/?mlat=33.6861&amp;mlon=44.8438&amp;zoom=12#map=12/33.6861/44.8438","Maplink1")</f>
        <v>Maplink1</v>
      </c>
      <c r="AV1741" s="14" t="str">
        <f>HYPERLINK("https://www.google.iq/maps/search/+33.6861,44.8438/@33.6861,44.8438,14z?hl=en","Maplink2")</f>
        <v>Maplink2</v>
      </c>
      <c r="AW1741" s="14" t="str">
        <f>HYPERLINK("http://www.bing.com/maps/?lvl=14&amp;sty=h&amp;cp=33.6861~44.8438&amp;sp=point.33.6861_44.8438_Kanaan-Nahr Shekh Tamem Village","Maplink3")</f>
        <v>Maplink3</v>
      </c>
    </row>
    <row r="1742" spans="1:49" ht="15" customHeight="1" x14ac:dyDescent="0.25">
      <c r="A1742" s="21">
        <v>25466</v>
      </c>
      <c r="B1742" s="22" t="s">
        <v>14</v>
      </c>
      <c r="C1742" s="22" t="s">
        <v>3227</v>
      </c>
      <c r="D1742" s="22" t="s">
        <v>3318</v>
      </c>
      <c r="E1742" s="22" t="s">
        <v>3319</v>
      </c>
      <c r="F1742" s="22">
        <v>33.749491643399999</v>
      </c>
      <c r="G1742" s="22">
        <v>44.623125648299997</v>
      </c>
      <c r="H1742" s="21" t="s">
        <v>3164</v>
      </c>
      <c r="I1742" s="21" t="s">
        <v>3228</v>
      </c>
      <c r="J1742" s="21"/>
      <c r="K1742" s="24">
        <v>53</v>
      </c>
      <c r="L1742" s="24">
        <v>318</v>
      </c>
      <c r="M1742" s="23"/>
      <c r="N1742" s="23"/>
      <c r="O1742" s="23"/>
      <c r="P1742" s="23"/>
      <c r="Q1742" s="23"/>
      <c r="R1742" s="23">
        <v>53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53</v>
      </c>
      <c r="AL1742" s="23"/>
      <c r="AM1742" s="23"/>
      <c r="AN1742" s="23"/>
      <c r="AO1742" s="23"/>
      <c r="AP1742" s="23">
        <v>53</v>
      </c>
      <c r="AQ1742" s="23"/>
      <c r="AR1742" s="23"/>
      <c r="AS1742" s="23"/>
      <c r="AT1742" s="23"/>
      <c r="AU1742" s="14" t="str">
        <f>HYPERLINK("http://www.openstreetmap.org/?mlat=33.7476&amp;mlon=44.6245&amp;zoom=12#map=12/33.7476/44.6245","Maplink1")</f>
        <v>Maplink1</v>
      </c>
      <c r="AV1742" s="14" t="str">
        <f>HYPERLINK("https://www.google.iq/maps/search/+33.7476,44.6245/@33.7476,44.6245,14z?hl=en","Maplink2")</f>
        <v>Maplink2</v>
      </c>
      <c r="AW1742" s="14" t="str">
        <f>HYPERLINK("http://www.bing.com/maps/?lvl=14&amp;sty=h&amp;cp=33.7476~44.6245&amp;sp=point.33.7476_44.6245_New Baquba Qtr","Maplink3")</f>
        <v>Maplink3</v>
      </c>
    </row>
    <row r="1743" spans="1:49" ht="15" customHeight="1" x14ac:dyDescent="0.25">
      <c r="A1743" s="21">
        <v>25042</v>
      </c>
      <c r="B1743" s="22" t="s">
        <v>14</v>
      </c>
      <c r="C1743" s="22" t="s">
        <v>3227</v>
      </c>
      <c r="D1743" s="22" t="s">
        <v>8715</v>
      </c>
      <c r="E1743" s="22" t="s">
        <v>3307</v>
      </c>
      <c r="F1743" s="22">
        <v>33.620441405800001</v>
      </c>
      <c r="G1743" s="22">
        <v>44.815347959500002</v>
      </c>
      <c r="H1743" s="21" t="s">
        <v>3164</v>
      </c>
      <c r="I1743" s="21" t="s">
        <v>3228</v>
      </c>
      <c r="J1743" s="21"/>
      <c r="K1743" s="24">
        <v>20</v>
      </c>
      <c r="L1743" s="24">
        <v>120</v>
      </c>
      <c r="M1743" s="23"/>
      <c r="N1743" s="23"/>
      <c r="O1743" s="23"/>
      <c r="P1743" s="23"/>
      <c r="Q1743" s="23"/>
      <c r="R1743" s="23">
        <v>20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>
        <v>20</v>
      </c>
      <c r="AL1743" s="23"/>
      <c r="AM1743" s="23"/>
      <c r="AN1743" s="23"/>
      <c r="AO1743" s="23"/>
      <c r="AP1743" s="23"/>
      <c r="AQ1743" s="23"/>
      <c r="AR1743" s="23">
        <v>20</v>
      </c>
      <c r="AS1743" s="23"/>
      <c r="AT1743" s="23"/>
      <c r="AU1743" s="14" t="str">
        <f>HYPERLINK("http://www.openstreetmap.org/?mlat=33.7089&amp;mlon=44.8088&amp;zoom=12#map=12/33.7089/44.8088","Maplink1")</f>
        <v>Maplink1</v>
      </c>
      <c r="AV1743" s="14" t="str">
        <f>HYPERLINK("https://www.google.iq/maps/search/+33.7089,44.8088/@33.7089,44.8088,14z?hl=en","Maplink2")</f>
        <v>Maplink2</v>
      </c>
      <c r="AW1743" s="14" t="str">
        <f>HYPERLINK("http://www.bing.com/maps/?lvl=14&amp;sty=h&amp;cp=33.7089~44.8088&amp;sp=point.33.7089_44.8088_Kanaan-Sesbana Village","Maplink3")</f>
        <v>Maplink3</v>
      </c>
    </row>
    <row r="1744" spans="1:49" ht="15" customHeight="1" x14ac:dyDescent="0.25">
      <c r="A1744" s="21">
        <v>11212</v>
      </c>
      <c r="B1744" s="22" t="s">
        <v>14</v>
      </c>
      <c r="C1744" s="22" t="s">
        <v>3227</v>
      </c>
      <c r="D1744" s="22" t="s">
        <v>3320</v>
      </c>
      <c r="E1744" s="22" t="s">
        <v>3321</v>
      </c>
      <c r="F1744" s="22">
        <v>33.740384660700002</v>
      </c>
      <c r="G1744" s="22">
        <v>44.636594700400003</v>
      </c>
      <c r="H1744" s="21" t="s">
        <v>3164</v>
      </c>
      <c r="I1744" s="21" t="s">
        <v>3228</v>
      </c>
      <c r="J1744" s="21" t="s">
        <v>3322</v>
      </c>
      <c r="K1744" s="24">
        <v>8</v>
      </c>
      <c r="L1744" s="24">
        <v>48</v>
      </c>
      <c r="M1744" s="23"/>
      <c r="N1744" s="23"/>
      <c r="O1744" s="23"/>
      <c r="P1744" s="23"/>
      <c r="Q1744" s="23"/>
      <c r="R1744" s="23">
        <v>8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>
        <v>8</v>
      </c>
      <c r="AL1744" s="23"/>
      <c r="AM1744" s="23"/>
      <c r="AN1744" s="23"/>
      <c r="AO1744" s="23"/>
      <c r="AP1744" s="23"/>
      <c r="AQ1744" s="23"/>
      <c r="AR1744" s="23">
        <v>8</v>
      </c>
      <c r="AS1744" s="23"/>
      <c r="AT1744" s="23"/>
      <c r="AU1744" s="14" t="str">
        <f>HYPERLINK("http://www.openstreetmap.org/?mlat=33.755&amp;mlon=44.6458&amp;zoom=12#map=12/33.755/44.6458","Maplink1")</f>
        <v>Maplink1</v>
      </c>
      <c r="AV1744" s="14" t="str">
        <f>HYPERLINK("https://www.google.iq/maps/search/+33.755,44.6458/@33.755,44.6458,14z?hl=en","Maplink2")</f>
        <v>Maplink2</v>
      </c>
      <c r="AW1744" s="14" t="str">
        <f>HYPERLINK("http://www.bing.com/maps/?lvl=14&amp;sty=h&amp;cp=33.755~44.6458&amp;sp=point.33.755_44.6458_Shiftah Village","Maplink3")</f>
        <v>Maplink3</v>
      </c>
    </row>
    <row r="1745" spans="1:49" ht="15" customHeight="1" x14ac:dyDescent="0.25">
      <c r="A1745" s="21">
        <v>24914</v>
      </c>
      <c r="B1745" s="22" t="s">
        <v>14</v>
      </c>
      <c r="C1745" s="22" t="s">
        <v>3227</v>
      </c>
      <c r="D1745" s="22" t="s">
        <v>3323</v>
      </c>
      <c r="E1745" s="22" t="s">
        <v>3324</v>
      </c>
      <c r="F1745" s="22">
        <v>33.718614676000001</v>
      </c>
      <c r="G1745" s="22">
        <v>44.622481008999998</v>
      </c>
      <c r="H1745" s="21" t="s">
        <v>3164</v>
      </c>
      <c r="I1745" s="21" t="s">
        <v>3228</v>
      </c>
      <c r="J1745" s="21"/>
      <c r="K1745" s="24">
        <v>60</v>
      </c>
      <c r="L1745" s="24">
        <v>360</v>
      </c>
      <c r="M1745" s="23"/>
      <c r="N1745" s="23"/>
      <c r="O1745" s="23"/>
      <c r="P1745" s="23"/>
      <c r="Q1745" s="23"/>
      <c r="R1745" s="23">
        <v>60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>
        <v>23</v>
      </c>
      <c r="AG1745" s="23"/>
      <c r="AH1745" s="23"/>
      <c r="AI1745" s="23"/>
      <c r="AJ1745" s="23"/>
      <c r="AK1745" s="23">
        <v>37</v>
      </c>
      <c r="AL1745" s="23"/>
      <c r="AM1745" s="23"/>
      <c r="AN1745" s="23"/>
      <c r="AO1745" s="23"/>
      <c r="AP1745" s="23"/>
      <c r="AQ1745" s="23"/>
      <c r="AR1745" s="23">
        <v>60</v>
      </c>
      <c r="AS1745" s="23"/>
      <c r="AT1745" s="23"/>
      <c r="AU1745" s="14" t="str">
        <f>HYPERLINK("http://www.openstreetmap.org/?mlat=33.7203&amp;mlon=44.6377&amp;zoom=12#map=12/33.7203/44.6377","Maplink1")</f>
        <v>Maplink1</v>
      </c>
      <c r="AV1745" s="14" t="str">
        <f>HYPERLINK("https://www.google.iq/maps/search/+33.7203,44.6377/@33.7203,44.6377,14z?hl=en","Maplink2")</f>
        <v>Maplink2</v>
      </c>
      <c r="AW1745" s="14" t="str">
        <f>HYPERLINK("http://www.bing.com/maps/?lvl=14&amp;sty=h&amp;cp=33.7203~44.6377&amp;sp=point.33.7203_44.6377_Um Al Edam Village","Maplink3")</f>
        <v>Maplink3</v>
      </c>
    </row>
    <row r="1746" spans="1:49" ht="15" customHeight="1" x14ac:dyDescent="0.25">
      <c r="A1746" s="21">
        <v>11214</v>
      </c>
      <c r="B1746" s="22" t="s">
        <v>14</v>
      </c>
      <c r="C1746" s="22" t="s">
        <v>3227</v>
      </c>
      <c r="D1746" s="22" t="s">
        <v>3325</v>
      </c>
      <c r="E1746" s="22" t="s">
        <v>3326</v>
      </c>
      <c r="F1746" s="22">
        <v>33.811577058600001</v>
      </c>
      <c r="G1746" s="22">
        <v>44.677217256600002</v>
      </c>
      <c r="H1746" s="21" t="s">
        <v>3164</v>
      </c>
      <c r="I1746" s="21" t="s">
        <v>3228</v>
      </c>
      <c r="J1746" s="21" t="s">
        <v>3327</v>
      </c>
      <c r="K1746" s="24">
        <v>52</v>
      </c>
      <c r="L1746" s="24">
        <v>312</v>
      </c>
      <c r="M1746" s="23"/>
      <c r="N1746" s="23"/>
      <c r="O1746" s="23"/>
      <c r="P1746" s="23"/>
      <c r="Q1746" s="23"/>
      <c r="R1746" s="23">
        <v>52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>
        <v>52</v>
      </c>
      <c r="AG1746" s="23"/>
      <c r="AH1746" s="23"/>
      <c r="AI1746" s="23"/>
      <c r="AJ1746" s="23"/>
      <c r="AK1746" s="23"/>
      <c r="AL1746" s="23"/>
      <c r="AM1746" s="23"/>
      <c r="AN1746" s="23"/>
      <c r="AO1746" s="23"/>
      <c r="AP1746" s="23"/>
      <c r="AQ1746" s="23"/>
      <c r="AR1746" s="23">
        <v>52</v>
      </c>
      <c r="AS1746" s="23"/>
      <c r="AT1746" s="23"/>
      <c r="AU1746" s="14" t="str">
        <f>HYPERLINK("http://www.openstreetmap.org/?mlat=33.7708&amp;mlon=44.6888&amp;zoom=12#map=12/33.7708/44.6888","Maplink1")</f>
        <v>Maplink1</v>
      </c>
      <c r="AV1746" s="14" t="str">
        <f>HYPERLINK("https://www.google.iq/maps/search/+33.7708,44.6888/@33.7708,44.6888,14z?hl=en","Maplink2")</f>
        <v>Maplink2</v>
      </c>
      <c r="AW1746" s="14" t="str">
        <f>HYPERLINK("http://www.bing.com/maps/?lvl=14&amp;sty=h&amp;cp=33.7708~44.6888&amp;sp=point.33.7708_44.6888_Zahrah Village","Maplink3")</f>
        <v>Maplink3</v>
      </c>
    </row>
    <row r="1747" spans="1:49" ht="15" customHeight="1" x14ac:dyDescent="0.25">
      <c r="A1747" s="21">
        <v>11230</v>
      </c>
      <c r="B1747" s="22" t="s">
        <v>14</v>
      </c>
      <c r="C1747" s="22" t="s">
        <v>3328</v>
      </c>
      <c r="D1747" s="22" t="s">
        <v>8716</v>
      </c>
      <c r="E1747" s="22" t="s">
        <v>3329</v>
      </c>
      <c r="F1747" s="22">
        <v>33.703191027899997</v>
      </c>
      <c r="G1747" s="22">
        <v>45.072117436900001</v>
      </c>
      <c r="H1747" s="21" t="s">
        <v>3164</v>
      </c>
      <c r="I1747" s="21" t="s">
        <v>3330</v>
      </c>
      <c r="J1747" s="21" t="s">
        <v>3331</v>
      </c>
      <c r="K1747" s="24">
        <v>8</v>
      </c>
      <c r="L1747" s="24">
        <v>48</v>
      </c>
      <c r="M1747" s="23"/>
      <c r="N1747" s="23"/>
      <c r="O1747" s="23"/>
      <c r="P1747" s="23"/>
      <c r="Q1747" s="23"/>
      <c r="R1747" s="23">
        <v>8</v>
      </c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>
        <v>8</v>
      </c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>
        <v>8</v>
      </c>
      <c r="AQ1747" s="23"/>
      <c r="AR1747" s="23"/>
      <c r="AS1747" s="23"/>
      <c r="AT1747" s="23"/>
      <c r="AU1747" s="14" t="str">
        <f>HYPERLINK("http://www.openstreetmap.org/?mlat=33.7009&amp;mlon=45.0917&amp;zoom=12#map=12/33.7009/45.0917","Maplink1")</f>
        <v>Maplink1</v>
      </c>
      <c r="AV1747" s="14" t="str">
        <f>HYPERLINK("https://www.google.iq/maps/search/+33.7009,45.0917/@33.7009,45.0917,14z?hl=en","Maplink2")</f>
        <v>Maplink2</v>
      </c>
      <c r="AW1747" s="14" t="str">
        <f>HYPERLINK("http://www.bing.com/maps/?lvl=14&amp;sty=h&amp;cp=33.7009~45.0917&amp;sp=point.33.7009_45.0917_Al Bazaniya","Maplink3")</f>
        <v>Maplink3</v>
      </c>
    </row>
    <row r="1748" spans="1:49" ht="15" customHeight="1" x14ac:dyDescent="0.25">
      <c r="A1748" s="21">
        <v>11338</v>
      </c>
      <c r="B1748" s="22" t="s">
        <v>14</v>
      </c>
      <c r="C1748" s="22" t="s">
        <v>3328</v>
      </c>
      <c r="D1748" s="22" t="s">
        <v>3332</v>
      </c>
      <c r="E1748" s="22" t="s">
        <v>3299</v>
      </c>
      <c r="F1748" s="22">
        <v>33.692334542600001</v>
      </c>
      <c r="G1748" s="22">
        <v>45.065061484099999</v>
      </c>
      <c r="H1748" s="21" t="s">
        <v>3164</v>
      </c>
      <c r="I1748" s="21" t="s">
        <v>3330</v>
      </c>
      <c r="J1748" s="21" t="s">
        <v>3333</v>
      </c>
      <c r="K1748" s="24">
        <v>20</v>
      </c>
      <c r="L1748" s="24">
        <v>120</v>
      </c>
      <c r="M1748" s="23"/>
      <c r="N1748" s="23"/>
      <c r="O1748" s="23"/>
      <c r="P1748" s="23"/>
      <c r="Q1748" s="23"/>
      <c r="R1748" s="23">
        <v>20</v>
      </c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>
        <v>20</v>
      </c>
      <c r="AL1748" s="23"/>
      <c r="AM1748" s="23"/>
      <c r="AN1748" s="23"/>
      <c r="AO1748" s="23"/>
      <c r="AP1748" s="23">
        <v>20</v>
      </c>
      <c r="AQ1748" s="23"/>
      <c r="AR1748" s="23"/>
      <c r="AS1748" s="23"/>
      <c r="AT1748" s="23"/>
      <c r="AU1748" s="14" t="str">
        <f>HYPERLINK("http://www.openstreetmap.org/?mlat=33.6924&amp;mlon=45.0658&amp;zoom=12#map=12/33.6924/45.0658","Maplink1")</f>
        <v>Maplink1</v>
      </c>
      <c r="AV1748" s="14" t="str">
        <f>HYPERLINK("https://www.google.iq/maps/search/+33.6924,45.0658/@33.6924,45.0658,14z?hl=en","Maplink2")</f>
        <v>Maplink2</v>
      </c>
      <c r="AW1748" s="14" t="str">
        <f>HYPERLINK("http://www.bing.com/maps/?lvl=14&amp;sty=h&amp;cp=33.6924~45.0658&amp;sp=point.33.6924_45.0658_Al-Asri Qtr","Maplink3")</f>
        <v>Maplink3</v>
      </c>
    </row>
    <row r="1749" spans="1:49" ht="15" customHeight="1" x14ac:dyDescent="0.25">
      <c r="A1749" s="21">
        <v>25242</v>
      </c>
      <c r="B1749" s="22" t="s">
        <v>14</v>
      </c>
      <c r="C1749" s="22" t="s">
        <v>3328</v>
      </c>
      <c r="D1749" s="22" t="s">
        <v>3334</v>
      </c>
      <c r="E1749" s="22" t="s">
        <v>3335</v>
      </c>
      <c r="F1749" s="22">
        <v>33.697257167700002</v>
      </c>
      <c r="G1749" s="22">
        <v>45.077524725300002</v>
      </c>
      <c r="H1749" s="21" t="s">
        <v>3164</v>
      </c>
      <c r="I1749" s="21" t="s">
        <v>3330</v>
      </c>
      <c r="J1749" s="21"/>
      <c r="K1749" s="24">
        <v>8</v>
      </c>
      <c r="L1749" s="24">
        <v>48</v>
      </c>
      <c r="M1749" s="23"/>
      <c r="N1749" s="23"/>
      <c r="O1749" s="23"/>
      <c r="P1749" s="23"/>
      <c r="Q1749" s="23"/>
      <c r="R1749" s="23">
        <v>8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>
        <v>8</v>
      </c>
      <c r="AG1749" s="23"/>
      <c r="AH1749" s="23"/>
      <c r="AI1749" s="23"/>
      <c r="AJ1749" s="23"/>
      <c r="AK1749" s="23"/>
      <c r="AL1749" s="23"/>
      <c r="AM1749" s="23"/>
      <c r="AN1749" s="23"/>
      <c r="AO1749" s="23"/>
      <c r="AP1749" s="23">
        <v>8</v>
      </c>
      <c r="AQ1749" s="23"/>
      <c r="AR1749" s="23"/>
      <c r="AS1749" s="23"/>
      <c r="AT1749" s="23"/>
      <c r="AU1749" s="14" t="str">
        <f>HYPERLINK("http://www.openstreetmap.org/?mlat=33.6997&amp;mlon=45.0776&amp;zoom=12#map=12/33.6997/45.0776","Maplink1")</f>
        <v>Maplink1</v>
      </c>
      <c r="AV1749" s="14" t="str">
        <f>HYPERLINK("https://www.google.iq/maps/search/+33.6997,45.0776/@33.6997,45.0776,14z?hl=en","Maplink2")</f>
        <v>Maplink2</v>
      </c>
      <c r="AW1749" s="14" t="str">
        <f>HYPERLINK("http://www.bing.com/maps/?lvl=14&amp;sty=h&amp;cp=33.6997~45.0776&amp;sp=point.33.6997_45.0776_Al-Awadl Village","Maplink3")</f>
        <v>Maplink3</v>
      </c>
    </row>
    <row r="1750" spans="1:49" ht="15" customHeight="1" x14ac:dyDescent="0.25">
      <c r="A1750" s="21">
        <v>25245</v>
      </c>
      <c r="B1750" s="22" t="s">
        <v>14</v>
      </c>
      <c r="C1750" s="22" t="s">
        <v>3328</v>
      </c>
      <c r="D1750" s="22" t="s">
        <v>3336</v>
      </c>
      <c r="E1750" s="22" t="s">
        <v>3337</v>
      </c>
      <c r="F1750" s="22">
        <v>33.695542984600003</v>
      </c>
      <c r="G1750" s="22">
        <v>45.077510056999998</v>
      </c>
      <c r="H1750" s="21" t="s">
        <v>3164</v>
      </c>
      <c r="I1750" s="21" t="s">
        <v>3330</v>
      </c>
      <c r="J1750" s="21"/>
      <c r="K1750" s="24">
        <v>5</v>
      </c>
      <c r="L1750" s="24">
        <v>30</v>
      </c>
      <c r="M1750" s="23"/>
      <c r="N1750" s="23"/>
      <c r="O1750" s="23"/>
      <c r="P1750" s="23"/>
      <c r="Q1750" s="23"/>
      <c r="R1750" s="23">
        <v>5</v>
      </c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/>
      <c r="AI1750" s="23"/>
      <c r="AJ1750" s="23"/>
      <c r="AK1750" s="23">
        <v>5</v>
      </c>
      <c r="AL1750" s="23"/>
      <c r="AM1750" s="23"/>
      <c r="AN1750" s="23"/>
      <c r="AO1750" s="23"/>
      <c r="AP1750" s="23">
        <v>5</v>
      </c>
      <c r="AQ1750" s="23"/>
      <c r="AR1750" s="23"/>
      <c r="AS1750" s="23"/>
      <c r="AT1750" s="23"/>
      <c r="AU1750" s="14" t="str">
        <f>HYPERLINK("http://www.openstreetmap.org/?mlat=33.6819&amp;mlon=45.0657&amp;zoom=12#map=12/33.6819/45.0657","Maplink1")</f>
        <v>Maplink1</v>
      </c>
      <c r="AV1750" s="14" t="str">
        <f>HYPERLINK("https://www.google.iq/maps/search/+33.6819,45.0657/@33.6819,45.0657,14z?hl=en","Maplink2")</f>
        <v>Maplink2</v>
      </c>
      <c r="AW1750" s="14" t="str">
        <f>HYPERLINK("http://www.bing.com/maps/?lvl=14&amp;sty=h&amp;cp=33.6819~45.0657&amp;sp=point.33.6819_45.0657_Al-Fadua Village","Maplink3")</f>
        <v>Maplink3</v>
      </c>
    </row>
    <row r="1751" spans="1:49" ht="15" customHeight="1" x14ac:dyDescent="0.25">
      <c r="A1751" s="21">
        <v>25233</v>
      </c>
      <c r="B1751" s="22" t="s">
        <v>14</v>
      </c>
      <c r="C1751" s="22" t="s">
        <v>3328</v>
      </c>
      <c r="D1751" s="22" t="s">
        <v>3338</v>
      </c>
      <c r="E1751" s="22" t="s">
        <v>3339</v>
      </c>
      <c r="F1751" s="22">
        <v>33.7006152095</v>
      </c>
      <c r="G1751" s="22">
        <v>45.059434818100002</v>
      </c>
      <c r="H1751" s="21" t="s">
        <v>3164</v>
      </c>
      <c r="I1751" s="21" t="s">
        <v>3330</v>
      </c>
      <c r="J1751" s="21"/>
      <c r="K1751" s="24">
        <v>16</v>
      </c>
      <c r="L1751" s="24">
        <v>96</v>
      </c>
      <c r="M1751" s="23"/>
      <c r="N1751" s="23"/>
      <c r="O1751" s="23"/>
      <c r="P1751" s="23"/>
      <c r="Q1751" s="23"/>
      <c r="R1751" s="23">
        <v>10</v>
      </c>
      <c r="S1751" s="23"/>
      <c r="T1751" s="23"/>
      <c r="U1751" s="23"/>
      <c r="V1751" s="23"/>
      <c r="W1751" s="23"/>
      <c r="X1751" s="23"/>
      <c r="Y1751" s="23"/>
      <c r="Z1751" s="23"/>
      <c r="AA1751" s="23">
        <v>6</v>
      </c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>
        <v>16</v>
      </c>
      <c r="AL1751" s="23"/>
      <c r="AM1751" s="23"/>
      <c r="AN1751" s="23"/>
      <c r="AO1751" s="23"/>
      <c r="AP1751" s="23">
        <v>16</v>
      </c>
      <c r="AQ1751" s="23"/>
      <c r="AR1751" s="23"/>
      <c r="AS1751" s="23"/>
      <c r="AT1751" s="23"/>
      <c r="AU1751" s="14" t="str">
        <f>HYPERLINK("http://www.openstreetmap.org/?mlat=33.7025&amp;mlon=45.0797&amp;zoom=12#map=12/33.7025/45.0797","Maplink1")</f>
        <v>Maplink1</v>
      </c>
      <c r="AV1751" s="14" t="str">
        <f>HYPERLINK("https://www.google.iq/maps/search/+33.7025,45.0797/@33.7025,45.0797,14z?hl=en","Maplink2")</f>
        <v>Maplink2</v>
      </c>
      <c r="AW1751" s="14" t="str">
        <f>HYPERLINK("http://www.bing.com/maps/?lvl=14&amp;sty=h&amp;cp=33.7025~45.0797&amp;sp=point.33.7025_45.0797_Al-Fath Qtr","Maplink3")</f>
        <v>Maplink3</v>
      </c>
    </row>
    <row r="1752" spans="1:49" ht="15" customHeight="1" x14ac:dyDescent="0.25">
      <c r="A1752" s="21">
        <v>25234</v>
      </c>
      <c r="B1752" s="22" t="s">
        <v>14</v>
      </c>
      <c r="C1752" s="22" t="s">
        <v>3328</v>
      </c>
      <c r="D1752" s="22" t="s">
        <v>3340</v>
      </c>
      <c r="E1752" s="22" t="s">
        <v>3341</v>
      </c>
      <c r="F1752" s="22">
        <v>34.418572002399998</v>
      </c>
      <c r="G1752" s="22">
        <v>44.920294402099998</v>
      </c>
      <c r="H1752" s="21" t="s">
        <v>3164</v>
      </c>
      <c r="I1752" s="21" t="s">
        <v>3330</v>
      </c>
      <c r="J1752" s="21"/>
      <c r="K1752" s="24">
        <v>7</v>
      </c>
      <c r="L1752" s="24">
        <v>42</v>
      </c>
      <c r="M1752" s="23"/>
      <c r="N1752" s="23"/>
      <c r="O1752" s="23"/>
      <c r="P1752" s="23"/>
      <c r="Q1752" s="23"/>
      <c r="R1752" s="23">
        <v>7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>
        <v>7</v>
      </c>
      <c r="AL1752" s="23"/>
      <c r="AM1752" s="23"/>
      <c r="AN1752" s="23"/>
      <c r="AO1752" s="23"/>
      <c r="AP1752" s="23">
        <v>7</v>
      </c>
      <c r="AQ1752" s="23"/>
      <c r="AR1752" s="23"/>
      <c r="AS1752" s="23"/>
      <c r="AT1752" s="23"/>
      <c r="AU1752" s="14" t="str">
        <f>HYPERLINK("http://www.openstreetmap.org/?mlat=33.7027&amp;mlon=45.0792&amp;zoom=12#map=12/33.7027/45.0792","Maplink1")</f>
        <v>Maplink1</v>
      </c>
      <c r="AV1752" s="14" t="str">
        <f>HYPERLINK("https://www.google.iq/maps/search/+33.7027,45.0792/@33.7027,45.0792,14z?hl=en","Maplink2")</f>
        <v>Maplink2</v>
      </c>
      <c r="AW1752" s="14" t="str">
        <f>HYPERLINK("http://www.bing.com/maps/?lvl=14&amp;sty=h&amp;cp=33.7027~45.0792&amp;sp=point.33.7027_45.0792_Al-Gadir1 Qtr","Maplink3")</f>
        <v>Maplink3</v>
      </c>
    </row>
    <row r="1753" spans="1:49" ht="15" customHeight="1" x14ac:dyDescent="0.25">
      <c r="A1753" s="21">
        <v>25235</v>
      </c>
      <c r="B1753" s="22" t="s">
        <v>14</v>
      </c>
      <c r="C1753" s="22" t="s">
        <v>3328</v>
      </c>
      <c r="D1753" s="22" t="s">
        <v>3342</v>
      </c>
      <c r="E1753" s="22" t="s">
        <v>3343</v>
      </c>
      <c r="F1753" s="22">
        <v>34.418574222899998</v>
      </c>
      <c r="G1753" s="22">
        <v>44.921114476100001</v>
      </c>
      <c r="H1753" s="21" t="s">
        <v>3164</v>
      </c>
      <c r="I1753" s="21" t="s">
        <v>3330</v>
      </c>
      <c r="J1753" s="21"/>
      <c r="K1753" s="24">
        <v>8</v>
      </c>
      <c r="L1753" s="24">
        <v>48</v>
      </c>
      <c r="M1753" s="23"/>
      <c r="N1753" s="23"/>
      <c r="O1753" s="23"/>
      <c r="P1753" s="23"/>
      <c r="Q1753" s="23"/>
      <c r="R1753" s="23">
        <v>8</v>
      </c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>
        <v>8</v>
      </c>
      <c r="AL1753" s="23"/>
      <c r="AM1753" s="23"/>
      <c r="AN1753" s="23"/>
      <c r="AO1753" s="23"/>
      <c r="AP1753" s="23">
        <v>8</v>
      </c>
      <c r="AQ1753" s="23"/>
      <c r="AR1753" s="23"/>
      <c r="AS1753" s="23"/>
      <c r="AT1753" s="23"/>
      <c r="AU1753" s="14" t="str">
        <f>HYPERLINK("http://www.openstreetmap.org/?mlat=33.7017&amp;mlon=45.0782&amp;zoom=12#map=12/33.7017/45.0782","Maplink1")</f>
        <v>Maplink1</v>
      </c>
      <c r="AV1753" s="14" t="str">
        <f>HYPERLINK("https://www.google.iq/maps/search/+33.7017,45.0782/@33.7017,45.0782,14z?hl=en","Maplink2")</f>
        <v>Maplink2</v>
      </c>
      <c r="AW1753" s="14" t="str">
        <f>HYPERLINK("http://www.bing.com/maps/?lvl=14&amp;sty=h&amp;cp=33.7017~45.0782&amp;sp=point.33.7017_45.0782_Al-Gadir2 Qtr","Maplink3")</f>
        <v>Maplink3</v>
      </c>
    </row>
    <row r="1754" spans="1:49" ht="15" customHeight="1" x14ac:dyDescent="0.25">
      <c r="A1754" s="21">
        <v>23028</v>
      </c>
      <c r="B1754" s="22" t="s">
        <v>14</v>
      </c>
      <c r="C1754" s="22" t="s">
        <v>3328</v>
      </c>
      <c r="D1754" s="22" t="s">
        <v>3344</v>
      </c>
      <c r="E1754" s="22" t="s">
        <v>3345</v>
      </c>
      <c r="F1754" s="22">
        <v>33.695753999099999</v>
      </c>
      <c r="G1754" s="22">
        <v>45.0795139186</v>
      </c>
      <c r="H1754" s="21" t="s">
        <v>3164</v>
      </c>
      <c r="I1754" s="21" t="s">
        <v>3330</v>
      </c>
      <c r="J1754" s="21" t="s">
        <v>3346</v>
      </c>
      <c r="K1754" s="24">
        <v>15</v>
      </c>
      <c r="L1754" s="24">
        <v>90</v>
      </c>
      <c r="M1754" s="23"/>
      <c r="N1754" s="23"/>
      <c r="O1754" s="23"/>
      <c r="P1754" s="23"/>
      <c r="Q1754" s="23"/>
      <c r="R1754" s="23">
        <v>15</v>
      </c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>
        <v>15</v>
      </c>
      <c r="AL1754" s="23"/>
      <c r="AM1754" s="23"/>
      <c r="AN1754" s="23"/>
      <c r="AO1754" s="23"/>
      <c r="AP1754" s="23">
        <v>15</v>
      </c>
      <c r="AQ1754" s="23"/>
      <c r="AR1754" s="23"/>
      <c r="AS1754" s="23"/>
      <c r="AT1754" s="23"/>
      <c r="AU1754" s="14" t="str">
        <f>HYPERLINK("http://www.openstreetmap.org/?mlat=33.6832&amp;mlon=45.0581&amp;zoom=12#map=12/33.6832/45.0581","Maplink1")</f>
        <v>Maplink1</v>
      </c>
      <c r="AV1754" s="14" t="str">
        <f>HYPERLINK("https://www.google.iq/maps/search/+33.6832,45.0581/@33.6832,45.0581,14z?hl=en","Maplink2")</f>
        <v>Maplink2</v>
      </c>
      <c r="AW1754" s="14" t="str">
        <f>HYPERLINK("http://www.bing.com/maps/?lvl=14&amp;sty=h&amp;cp=33.6832~45.0581&amp;sp=point.33.6832_45.0581_Al-Huria Qtr","Maplink3")</f>
        <v>Maplink3</v>
      </c>
    </row>
    <row r="1755" spans="1:49" ht="15" customHeight="1" x14ac:dyDescent="0.25">
      <c r="A1755" s="21">
        <v>25237</v>
      </c>
      <c r="B1755" s="22" t="s">
        <v>14</v>
      </c>
      <c r="C1755" s="22" t="s">
        <v>3328</v>
      </c>
      <c r="D1755" s="22" t="s">
        <v>3347</v>
      </c>
      <c r="E1755" s="22" t="s">
        <v>3348</v>
      </c>
      <c r="F1755" s="22">
        <v>33.694655533199999</v>
      </c>
      <c r="G1755" s="22">
        <v>45.080085283599999</v>
      </c>
      <c r="H1755" s="21" t="s">
        <v>3164</v>
      </c>
      <c r="I1755" s="21" t="s">
        <v>3330</v>
      </c>
      <c r="J1755" s="21"/>
      <c r="K1755" s="24">
        <v>7</v>
      </c>
      <c r="L1755" s="24">
        <v>42</v>
      </c>
      <c r="M1755" s="23"/>
      <c r="N1755" s="23"/>
      <c r="O1755" s="23"/>
      <c r="P1755" s="23"/>
      <c r="Q1755" s="23"/>
      <c r="R1755" s="23">
        <v>7</v>
      </c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>
        <v>7</v>
      </c>
      <c r="AG1755" s="23"/>
      <c r="AH1755" s="23"/>
      <c r="AI1755" s="23"/>
      <c r="AJ1755" s="23"/>
      <c r="AK1755" s="23"/>
      <c r="AL1755" s="23"/>
      <c r="AM1755" s="23"/>
      <c r="AN1755" s="23"/>
      <c r="AO1755" s="23"/>
      <c r="AP1755" s="23">
        <v>7</v>
      </c>
      <c r="AQ1755" s="23"/>
      <c r="AR1755" s="23"/>
      <c r="AS1755" s="23"/>
      <c r="AT1755" s="23"/>
      <c r="AU1755" s="14" t="str">
        <f>HYPERLINK("http://www.openstreetmap.org/?mlat=33.7018&amp;mlon=45.0795&amp;zoom=12#map=12/33.7018/45.0795","Maplink1")</f>
        <v>Maplink1</v>
      </c>
      <c r="AV1755" s="14" t="str">
        <f>HYPERLINK("https://www.google.iq/maps/search/+33.7018,45.0795/@33.7018,45.0795,14z?hl=en","Maplink2")</f>
        <v>Maplink2</v>
      </c>
      <c r="AW1755" s="14" t="str">
        <f>HYPERLINK("http://www.bing.com/maps/?lvl=14&amp;sty=h&amp;cp=33.7018~45.0795&amp;sp=point.33.7018_45.0795_Al-Rafah Village","Maplink3")</f>
        <v>Maplink3</v>
      </c>
    </row>
    <row r="1756" spans="1:49" ht="15" customHeight="1" x14ac:dyDescent="0.25">
      <c r="A1756" s="21">
        <v>25238</v>
      </c>
      <c r="B1756" s="22" t="s">
        <v>14</v>
      </c>
      <c r="C1756" s="22" t="s">
        <v>3328</v>
      </c>
      <c r="D1756" s="22" t="s">
        <v>3349</v>
      </c>
      <c r="E1756" s="22" t="s">
        <v>205</v>
      </c>
      <c r="F1756" s="22">
        <v>33.695423835900002</v>
      </c>
      <c r="G1756" s="22">
        <v>45.077423807199999</v>
      </c>
      <c r="H1756" s="21" t="s">
        <v>3164</v>
      </c>
      <c r="I1756" s="21" t="s">
        <v>3330</v>
      </c>
      <c r="J1756" s="21"/>
      <c r="K1756" s="24">
        <v>8</v>
      </c>
      <c r="L1756" s="24">
        <v>48</v>
      </c>
      <c r="M1756" s="23"/>
      <c r="N1756" s="23"/>
      <c r="O1756" s="23"/>
      <c r="P1756" s="23"/>
      <c r="Q1756" s="23"/>
      <c r="R1756" s="23">
        <v>8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>
        <v>8</v>
      </c>
      <c r="AG1756" s="23"/>
      <c r="AH1756" s="23"/>
      <c r="AI1756" s="23"/>
      <c r="AJ1756" s="23"/>
      <c r="AK1756" s="23"/>
      <c r="AL1756" s="23"/>
      <c r="AM1756" s="23"/>
      <c r="AN1756" s="23"/>
      <c r="AO1756" s="23"/>
      <c r="AP1756" s="23">
        <v>8</v>
      </c>
      <c r="AQ1756" s="23"/>
      <c r="AR1756" s="23"/>
      <c r="AS1756" s="23"/>
      <c r="AT1756" s="23"/>
      <c r="AU1756" s="14" t="str">
        <f>HYPERLINK("http://www.openstreetmap.org/?mlat=33.7017&amp;mlon=45.0788&amp;zoom=12#map=12/33.7017/45.0788","Maplink1")</f>
        <v>Maplink1</v>
      </c>
      <c r="AV1756" s="14" t="str">
        <f>HYPERLINK("https://www.google.iq/maps/search/+33.7017,45.0788/@33.7017,45.0788,14z?hl=en","Maplink2")</f>
        <v>Maplink2</v>
      </c>
      <c r="AW1756" s="14" t="str">
        <f>HYPERLINK("http://www.bing.com/maps/?lvl=14&amp;sty=h&amp;cp=33.7017~45.0788&amp;sp=point.33.7017_45.0788_Al-Ramaila Village","Maplink3")</f>
        <v>Maplink3</v>
      </c>
    </row>
    <row r="1757" spans="1:49" ht="15" customHeight="1" x14ac:dyDescent="0.25">
      <c r="A1757" s="21">
        <v>11231</v>
      </c>
      <c r="B1757" s="22" t="s">
        <v>14</v>
      </c>
      <c r="C1757" s="22" t="s">
        <v>3328</v>
      </c>
      <c r="D1757" s="22" t="s">
        <v>8717</v>
      </c>
      <c r="E1757" s="22" t="s">
        <v>3350</v>
      </c>
      <c r="F1757" s="22">
        <v>34.417634493800001</v>
      </c>
      <c r="G1757" s="22">
        <v>44.922165075800002</v>
      </c>
      <c r="H1757" s="21" t="s">
        <v>3164</v>
      </c>
      <c r="I1757" s="21" t="s">
        <v>3330</v>
      </c>
      <c r="J1757" s="21" t="s">
        <v>3351</v>
      </c>
      <c r="K1757" s="24">
        <v>7</v>
      </c>
      <c r="L1757" s="24">
        <v>42</v>
      </c>
      <c r="M1757" s="23"/>
      <c r="N1757" s="23"/>
      <c r="O1757" s="23"/>
      <c r="P1757" s="23"/>
      <c r="Q1757" s="23"/>
      <c r="R1757" s="23">
        <v>7</v>
      </c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>
        <v>7</v>
      </c>
      <c r="AL1757" s="23"/>
      <c r="AM1757" s="23"/>
      <c r="AN1757" s="23"/>
      <c r="AO1757" s="23"/>
      <c r="AP1757" s="23">
        <v>7</v>
      </c>
      <c r="AQ1757" s="23"/>
      <c r="AR1757" s="23"/>
      <c r="AS1757" s="23"/>
      <c r="AT1757" s="23"/>
      <c r="AU1757" s="14" t="str">
        <f>HYPERLINK("http://www.openstreetmap.org/?mlat=33.7112&amp;mlon=45.0781&amp;zoom=12#map=12/33.7112/45.0781","Maplink1")</f>
        <v>Maplink1</v>
      </c>
      <c r="AV1757" s="14" t="str">
        <f>HYPERLINK("https://www.google.iq/maps/search/+33.7112,45.0781/@33.7112,45.0781,14z?hl=en","Maplink2")</f>
        <v>Maplink2</v>
      </c>
      <c r="AW1757" s="14" t="str">
        <f>HYPERLINK("http://www.bing.com/maps/?lvl=14&amp;sty=h&amp;cp=33.7112~45.0781&amp;sp=point.33.7112_45.0781_Al-Sadrania","Maplink3")</f>
        <v>Maplink3</v>
      </c>
    </row>
    <row r="1758" spans="1:49" ht="15" customHeight="1" x14ac:dyDescent="0.25">
      <c r="A1758" s="21">
        <v>25241</v>
      </c>
      <c r="B1758" s="22" t="s">
        <v>14</v>
      </c>
      <c r="C1758" s="22" t="s">
        <v>3328</v>
      </c>
      <c r="D1758" s="22" t="s">
        <v>3352</v>
      </c>
      <c r="E1758" s="22" t="s">
        <v>1895</v>
      </c>
      <c r="F1758" s="22">
        <v>33.698309012700001</v>
      </c>
      <c r="G1758" s="22">
        <v>45.087384274199998</v>
      </c>
      <c r="H1758" s="21" t="s">
        <v>3164</v>
      </c>
      <c r="I1758" s="21" t="s">
        <v>3330</v>
      </c>
      <c r="J1758" s="21"/>
      <c r="K1758" s="24">
        <v>10</v>
      </c>
      <c r="L1758" s="24">
        <v>60</v>
      </c>
      <c r="M1758" s="23"/>
      <c r="N1758" s="23"/>
      <c r="O1758" s="23"/>
      <c r="P1758" s="23"/>
      <c r="Q1758" s="23"/>
      <c r="R1758" s="23">
        <v>10</v>
      </c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/>
      <c r="AL1758" s="23"/>
      <c r="AM1758" s="23">
        <v>10</v>
      </c>
      <c r="AN1758" s="23"/>
      <c r="AO1758" s="23"/>
      <c r="AP1758" s="23">
        <v>10</v>
      </c>
      <c r="AQ1758" s="23"/>
      <c r="AR1758" s="23"/>
      <c r="AS1758" s="23"/>
      <c r="AT1758" s="23"/>
      <c r="AU1758" s="14" t="str">
        <f>HYPERLINK("http://www.openstreetmap.org/?mlat=33.6911&amp;mlon=45.0784&amp;zoom=12#map=12/33.6911/45.0784","Maplink1")</f>
        <v>Maplink1</v>
      </c>
      <c r="AV1758" s="14" t="str">
        <f>HYPERLINK("https://www.google.iq/maps/search/+33.6911,45.0784/@33.6911,45.0784,14z?hl=en","Maplink2")</f>
        <v>Maplink2</v>
      </c>
      <c r="AW1758" s="14" t="str">
        <f>HYPERLINK("http://www.bing.com/maps/?lvl=14&amp;sty=h&amp;cp=33.6911~45.0784&amp;sp=point.33.6911_45.0784_Al-Sawad Village","Maplink3")</f>
        <v>Maplink3</v>
      </c>
    </row>
    <row r="1759" spans="1:49" ht="15" customHeight="1" x14ac:dyDescent="0.25">
      <c r="A1759" s="21">
        <v>25236</v>
      </c>
      <c r="B1759" s="22" t="s">
        <v>14</v>
      </c>
      <c r="C1759" s="22" t="s">
        <v>3328</v>
      </c>
      <c r="D1759" s="22" t="s">
        <v>3353</v>
      </c>
      <c r="E1759" s="22" t="s">
        <v>3354</v>
      </c>
      <c r="F1759" s="22">
        <v>33.696233141999997</v>
      </c>
      <c r="G1759" s="22">
        <v>45.078296370099999</v>
      </c>
      <c r="H1759" s="21" t="s">
        <v>3164</v>
      </c>
      <c r="I1759" s="21" t="s">
        <v>3330</v>
      </c>
      <c r="J1759" s="21"/>
      <c r="K1759" s="24">
        <v>7</v>
      </c>
      <c r="L1759" s="24">
        <v>42</v>
      </c>
      <c r="M1759" s="23"/>
      <c r="N1759" s="23"/>
      <c r="O1759" s="23"/>
      <c r="P1759" s="23"/>
      <c r="Q1759" s="23"/>
      <c r="R1759" s="23">
        <v>7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>
        <v>7</v>
      </c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>
        <v>7</v>
      </c>
      <c r="AQ1759" s="23"/>
      <c r="AR1759" s="23"/>
      <c r="AS1759" s="23"/>
      <c r="AT1759" s="23"/>
      <c r="AU1759" s="14" t="str">
        <f>HYPERLINK("http://www.openstreetmap.org/?mlat=33.7019&amp;mlon=45.0799&amp;zoom=12#map=12/33.7019/45.0799","Maplink1")</f>
        <v>Maplink1</v>
      </c>
      <c r="AV1759" s="14" t="str">
        <f>HYPERLINK("https://www.google.iq/maps/search/+33.7019,45.0799/@33.7019,45.0799,14z?hl=en","Maplink2")</f>
        <v>Maplink2</v>
      </c>
      <c r="AW1759" s="14" t="str">
        <f>HYPERLINK("http://www.bing.com/maps/?lvl=14&amp;sty=h&amp;cp=33.7019~45.0799&amp;sp=point.33.7019_45.0799_Al-Wasiti Village","Maplink3")</f>
        <v>Maplink3</v>
      </c>
    </row>
    <row r="1760" spans="1:49" ht="15" customHeight="1" x14ac:dyDescent="0.25">
      <c r="A1760" s="21">
        <v>20834</v>
      </c>
      <c r="B1760" s="22" t="s">
        <v>14</v>
      </c>
      <c r="C1760" s="22" t="s">
        <v>3328</v>
      </c>
      <c r="D1760" s="22" t="s">
        <v>8718</v>
      </c>
      <c r="E1760" s="22" t="s">
        <v>3371</v>
      </c>
      <c r="F1760" s="22">
        <v>33.714107512799998</v>
      </c>
      <c r="G1760" s="22">
        <v>45.068280125599998</v>
      </c>
      <c r="H1760" s="21" t="s">
        <v>3164</v>
      </c>
      <c r="I1760" s="21" t="s">
        <v>3330</v>
      </c>
      <c r="J1760" s="21" t="s">
        <v>3372</v>
      </c>
      <c r="K1760" s="24">
        <v>7</v>
      </c>
      <c r="L1760" s="24">
        <v>42</v>
      </c>
      <c r="M1760" s="23"/>
      <c r="N1760" s="23"/>
      <c r="O1760" s="23"/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>
        <v>7</v>
      </c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/>
      <c r="AL1760" s="23"/>
      <c r="AM1760" s="23">
        <v>7</v>
      </c>
      <c r="AN1760" s="23"/>
      <c r="AO1760" s="23"/>
      <c r="AP1760" s="23">
        <v>7</v>
      </c>
      <c r="AQ1760" s="23"/>
      <c r="AR1760" s="23"/>
      <c r="AS1760" s="23"/>
      <c r="AT1760" s="23"/>
      <c r="AU1760" s="14" t="str">
        <f>HYPERLINK("http://www.openstreetmap.org/?mlat=33.6913&amp;mlon=45.0725&amp;zoom=12#map=12/33.6913/45.0725","Maplink1")</f>
        <v>Maplink1</v>
      </c>
      <c r="AV1760" s="14" t="str">
        <f>HYPERLINK("https://www.google.iq/maps/search/+33.6913,45.0725/@33.6913,45.0725,14z?hl=en","Maplink2")</f>
        <v>Maplink2</v>
      </c>
      <c r="AW1760" s="14" t="str">
        <f>HYPERLINK("http://www.bing.com/maps/?lvl=14&amp;sty=h&amp;cp=33.6913~45.0725&amp;sp=point.33.6913_45.0725_Qaryat Dabbat","Maplink3")</f>
        <v>Maplink3</v>
      </c>
    </row>
    <row r="1761" spans="1:49" ht="15" customHeight="1" x14ac:dyDescent="0.25">
      <c r="A1761" s="21">
        <v>11226</v>
      </c>
      <c r="B1761" s="22" t="s">
        <v>14</v>
      </c>
      <c r="C1761" s="22" t="s">
        <v>3328</v>
      </c>
      <c r="D1761" s="22" t="s">
        <v>8719</v>
      </c>
      <c r="E1761" s="22" t="s">
        <v>3301</v>
      </c>
      <c r="F1761" s="22">
        <v>33.688130322399999</v>
      </c>
      <c r="G1761" s="22">
        <v>45.050714640599999</v>
      </c>
      <c r="H1761" s="21" t="s">
        <v>3164</v>
      </c>
      <c r="I1761" s="21" t="s">
        <v>3330</v>
      </c>
      <c r="J1761" s="21" t="s">
        <v>3355</v>
      </c>
      <c r="K1761" s="24">
        <v>17</v>
      </c>
      <c r="L1761" s="24">
        <v>102</v>
      </c>
      <c r="M1761" s="23">
        <v>10</v>
      </c>
      <c r="N1761" s="23"/>
      <c r="O1761" s="23"/>
      <c r="P1761" s="23"/>
      <c r="Q1761" s="23"/>
      <c r="R1761" s="23">
        <v>7</v>
      </c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>
        <v>5</v>
      </c>
      <c r="AG1761" s="23"/>
      <c r="AH1761" s="23"/>
      <c r="AI1761" s="23"/>
      <c r="AJ1761" s="23"/>
      <c r="AK1761" s="23">
        <v>12</v>
      </c>
      <c r="AL1761" s="23"/>
      <c r="AM1761" s="23"/>
      <c r="AN1761" s="23"/>
      <c r="AO1761" s="23"/>
      <c r="AP1761" s="23">
        <v>16</v>
      </c>
      <c r="AQ1761" s="23"/>
      <c r="AR1761" s="23"/>
      <c r="AS1761" s="23">
        <v>1</v>
      </c>
      <c r="AT1761" s="23"/>
      <c r="AU1761" s="14" t="str">
        <f>HYPERLINK("http://www.openstreetmap.org/?mlat=33.6852&amp;mlon=45.0485&amp;zoom=12#map=12/33.6852/45.0485","Maplink1")</f>
        <v>Maplink1</v>
      </c>
      <c r="AV1761" s="14" t="str">
        <f>HYPERLINK("https://www.google.iq/maps/search/+33.6852,45.0485/@33.6852,45.0485,14z?hl=en","Maplink2")</f>
        <v>Maplink2</v>
      </c>
      <c r="AW1761" s="14" t="str">
        <f>HYPERLINK("http://www.bing.com/maps/?lvl=14&amp;sty=h&amp;cp=33.6852~45.0485&amp;sp=point.33.6852_45.0485_Dur Mandiliy 1","Maplink3")</f>
        <v>Maplink3</v>
      </c>
    </row>
    <row r="1762" spans="1:49" ht="15" customHeight="1" x14ac:dyDescent="0.25">
      <c r="A1762" s="21">
        <v>11547</v>
      </c>
      <c r="B1762" s="22" t="s">
        <v>14</v>
      </c>
      <c r="C1762" s="22" t="s">
        <v>3328</v>
      </c>
      <c r="D1762" s="22" t="s">
        <v>8720</v>
      </c>
      <c r="E1762" s="22" t="s">
        <v>3373</v>
      </c>
      <c r="F1762" s="22">
        <v>34.419284721499999</v>
      </c>
      <c r="G1762" s="22">
        <v>44.921940886599998</v>
      </c>
      <c r="H1762" s="21" t="s">
        <v>3164</v>
      </c>
      <c r="I1762" s="21" t="s">
        <v>3330</v>
      </c>
      <c r="J1762" s="21" t="s">
        <v>3374</v>
      </c>
      <c r="K1762" s="24">
        <v>4</v>
      </c>
      <c r="L1762" s="24">
        <v>24</v>
      </c>
      <c r="M1762" s="23"/>
      <c r="N1762" s="23"/>
      <c r="O1762" s="23"/>
      <c r="P1762" s="23"/>
      <c r="Q1762" s="23"/>
      <c r="R1762" s="23">
        <v>4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>
        <v>4</v>
      </c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>
        <v>4</v>
      </c>
      <c r="AQ1762" s="23"/>
      <c r="AR1762" s="23"/>
      <c r="AS1762" s="23"/>
      <c r="AT1762" s="23"/>
      <c r="AU1762" s="14" t="str">
        <f>HYPERLINK("http://www.openstreetmap.org/?mlat=33.7022&amp;mlon=45.0794&amp;zoom=12#map=12/33.7022/45.0794","Maplink1")</f>
        <v>Maplink1</v>
      </c>
      <c r="AV1762" s="14" t="str">
        <f>HYPERLINK("https://www.google.iq/maps/search/+33.7022,45.0794/@33.7022,45.0794,14z?hl=en","Maplink2")</f>
        <v>Maplink2</v>
      </c>
      <c r="AW1762" s="14" t="str">
        <f>HYPERLINK("http://www.bing.com/maps/?lvl=14&amp;sty=h&amp;cp=33.7022~45.0794&amp;sp=point.33.7022_45.0794_Qaryat Eksairat","Maplink3")</f>
        <v>Maplink3</v>
      </c>
    </row>
    <row r="1763" spans="1:49" ht="15" customHeight="1" x14ac:dyDescent="0.25">
      <c r="A1763" s="21">
        <v>11257</v>
      </c>
      <c r="B1763" s="22" t="s">
        <v>14</v>
      </c>
      <c r="C1763" s="22" t="s">
        <v>3328</v>
      </c>
      <c r="D1763" s="22" t="s">
        <v>3356</v>
      </c>
      <c r="E1763" s="22" t="s">
        <v>519</v>
      </c>
      <c r="F1763" s="22">
        <v>33.742399415900003</v>
      </c>
      <c r="G1763" s="22">
        <v>45.542146023400001</v>
      </c>
      <c r="H1763" s="21" t="s">
        <v>3164</v>
      </c>
      <c r="I1763" s="21" t="s">
        <v>3330</v>
      </c>
      <c r="J1763" s="21" t="s">
        <v>3357</v>
      </c>
      <c r="K1763" s="24">
        <v>50</v>
      </c>
      <c r="L1763" s="24">
        <v>300</v>
      </c>
      <c r="M1763" s="23"/>
      <c r="N1763" s="23"/>
      <c r="O1763" s="23"/>
      <c r="P1763" s="23"/>
      <c r="Q1763" s="23"/>
      <c r="R1763" s="23">
        <v>50</v>
      </c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>
        <v>50</v>
      </c>
      <c r="AL1763" s="23"/>
      <c r="AM1763" s="23"/>
      <c r="AN1763" s="23"/>
      <c r="AO1763" s="23"/>
      <c r="AP1763" s="23"/>
      <c r="AQ1763" s="23"/>
      <c r="AR1763" s="23">
        <v>50</v>
      </c>
      <c r="AS1763" s="23"/>
      <c r="AT1763" s="23"/>
      <c r="AU1763" s="14" t="str">
        <f>HYPERLINK("http://www.openstreetmap.org/?mlat=33.7461&amp;mlon=45.5474&amp;zoom=12#map=12/33.7461/45.5474","Maplink1")</f>
        <v>Maplink1</v>
      </c>
      <c r="AV1763" s="14" t="str">
        <f>HYPERLINK("https://www.google.iq/maps/search/+33.7461,45.5474/@33.7461,45.5474,14z?hl=en","Maplink2")</f>
        <v>Maplink2</v>
      </c>
      <c r="AW1763" s="14" t="str">
        <f>HYPERLINK("http://www.bing.com/maps/?lvl=14&amp;sty=h&amp;cp=33.7461~45.5474&amp;sp=point.33.7461_45.5474_Hay Al Bakir","Maplink3")</f>
        <v>Maplink3</v>
      </c>
    </row>
    <row r="1764" spans="1:49" ht="15" customHeight="1" x14ac:dyDescent="0.25">
      <c r="A1764" s="21">
        <v>11236</v>
      </c>
      <c r="B1764" s="22" t="s">
        <v>14</v>
      </c>
      <c r="C1764" s="22" t="s">
        <v>3328</v>
      </c>
      <c r="D1764" s="22" t="s">
        <v>3358</v>
      </c>
      <c r="E1764" s="22" t="s">
        <v>3359</v>
      </c>
      <c r="F1764" s="22">
        <v>33.779156439499999</v>
      </c>
      <c r="G1764" s="22">
        <v>45.086212590899997</v>
      </c>
      <c r="H1764" s="21" t="s">
        <v>3164</v>
      </c>
      <c r="I1764" s="21" t="s">
        <v>3330</v>
      </c>
      <c r="J1764" s="21" t="s">
        <v>3360</v>
      </c>
      <c r="K1764" s="24">
        <v>9</v>
      </c>
      <c r="L1764" s="24">
        <v>54</v>
      </c>
      <c r="M1764" s="23"/>
      <c r="N1764" s="23"/>
      <c r="O1764" s="23"/>
      <c r="P1764" s="23"/>
      <c r="Q1764" s="23"/>
      <c r="R1764" s="23">
        <v>9</v>
      </c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>
        <v>9</v>
      </c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>
        <v>9</v>
      </c>
      <c r="AQ1764" s="23"/>
      <c r="AR1764" s="23"/>
      <c r="AS1764" s="23"/>
      <c r="AT1764" s="23"/>
      <c r="AU1764" s="14" t="str">
        <f>HYPERLINK("http://www.openstreetmap.org/?mlat=33.7023&amp;mlon=45.0798&amp;zoom=12#map=12/33.7023/45.0798","Maplink1")</f>
        <v>Maplink1</v>
      </c>
      <c r="AV1764" s="14" t="str">
        <f>HYPERLINK("https://www.google.iq/maps/search/+33.7023,45.0798/@33.7023,45.0798,14z?hl=en","Maplink2")</f>
        <v>Maplink2</v>
      </c>
      <c r="AW1764" s="14" t="str">
        <f>HYPERLINK("http://www.bing.com/maps/?lvl=14&amp;sty=h&amp;cp=33.7023~45.0798&amp;sp=point.33.7023_45.0798_Imam Askar Village","Maplink3")</f>
        <v>Maplink3</v>
      </c>
    </row>
    <row r="1765" spans="1:49" ht="15" customHeight="1" x14ac:dyDescent="0.25">
      <c r="A1765" s="21">
        <v>11224</v>
      </c>
      <c r="B1765" s="22" t="s">
        <v>14</v>
      </c>
      <c r="C1765" s="22" t="s">
        <v>3328</v>
      </c>
      <c r="D1765" s="22" t="s">
        <v>3361</v>
      </c>
      <c r="E1765" s="22" t="s">
        <v>3362</v>
      </c>
      <c r="F1765" s="22">
        <v>33.682713051199997</v>
      </c>
      <c r="G1765" s="22">
        <v>45.026974690899998</v>
      </c>
      <c r="H1765" s="21" t="s">
        <v>3164</v>
      </c>
      <c r="I1765" s="21" t="s">
        <v>3330</v>
      </c>
      <c r="J1765" s="21" t="s">
        <v>3363</v>
      </c>
      <c r="K1765" s="24">
        <v>6</v>
      </c>
      <c r="L1765" s="24">
        <v>36</v>
      </c>
      <c r="M1765" s="23"/>
      <c r="N1765" s="23"/>
      <c r="O1765" s="23"/>
      <c r="P1765" s="23"/>
      <c r="Q1765" s="23"/>
      <c r="R1765" s="23">
        <v>6</v>
      </c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/>
      <c r="AL1765" s="23"/>
      <c r="AM1765" s="23">
        <v>6</v>
      </c>
      <c r="AN1765" s="23"/>
      <c r="AO1765" s="23"/>
      <c r="AP1765" s="23">
        <v>6</v>
      </c>
      <c r="AQ1765" s="23"/>
      <c r="AR1765" s="23"/>
      <c r="AS1765" s="23"/>
      <c r="AT1765" s="23"/>
      <c r="AU1765" s="14" t="str">
        <f>HYPERLINK("http://www.openstreetmap.org/?mlat=33.6951&amp;mlon=45.0891&amp;zoom=12#map=12/33.6951/45.0891","Maplink1")</f>
        <v>Maplink1</v>
      </c>
      <c r="AV1765" s="14" t="str">
        <f>HYPERLINK("https://www.google.iq/maps/search/+33.6951,45.0891/@33.6951,45.0891,14z?hl=en","Maplink2")</f>
        <v>Maplink2</v>
      </c>
      <c r="AW1765" s="14" t="str">
        <f>HYPERLINK("http://www.bing.com/maps/?lvl=14&amp;sty=h&amp;cp=33.6951~45.0891&amp;sp=point.33.6951_45.0891_Itba Village","Maplink3")</f>
        <v>Maplink3</v>
      </c>
    </row>
    <row r="1766" spans="1:49" ht="15" customHeight="1" x14ac:dyDescent="0.25">
      <c r="A1766" s="21">
        <v>25240</v>
      </c>
      <c r="B1766" s="22" t="s">
        <v>14</v>
      </c>
      <c r="C1766" s="22" t="s">
        <v>3328</v>
      </c>
      <c r="D1766" s="22" t="s">
        <v>3364</v>
      </c>
      <c r="E1766" s="22" t="s">
        <v>3365</v>
      </c>
      <c r="F1766" s="22">
        <v>33.6920016463</v>
      </c>
      <c r="G1766" s="22">
        <v>45.074052759899999</v>
      </c>
      <c r="H1766" s="21" t="s">
        <v>3164</v>
      </c>
      <c r="I1766" s="21" t="s">
        <v>3330</v>
      </c>
      <c r="J1766" s="21"/>
      <c r="K1766" s="24">
        <v>9</v>
      </c>
      <c r="L1766" s="24">
        <v>54</v>
      </c>
      <c r="M1766" s="23"/>
      <c r="N1766" s="23"/>
      <c r="O1766" s="23"/>
      <c r="P1766" s="23"/>
      <c r="Q1766" s="23"/>
      <c r="R1766" s="23">
        <v>9</v>
      </c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>
        <v>9</v>
      </c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>
        <v>9</v>
      </c>
      <c r="AQ1766" s="23"/>
      <c r="AR1766" s="23"/>
      <c r="AS1766" s="23"/>
      <c r="AT1766" s="23"/>
      <c r="AU1766" s="14" t="str">
        <f>HYPERLINK("http://www.openstreetmap.org/?mlat=33.6377&amp;mlon=45.3671&amp;zoom=12#map=12/33.6377/45.3671","Maplink1")</f>
        <v>Maplink1</v>
      </c>
      <c r="AV1766" s="14" t="str">
        <f>HYPERLINK("https://www.google.iq/maps/search/+33.6377,45.3671/@33.6377,45.3671,14z?hl=en","Maplink2")</f>
        <v>Maplink2</v>
      </c>
      <c r="AW1766" s="14" t="str">
        <f>HYPERLINK("http://www.bing.com/maps/?lvl=14&amp;sty=h&amp;cp=33.6377~45.3671&amp;sp=point.33.6377_45.3671_Jame Al-Rhman Village","Maplink3")</f>
        <v>Maplink3</v>
      </c>
    </row>
    <row r="1767" spans="1:49" ht="15" customHeight="1" x14ac:dyDescent="0.25">
      <c r="A1767" s="21">
        <v>10894</v>
      </c>
      <c r="B1767" s="22" t="s">
        <v>14</v>
      </c>
      <c r="C1767" s="22" t="s">
        <v>3328</v>
      </c>
      <c r="D1767" s="22" t="s">
        <v>8721</v>
      </c>
      <c r="E1767" s="22" t="s">
        <v>8722</v>
      </c>
      <c r="F1767" s="22">
        <v>33.7457321025</v>
      </c>
      <c r="G1767" s="22">
        <v>45.551964752400004</v>
      </c>
      <c r="H1767" s="21" t="s">
        <v>3164</v>
      </c>
      <c r="I1767" s="21" t="s">
        <v>3330</v>
      </c>
      <c r="J1767" s="21" t="s">
        <v>3366</v>
      </c>
      <c r="K1767" s="24">
        <v>150</v>
      </c>
      <c r="L1767" s="24">
        <v>900</v>
      </c>
      <c r="M1767" s="23"/>
      <c r="N1767" s="23"/>
      <c r="O1767" s="23"/>
      <c r="P1767" s="23"/>
      <c r="Q1767" s="23"/>
      <c r="R1767" s="23">
        <v>150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>
        <v>80</v>
      </c>
      <c r="AG1767" s="23"/>
      <c r="AH1767" s="23"/>
      <c r="AI1767" s="23"/>
      <c r="AJ1767" s="23"/>
      <c r="AK1767" s="23">
        <v>70</v>
      </c>
      <c r="AL1767" s="23"/>
      <c r="AM1767" s="23"/>
      <c r="AN1767" s="23"/>
      <c r="AO1767" s="23"/>
      <c r="AP1767" s="23"/>
      <c r="AQ1767" s="23">
        <v>150</v>
      </c>
      <c r="AR1767" s="23"/>
      <c r="AS1767" s="23"/>
      <c r="AT1767" s="23"/>
      <c r="AU1767" s="14" t="str">
        <f>HYPERLINK("http://www.openstreetmap.org/?mlat=33.74&amp;mlon=45.53&amp;zoom=12#map=12/33.74/45.53","Maplink1")</f>
        <v>Maplink1</v>
      </c>
      <c r="AV1767" s="14" t="str">
        <f>HYPERLINK("https://www.google.iq/maps/search/+33.74,45.53/@33.74,45.53,14z?hl=en","Maplink2")</f>
        <v>Maplink2</v>
      </c>
      <c r="AW1767" s="14" t="str">
        <f>HYPERLINK("http://www.bing.com/maps/?lvl=14&amp;sty=h&amp;cp=33.74~45.53&amp;sp=point.33.74_45.53_Mandali","Maplink3")</f>
        <v>Maplink3</v>
      </c>
    </row>
    <row r="1768" spans="1:49" ht="15" customHeight="1" x14ac:dyDescent="0.25">
      <c r="A1768" s="21">
        <v>25243</v>
      </c>
      <c r="B1768" s="22" t="s">
        <v>14</v>
      </c>
      <c r="C1768" s="22" t="s">
        <v>3328</v>
      </c>
      <c r="D1768" s="22" t="s">
        <v>3367</v>
      </c>
      <c r="E1768" s="22" t="s">
        <v>3368</v>
      </c>
      <c r="F1768" s="22">
        <v>33.706150603799998</v>
      </c>
      <c r="G1768" s="22">
        <v>45.083379288400003</v>
      </c>
      <c r="H1768" s="21" t="s">
        <v>3164</v>
      </c>
      <c r="I1768" s="21" t="s">
        <v>3330</v>
      </c>
      <c r="J1768" s="21"/>
      <c r="K1768" s="24">
        <v>6</v>
      </c>
      <c r="L1768" s="24">
        <v>36</v>
      </c>
      <c r="M1768" s="23"/>
      <c r="N1768" s="23"/>
      <c r="O1768" s="23"/>
      <c r="P1768" s="23"/>
      <c r="Q1768" s="23"/>
      <c r="R1768" s="23">
        <v>6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>
        <v>6</v>
      </c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>
        <v>6</v>
      </c>
      <c r="AQ1768" s="23"/>
      <c r="AR1768" s="23"/>
      <c r="AS1768" s="23"/>
      <c r="AT1768" s="23"/>
      <c r="AU1768" s="14" t="str">
        <f>HYPERLINK("http://www.openstreetmap.org/?mlat=33.7001&amp;mlon=45.0758&amp;zoom=12#map=12/33.7001/45.0758","Maplink1")</f>
        <v>Maplink1</v>
      </c>
      <c r="AV1768" s="14" t="str">
        <f>HYPERLINK("https://www.google.iq/maps/search/+33.7001,45.0758/@33.7001,45.0758,14z?hl=en","Maplink2")</f>
        <v>Maplink2</v>
      </c>
      <c r="AW1768" s="14" t="str">
        <f>HYPERLINK("http://www.bing.com/maps/?lvl=14&amp;sty=h&amp;cp=33.7001~45.0758&amp;sp=point.33.7001_45.0758_Matar Abuss Village","Maplink3")</f>
        <v>Maplink3</v>
      </c>
    </row>
    <row r="1769" spans="1:49" ht="15" customHeight="1" x14ac:dyDescent="0.25">
      <c r="A1769" s="21">
        <v>25239</v>
      </c>
      <c r="B1769" s="22" t="s">
        <v>14</v>
      </c>
      <c r="C1769" s="22" t="s">
        <v>3328</v>
      </c>
      <c r="D1769" s="22" t="s">
        <v>3369</v>
      </c>
      <c r="E1769" s="22" t="s">
        <v>3370</v>
      </c>
      <c r="F1769" s="22">
        <v>33.672797000000003</v>
      </c>
      <c r="G1769" s="22">
        <v>45.584204999999997</v>
      </c>
      <c r="H1769" s="21" t="s">
        <v>3164</v>
      </c>
      <c r="I1769" s="21" t="s">
        <v>3330</v>
      </c>
      <c r="J1769" s="21"/>
      <c r="K1769" s="24">
        <v>10</v>
      </c>
      <c r="L1769" s="24">
        <v>60</v>
      </c>
      <c r="M1769" s="23"/>
      <c r="N1769" s="23"/>
      <c r="O1769" s="23"/>
      <c r="P1769" s="23"/>
      <c r="Q1769" s="23"/>
      <c r="R1769" s="23">
        <v>10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/>
      <c r="AL1769" s="23"/>
      <c r="AM1769" s="23">
        <v>10</v>
      </c>
      <c r="AN1769" s="23"/>
      <c r="AO1769" s="23"/>
      <c r="AP1769" s="23">
        <v>10</v>
      </c>
      <c r="AQ1769" s="23"/>
      <c r="AR1769" s="23"/>
      <c r="AS1769" s="23"/>
      <c r="AT1769" s="23"/>
      <c r="AU1769" s="14" t="str">
        <f>HYPERLINK("http://www.openstreetmap.org/?mlat=33.6728&amp;mlon=45.5842&amp;zoom=12#map=12/33.6728/45.5842","Maplink1")</f>
        <v>Maplink1</v>
      </c>
      <c r="AV1769" s="14" t="str">
        <f>HYPERLINK("https://www.google.iq/maps/search/+33.6728,45.5842/@33.6728,45.5842,14z?hl=en","Maplink2")</f>
        <v>Maplink2</v>
      </c>
      <c r="AW1769" s="14" t="str">
        <f>HYPERLINK("http://www.bing.com/maps/?lvl=14&amp;sty=h&amp;cp=33.6728~45.5842&amp;sp=point.33.6728_45.5842_Naif Ahmad Village","Maplink3")</f>
        <v>Maplink3</v>
      </c>
    </row>
    <row r="1770" spans="1:49" ht="15" customHeight="1" x14ac:dyDescent="0.25">
      <c r="A1770" s="21">
        <v>25246</v>
      </c>
      <c r="B1770" s="22" t="s">
        <v>14</v>
      </c>
      <c r="C1770" s="22" t="s">
        <v>3328</v>
      </c>
      <c r="D1770" s="22" t="s">
        <v>3375</v>
      </c>
      <c r="E1770" s="22" t="s">
        <v>3376</v>
      </c>
      <c r="F1770" s="22">
        <v>33.652363637400001</v>
      </c>
      <c r="G1770" s="22">
        <v>45.158093759499998</v>
      </c>
      <c r="H1770" s="21" t="s">
        <v>3164</v>
      </c>
      <c r="I1770" s="21" t="s">
        <v>3330</v>
      </c>
      <c r="J1770" s="21"/>
      <c r="K1770" s="24">
        <v>5</v>
      </c>
      <c r="L1770" s="24">
        <v>30</v>
      </c>
      <c r="M1770" s="23"/>
      <c r="N1770" s="23"/>
      <c r="O1770" s="23"/>
      <c r="P1770" s="23"/>
      <c r="Q1770" s="23"/>
      <c r="R1770" s="23">
        <v>5</v>
      </c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>
        <v>5</v>
      </c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>
        <v>5</v>
      </c>
      <c r="AQ1770" s="23"/>
      <c r="AR1770" s="23"/>
      <c r="AS1770" s="23"/>
      <c r="AT1770" s="23"/>
      <c r="AU1770" s="14" t="str">
        <f>HYPERLINK("http://www.openstreetmap.org/?mlat=33.6778&amp;mlon=45.1494&amp;zoom=12#map=12/33.6778/45.1494","Maplink1")</f>
        <v>Maplink1</v>
      </c>
      <c r="AV1770" s="14" t="str">
        <f>HYPERLINK("https://www.google.iq/maps/search/+33.6778,45.1494/@33.6778,45.1494,14z?hl=en","Maplink2")</f>
        <v>Maplink2</v>
      </c>
      <c r="AW1770" s="14" t="str">
        <f>HYPERLINK("http://www.bing.com/maps/?lvl=14&amp;sty=h&amp;cp=33.6778~45.1494&amp;sp=point.33.6778_45.1494_Shah Ali Village","Maplink3")</f>
        <v>Maplink3</v>
      </c>
    </row>
    <row r="1771" spans="1:49" ht="15" customHeight="1" x14ac:dyDescent="0.25">
      <c r="A1771" s="21">
        <v>25244</v>
      </c>
      <c r="B1771" s="22" t="s">
        <v>14</v>
      </c>
      <c r="C1771" s="22" t="s">
        <v>3328</v>
      </c>
      <c r="D1771" s="22" t="s">
        <v>3377</v>
      </c>
      <c r="E1771" s="22" t="s">
        <v>3378</v>
      </c>
      <c r="F1771" s="22">
        <v>33.673737260999999</v>
      </c>
      <c r="G1771" s="22">
        <v>45.095010147899998</v>
      </c>
      <c r="H1771" s="21" t="s">
        <v>3164</v>
      </c>
      <c r="I1771" s="21" t="s">
        <v>3330</v>
      </c>
      <c r="J1771" s="21"/>
      <c r="K1771" s="24">
        <v>5</v>
      </c>
      <c r="L1771" s="24">
        <v>30</v>
      </c>
      <c r="M1771" s="23"/>
      <c r="N1771" s="23"/>
      <c r="O1771" s="23"/>
      <c r="P1771" s="23"/>
      <c r="Q1771" s="23"/>
      <c r="R1771" s="23">
        <v>5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>
        <v>5</v>
      </c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>
        <v>5</v>
      </c>
      <c r="AQ1771" s="23"/>
      <c r="AR1771" s="23"/>
      <c r="AS1771" s="23"/>
      <c r="AT1771" s="23"/>
      <c r="AU1771" s="14" t="str">
        <f>HYPERLINK("http://www.openstreetmap.org/?mlat=33.6898&amp;mlon=45.0819&amp;zoom=12#map=12/33.6898/45.0819","Maplink1")</f>
        <v>Maplink1</v>
      </c>
      <c r="AV1771" s="14" t="str">
        <f>HYPERLINK("https://www.google.iq/maps/search/+33.6898,45.0819/@33.6898,45.0819,14z?hl=en","Maplink2")</f>
        <v>Maplink2</v>
      </c>
      <c r="AW1771" s="14" t="str">
        <f>HYPERLINK("http://www.bing.com/maps/?lvl=14&amp;sty=h&amp;cp=33.6898~45.0819&amp;sp=point.33.6898_45.0819_Zain Al-din Village","Maplink3")</f>
        <v>Maplink3</v>
      </c>
    </row>
    <row r="1772" spans="1:49" ht="15" customHeight="1" x14ac:dyDescent="0.25">
      <c r="A1772" s="21">
        <v>10419</v>
      </c>
      <c r="B1772" s="22" t="s">
        <v>14</v>
      </c>
      <c r="C1772" s="22" t="s">
        <v>3379</v>
      </c>
      <c r="D1772" s="22" t="s">
        <v>7466</v>
      </c>
      <c r="E1772" s="22" t="s">
        <v>3380</v>
      </c>
      <c r="F1772" s="22">
        <v>34.341716305399999</v>
      </c>
      <c r="G1772" s="22">
        <v>45.377914952099999</v>
      </c>
      <c r="H1772" s="21" t="s">
        <v>3164</v>
      </c>
      <c r="I1772" s="21" t="s">
        <v>3381</v>
      </c>
      <c r="J1772" s="21"/>
      <c r="K1772" s="24">
        <v>70</v>
      </c>
      <c r="L1772" s="24">
        <v>420</v>
      </c>
      <c r="M1772" s="23"/>
      <c r="N1772" s="23"/>
      <c r="O1772" s="23"/>
      <c r="P1772" s="23"/>
      <c r="Q1772" s="23"/>
      <c r="R1772" s="23">
        <v>70</v>
      </c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>
        <v>70</v>
      </c>
      <c r="AL1772" s="23"/>
      <c r="AM1772" s="23"/>
      <c r="AN1772" s="23"/>
      <c r="AO1772" s="23"/>
      <c r="AP1772" s="23">
        <v>55</v>
      </c>
      <c r="AQ1772" s="23">
        <v>15</v>
      </c>
      <c r="AR1772" s="23"/>
      <c r="AS1772" s="23"/>
      <c r="AT1772" s="23"/>
      <c r="AU1772" s="14" t="str">
        <f>HYPERLINK("http://www.openstreetmap.org/?mlat=34.3406&amp;mlon=45.3781&amp;zoom=12#map=12/34.3406/45.3781","Maplink1")</f>
        <v>Maplink1</v>
      </c>
      <c r="AV1772" s="14" t="str">
        <f>HYPERLINK("https://www.google.iq/maps/search/+34.3406,45.3781/@34.3406,45.3781,14z?hl=en","Maplink2")</f>
        <v>Maplink2</v>
      </c>
      <c r="AW1772" s="14" t="str">
        <f>HYPERLINK("http://www.bing.com/maps/?lvl=14&amp;sty=h&amp;cp=34.3406~45.3781&amp;sp=point.34.3406_45.3781_ Agha and Khalifa","Maplink3")</f>
        <v>Maplink3</v>
      </c>
    </row>
    <row r="1773" spans="1:49" ht="15" customHeight="1" x14ac:dyDescent="0.25">
      <c r="A1773" s="21">
        <v>11145</v>
      </c>
      <c r="B1773" s="22" t="s">
        <v>14</v>
      </c>
      <c r="C1773" s="22" t="s">
        <v>3379</v>
      </c>
      <c r="D1773" s="22" t="s">
        <v>3384</v>
      </c>
      <c r="E1773" s="22" t="s">
        <v>3385</v>
      </c>
      <c r="F1773" s="22">
        <v>34.377513556700002</v>
      </c>
      <c r="G1773" s="22">
        <v>45.325277382199999</v>
      </c>
      <c r="H1773" s="21" t="s">
        <v>3164</v>
      </c>
      <c r="I1773" s="21" t="s">
        <v>3381</v>
      </c>
      <c r="J1773" s="21" t="s">
        <v>3386</v>
      </c>
      <c r="K1773" s="24">
        <v>28</v>
      </c>
      <c r="L1773" s="24">
        <v>168</v>
      </c>
      <c r="M1773" s="23"/>
      <c r="N1773" s="23"/>
      <c r="O1773" s="23"/>
      <c r="P1773" s="23"/>
      <c r="Q1773" s="23"/>
      <c r="R1773" s="23">
        <v>28</v>
      </c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>
        <v>10</v>
      </c>
      <c r="AG1773" s="23"/>
      <c r="AH1773" s="23"/>
      <c r="AI1773" s="23"/>
      <c r="AJ1773" s="23"/>
      <c r="AK1773" s="23">
        <v>8</v>
      </c>
      <c r="AL1773" s="23"/>
      <c r="AM1773" s="23">
        <v>10</v>
      </c>
      <c r="AN1773" s="23"/>
      <c r="AO1773" s="23"/>
      <c r="AP1773" s="23">
        <v>25</v>
      </c>
      <c r="AQ1773" s="23">
        <v>3</v>
      </c>
      <c r="AR1773" s="23"/>
      <c r="AS1773" s="23"/>
      <c r="AT1773" s="23"/>
      <c r="AU1773" s="14" t="str">
        <f>HYPERLINK("http://www.openstreetmap.org/?mlat=34.3767&amp;mlon=45.3249&amp;zoom=12#map=12/34.3767/45.3249","Maplink1")</f>
        <v>Maplink1</v>
      </c>
      <c r="AV1773" s="14" t="str">
        <f>HYPERLINK("https://www.google.iq/maps/search/+34.3767,45.3249/@34.3767,45.3249,14z?hl=en","Maplink2")</f>
        <v>Maplink2</v>
      </c>
      <c r="AW1773" s="14" t="str">
        <f>HYPERLINK("http://www.bing.com/maps/?lvl=14&amp;sty=h&amp;cp=34.3767~45.3249&amp;sp=point.34.3767_45.3249_Ahmed Hilal village","Maplink3")</f>
        <v>Maplink3</v>
      </c>
    </row>
    <row r="1774" spans="1:49" ht="15" customHeight="1" x14ac:dyDescent="0.25">
      <c r="A1774" s="21">
        <v>24388</v>
      </c>
      <c r="B1774" s="22" t="s">
        <v>14</v>
      </c>
      <c r="C1774" s="22" t="s">
        <v>3379</v>
      </c>
      <c r="D1774" s="22" t="s">
        <v>3387</v>
      </c>
      <c r="E1774" s="22" t="s">
        <v>3388</v>
      </c>
      <c r="F1774" s="22">
        <v>34.316803623200002</v>
      </c>
      <c r="G1774" s="22">
        <v>45.313038305900001</v>
      </c>
      <c r="H1774" s="21" t="s">
        <v>3164</v>
      </c>
      <c r="I1774" s="21" t="s">
        <v>3381</v>
      </c>
      <c r="J1774" s="21"/>
      <c r="K1774" s="24">
        <v>20</v>
      </c>
      <c r="L1774" s="24">
        <v>120</v>
      </c>
      <c r="M1774" s="23"/>
      <c r="N1774" s="23"/>
      <c r="O1774" s="23"/>
      <c r="P1774" s="23"/>
      <c r="Q1774" s="23"/>
      <c r="R1774" s="23">
        <v>20</v>
      </c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>
        <v>20</v>
      </c>
      <c r="AL1774" s="23"/>
      <c r="AM1774" s="23"/>
      <c r="AN1774" s="23"/>
      <c r="AO1774" s="23"/>
      <c r="AP1774" s="23">
        <v>20</v>
      </c>
      <c r="AQ1774" s="23"/>
      <c r="AR1774" s="23"/>
      <c r="AS1774" s="23"/>
      <c r="AT1774" s="23"/>
      <c r="AU1774" s="14" t="str">
        <f>HYPERLINK("http://www.openstreetmap.org/?mlat=34.3147&amp;mlon=45.3222&amp;zoom=12#map=12/34.3147/45.3222","Maplink1")</f>
        <v>Maplink1</v>
      </c>
      <c r="AV1774" s="14" t="str">
        <f>HYPERLINK("https://www.google.iq/maps/search/+34.3147,45.3222/@34.3147,45.3222,14z?hl=en","Maplink2")</f>
        <v>Maplink2</v>
      </c>
      <c r="AW1774" s="14" t="str">
        <f>HYPERLINK("http://www.bing.com/maps/?lvl=14&amp;sty=h&amp;cp=34.3147~45.3222&amp;sp=point.34.3147_45.3222_Ahmed Taher Village","Maplink3")</f>
        <v>Maplink3</v>
      </c>
    </row>
    <row r="1775" spans="1:49" ht="15" customHeight="1" x14ac:dyDescent="0.25">
      <c r="A1775" s="21">
        <v>24354</v>
      </c>
      <c r="B1775" s="22" t="s">
        <v>14</v>
      </c>
      <c r="C1775" s="22" t="s">
        <v>3379</v>
      </c>
      <c r="D1775" s="22" t="s">
        <v>8723</v>
      </c>
      <c r="E1775" s="22" t="s">
        <v>3418</v>
      </c>
      <c r="F1775" s="22">
        <v>34.344047892900001</v>
      </c>
      <c r="G1775" s="22">
        <v>45.401012179799999</v>
      </c>
      <c r="H1775" s="21" t="s">
        <v>3164</v>
      </c>
      <c r="I1775" s="21" t="s">
        <v>3381</v>
      </c>
      <c r="J1775" s="21"/>
      <c r="K1775" s="24">
        <v>50</v>
      </c>
      <c r="L1775" s="24">
        <v>300</v>
      </c>
      <c r="M1775" s="23"/>
      <c r="N1775" s="23"/>
      <c r="O1775" s="23"/>
      <c r="P1775" s="23"/>
      <c r="Q1775" s="23"/>
      <c r="R1775" s="23">
        <v>50</v>
      </c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>
        <v>10</v>
      </c>
      <c r="AG1775" s="23"/>
      <c r="AH1775" s="23"/>
      <c r="AI1775" s="23"/>
      <c r="AJ1775" s="23"/>
      <c r="AK1775" s="23">
        <v>40</v>
      </c>
      <c r="AL1775" s="23"/>
      <c r="AM1775" s="23"/>
      <c r="AN1775" s="23"/>
      <c r="AO1775" s="23"/>
      <c r="AP1775" s="23">
        <v>40</v>
      </c>
      <c r="AQ1775" s="23">
        <v>10</v>
      </c>
      <c r="AR1775" s="23"/>
      <c r="AS1775" s="23"/>
      <c r="AT1775" s="23"/>
      <c r="AU1775" s="14" t="str">
        <f>HYPERLINK("http://www.openstreetmap.org/?mlat=34.3421&amp;mlon=45.4056&amp;zoom=12#map=12/34.3421/45.4056","Maplink1")</f>
        <v>Maplink1</v>
      </c>
      <c r="AV1775" s="14" t="str">
        <f>HYPERLINK("https://www.google.iq/maps/search/+34.3421,45.4056/@34.3421,45.4056,14z?hl=en","Maplink2")</f>
        <v>Maplink2</v>
      </c>
      <c r="AW1775" s="14" t="str">
        <f>HYPERLINK("http://www.bing.com/maps/?lvl=14&amp;sty=h&amp;cp=34.3421~45.4056&amp;sp=point.34.3421_45.4056_Hay Al Askari","Maplink3")</f>
        <v>Maplink3</v>
      </c>
    </row>
    <row r="1776" spans="1:49" ht="15" customHeight="1" x14ac:dyDescent="0.25">
      <c r="A1776" s="21">
        <v>24510</v>
      </c>
      <c r="B1776" s="22" t="s">
        <v>14</v>
      </c>
      <c r="C1776" s="22" t="s">
        <v>3379</v>
      </c>
      <c r="D1776" s="22" t="s">
        <v>3389</v>
      </c>
      <c r="E1776" s="22" t="s">
        <v>3390</v>
      </c>
      <c r="F1776" s="22">
        <v>34.3234534375</v>
      </c>
      <c r="G1776" s="22">
        <v>45.2777249739</v>
      </c>
      <c r="H1776" s="21" t="s">
        <v>3164</v>
      </c>
      <c r="I1776" s="21" t="s">
        <v>3381</v>
      </c>
      <c r="J1776" s="21"/>
      <c r="K1776" s="24">
        <v>125</v>
      </c>
      <c r="L1776" s="24">
        <v>750</v>
      </c>
      <c r="M1776" s="23"/>
      <c r="N1776" s="23"/>
      <c r="O1776" s="23"/>
      <c r="P1776" s="23"/>
      <c r="Q1776" s="23"/>
      <c r="R1776" s="23">
        <v>125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25</v>
      </c>
      <c r="AG1776" s="23"/>
      <c r="AH1776" s="23"/>
      <c r="AI1776" s="23"/>
      <c r="AJ1776" s="23"/>
      <c r="AK1776" s="23">
        <v>27</v>
      </c>
      <c r="AL1776" s="23"/>
      <c r="AM1776" s="23">
        <v>73</v>
      </c>
      <c r="AN1776" s="23"/>
      <c r="AO1776" s="23"/>
      <c r="AP1776" s="23">
        <v>115</v>
      </c>
      <c r="AQ1776" s="23">
        <v>10</v>
      </c>
      <c r="AR1776" s="23"/>
      <c r="AS1776" s="23"/>
      <c r="AT1776" s="23"/>
      <c r="AU1776" s="14" t="str">
        <f>HYPERLINK("http://www.openstreetmap.org/?mlat=34.3237&amp;mlon=45.2785&amp;zoom=12#map=12/34.3237/45.2785","Maplink1")</f>
        <v>Maplink1</v>
      </c>
      <c r="AV1776" s="14" t="str">
        <f>HYPERLINK("https://www.google.iq/maps/search/+34.3237,45.2785/@34.3237,45.2785,14z?hl=en","Maplink2")</f>
        <v>Maplink2</v>
      </c>
      <c r="AW1776" s="14" t="str">
        <f>HYPERLINK("http://www.bing.com/maps/?lvl=14&amp;sty=h&amp;cp=34.3237~45.2785&amp;sp=point.34.3237_45.2785_Al Ukhwah village","Maplink3")</f>
        <v>Maplink3</v>
      </c>
    </row>
    <row r="1777" spans="1:49" ht="15" customHeight="1" x14ac:dyDescent="0.25">
      <c r="A1777" s="21">
        <v>27286</v>
      </c>
      <c r="B1777" s="22" t="s">
        <v>14</v>
      </c>
      <c r="C1777" s="22" t="s">
        <v>3379</v>
      </c>
      <c r="D1777" s="22" t="s">
        <v>7467</v>
      </c>
      <c r="E1777" s="22" t="s">
        <v>3382</v>
      </c>
      <c r="F1777" s="22">
        <v>34.3219717841</v>
      </c>
      <c r="G1777" s="22">
        <v>45.450311386300001</v>
      </c>
      <c r="H1777" s="21"/>
      <c r="I1777" s="21"/>
      <c r="J1777" s="21"/>
      <c r="K1777" s="24">
        <v>400</v>
      </c>
      <c r="L1777" s="24">
        <v>2400</v>
      </c>
      <c r="M1777" s="23"/>
      <c r="N1777" s="23"/>
      <c r="O1777" s="23"/>
      <c r="P1777" s="23"/>
      <c r="Q1777" s="23"/>
      <c r="R1777" s="23">
        <v>400</v>
      </c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>
        <v>400</v>
      </c>
      <c r="AF1777" s="23"/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>
        <v>395</v>
      </c>
      <c r="AQ1777" s="23">
        <v>5</v>
      </c>
      <c r="AR1777" s="23"/>
      <c r="AS1777" s="23"/>
      <c r="AT1777" s="23"/>
      <c r="AU1777" s="14" t="str">
        <f>HYPERLINK("http://www.openstreetmap.org/?mlat=34.3161&amp;mlon=45.4593&amp;zoom=12#map=12/34.3161/45.4593","Maplink1")</f>
        <v>Maplink1</v>
      </c>
      <c r="AV1777" s="14" t="str">
        <f>HYPERLINK("https://www.google.iq/maps/search/+34.3161,45.4593/@34.3161,45.4593,14z?hl=en","Maplink2")</f>
        <v>Maplink2</v>
      </c>
      <c r="AW1777" s="14" t="str">
        <f>HYPERLINK("http://www.bing.com/maps/?lvl=14&amp;sty=h&amp;cp=34.3161~45.4593&amp;sp=point.34.3161_45.4593_ Al Wand 2 Camp","Maplink3")</f>
        <v>Maplink3</v>
      </c>
    </row>
    <row r="1778" spans="1:49" ht="15" customHeight="1" x14ac:dyDescent="0.25">
      <c r="A1778" s="21">
        <v>24405</v>
      </c>
      <c r="B1778" s="22" t="s">
        <v>14</v>
      </c>
      <c r="C1778" s="22" t="s">
        <v>3379</v>
      </c>
      <c r="D1778" s="22" t="s">
        <v>3392</v>
      </c>
      <c r="E1778" s="22" t="s">
        <v>3393</v>
      </c>
      <c r="F1778" s="22">
        <v>34.360275934500002</v>
      </c>
      <c r="G1778" s="22">
        <v>45.220848647899999</v>
      </c>
      <c r="H1778" s="21" t="s">
        <v>3164</v>
      </c>
      <c r="I1778" s="21" t="s">
        <v>3381</v>
      </c>
      <c r="J1778" s="21"/>
      <c r="K1778" s="24">
        <v>90</v>
      </c>
      <c r="L1778" s="24">
        <v>540</v>
      </c>
      <c r="M1778" s="23"/>
      <c r="N1778" s="23"/>
      <c r="O1778" s="23"/>
      <c r="P1778" s="23"/>
      <c r="Q1778" s="23"/>
      <c r="R1778" s="23">
        <v>90</v>
      </c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>
        <v>50</v>
      </c>
      <c r="AG1778" s="23"/>
      <c r="AH1778" s="23"/>
      <c r="AI1778" s="23"/>
      <c r="AJ1778" s="23"/>
      <c r="AK1778" s="23"/>
      <c r="AL1778" s="23">
        <v>12</v>
      </c>
      <c r="AM1778" s="23">
        <v>28</v>
      </c>
      <c r="AN1778" s="23"/>
      <c r="AO1778" s="23"/>
      <c r="AP1778" s="23">
        <v>45</v>
      </c>
      <c r="AQ1778" s="23">
        <v>30</v>
      </c>
      <c r="AR1778" s="23">
        <v>15</v>
      </c>
      <c r="AS1778" s="23"/>
      <c r="AT1778" s="23"/>
      <c r="AU1778" s="14" t="str">
        <f>HYPERLINK("http://www.openstreetmap.org/?mlat=34.3601&amp;mlon=45.2186&amp;zoom=12#map=12/34.3601/45.2186","Maplink1")</f>
        <v>Maplink1</v>
      </c>
      <c r="AV1778" s="14" t="str">
        <f>HYPERLINK("https://www.google.iq/maps/search/+34.3601,45.2186/@34.3601,45.2186,14z?hl=en","Maplink2")</f>
        <v>Maplink2</v>
      </c>
      <c r="AW1778" s="14" t="str">
        <f>HYPERLINK("http://www.bing.com/maps/?lvl=14&amp;sty=h&amp;cp=34.3601~45.2186&amp;sp=point.34.3601_45.2186_aldarawsha village","Maplink3")</f>
        <v>Maplink3</v>
      </c>
    </row>
    <row r="1779" spans="1:49" ht="15" customHeight="1" x14ac:dyDescent="0.25">
      <c r="A1779" s="21">
        <v>25627</v>
      </c>
      <c r="B1779" s="22" t="s">
        <v>14</v>
      </c>
      <c r="C1779" s="22" t="s">
        <v>3379</v>
      </c>
      <c r="D1779" s="22" t="s">
        <v>3395</v>
      </c>
      <c r="E1779" s="22" t="s">
        <v>3396</v>
      </c>
      <c r="F1779" s="22">
        <v>34.352093346799997</v>
      </c>
      <c r="G1779" s="22">
        <v>45.243790530600002</v>
      </c>
      <c r="H1779" s="21" t="s">
        <v>3164</v>
      </c>
      <c r="I1779" s="21" t="s">
        <v>3381</v>
      </c>
      <c r="J1779" s="21"/>
      <c r="K1779" s="24">
        <v>30</v>
      </c>
      <c r="L1779" s="24">
        <v>180</v>
      </c>
      <c r="M1779" s="23"/>
      <c r="N1779" s="23"/>
      <c r="O1779" s="23"/>
      <c r="P1779" s="23"/>
      <c r="Q1779" s="23"/>
      <c r="R1779" s="23">
        <v>30</v>
      </c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>
        <v>30</v>
      </c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>
        <v>30</v>
      </c>
      <c r="AQ1779" s="23"/>
      <c r="AR1779" s="23"/>
      <c r="AS1779" s="23"/>
      <c r="AT1779" s="23"/>
      <c r="AU1779" s="14" t="str">
        <f>HYPERLINK("http://www.openstreetmap.org/?mlat=34.3527&amp;mlon=45.2397&amp;zoom=12#map=12/34.3527/45.2397","Maplink1")</f>
        <v>Maplink1</v>
      </c>
      <c r="AV1779" s="14" t="str">
        <f>HYPERLINK("https://www.google.iq/maps/search/+34.3527,45.2397/@34.3527,45.2397,14z?hl=en","Maplink2")</f>
        <v>Maplink2</v>
      </c>
      <c r="AW1779" s="14" t="str">
        <f>HYPERLINK("http://www.bing.com/maps/?lvl=14&amp;sty=h&amp;cp=34.3527~45.2397&amp;sp=point.34.3527_45.2397_Ali Beck village","Maplink3")</f>
        <v>Maplink3</v>
      </c>
    </row>
    <row r="1780" spans="1:49" ht="15" customHeight="1" x14ac:dyDescent="0.25">
      <c r="A1780" s="21">
        <v>25341</v>
      </c>
      <c r="B1780" s="22" t="s">
        <v>14</v>
      </c>
      <c r="C1780" s="22" t="s">
        <v>3379</v>
      </c>
      <c r="D1780" s="22" t="s">
        <v>8724</v>
      </c>
      <c r="E1780" s="22" t="s">
        <v>8725</v>
      </c>
      <c r="F1780" s="22">
        <v>34.364014067299998</v>
      </c>
      <c r="G1780" s="22">
        <v>45.380967984599998</v>
      </c>
      <c r="H1780" s="21" t="s">
        <v>3164</v>
      </c>
      <c r="I1780" s="21" t="s">
        <v>3381</v>
      </c>
      <c r="J1780" s="21"/>
      <c r="K1780" s="24">
        <v>80</v>
      </c>
      <c r="L1780" s="24">
        <v>480</v>
      </c>
      <c r="M1780" s="23"/>
      <c r="N1780" s="23"/>
      <c r="O1780" s="23">
        <v>2</v>
      </c>
      <c r="P1780" s="23"/>
      <c r="Q1780" s="23"/>
      <c r="R1780" s="23">
        <v>78</v>
      </c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>
        <v>23</v>
      </c>
      <c r="AG1780" s="23"/>
      <c r="AH1780" s="23"/>
      <c r="AI1780" s="23"/>
      <c r="AJ1780" s="23"/>
      <c r="AK1780" s="23">
        <v>42</v>
      </c>
      <c r="AL1780" s="23"/>
      <c r="AM1780" s="23">
        <v>15</v>
      </c>
      <c r="AN1780" s="23"/>
      <c r="AO1780" s="23"/>
      <c r="AP1780" s="23">
        <v>78</v>
      </c>
      <c r="AQ1780" s="23">
        <v>2</v>
      </c>
      <c r="AR1780" s="23"/>
      <c r="AS1780" s="23"/>
      <c r="AT1780" s="23"/>
      <c r="AU1780" s="14" t="str">
        <f>HYPERLINK("http://www.openstreetmap.org/?mlat=34.3636&amp;mlon=45.3804&amp;zoom=12#map=12/34.3636/45.3804","Maplink1")</f>
        <v>Maplink1</v>
      </c>
      <c r="AV1780" s="14" t="str">
        <f>HYPERLINK("https://www.google.iq/maps/search/+34.3636,45.3804/@34.3636,45.3804,14z?hl=en","Maplink2")</f>
        <v>Maplink2</v>
      </c>
      <c r="AW1780" s="14" t="str">
        <f>HYPERLINK("http://www.bing.com/maps/?lvl=14&amp;sty=h&amp;cp=34.3636~45.3804&amp;sp=point.34.3636_45.3804_Ali Murad","Maplink3")</f>
        <v>Maplink3</v>
      </c>
    </row>
    <row r="1781" spans="1:49" ht="15" customHeight="1" x14ac:dyDescent="0.25">
      <c r="A1781" s="21">
        <v>24386</v>
      </c>
      <c r="B1781" s="22" t="s">
        <v>14</v>
      </c>
      <c r="C1781" s="22" t="s">
        <v>3379</v>
      </c>
      <c r="D1781" s="22" t="s">
        <v>3397</v>
      </c>
      <c r="E1781" s="22" t="s">
        <v>3398</v>
      </c>
      <c r="F1781" s="22">
        <v>34.384427131199999</v>
      </c>
      <c r="G1781" s="22">
        <v>45.291829872900003</v>
      </c>
      <c r="H1781" s="21" t="s">
        <v>3164</v>
      </c>
      <c r="I1781" s="21" t="s">
        <v>3381</v>
      </c>
      <c r="J1781" s="21"/>
      <c r="K1781" s="24">
        <v>50</v>
      </c>
      <c r="L1781" s="24">
        <v>300</v>
      </c>
      <c r="M1781" s="23"/>
      <c r="N1781" s="23"/>
      <c r="O1781" s="23"/>
      <c r="P1781" s="23"/>
      <c r="Q1781" s="23"/>
      <c r="R1781" s="23">
        <v>50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>
        <v>30</v>
      </c>
      <c r="AG1781" s="23"/>
      <c r="AH1781" s="23"/>
      <c r="AI1781" s="23"/>
      <c r="AJ1781" s="23"/>
      <c r="AK1781" s="23"/>
      <c r="AL1781" s="23"/>
      <c r="AM1781" s="23">
        <v>20</v>
      </c>
      <c r="AN1781" s="23"/>
      <c r="AO1781" s="23"/>
      <c r="AP1781" s="23">
        <v>40</v>
      </c>
      <c r="AQ1781" s="23">
        <v>10</v>
      </c>
      <c r="AR1781" s="23"/>
      <c r="AS1781" s="23"/>
      <c r="AT1781" s="23"/>
      <c r="AU1781" s="14" t="str">
        <f>HYPERLINK("http://www.openstreetmap.org/?mlat=34.384&amp;mlon=45.2913&amp;zoom=12#map=12/34.384/45.2913","Maplink1")</f>
        <v>Maplink1</v>
      </c>
      <c r="AV1781" s="14" t="str">
        <f>HYPERLINK("https://www.google.iq/maps/search/+34.384,45.2913/@34.384,45.2913,14z?hl=en","Maplink2")</f>
        <v>Maplink2</v>
      </c>
      <c r="AW1781" s="14" t="str">
        <f>HYPERLINK("http://www.bing.com/maps/?lvl=14&amp;sty=h&amp;cp=34.384~45.2913&amp;sp=point.34.384_45.2913_Ali Saadoun village","Maplink3")</f>
        <v>Maplink3</v>
      </c>
    </row>
    <row r="1782" spans="1:49" ht="15" customHeight="1" x14ac:dyDescent="0.25">
      <c r="A1782" s="21">
        <v>24404</v>
      </c>
      <c r="B1782" s="22" t="s">
        <v>14</v>
      </c>
      <c r="C1782" s="22" t="s">
        <v>3379</v>
      </c>
      <c r="D1782" s="22" t="s">
        <v>3399</v>
      </c>
      <c r="E1782" s="22" t="s">
        <v>3400</v>
      </c>
      <c r="F1782" s="22">
        <v>34.367156806399997</v>
      </c>
      <c r="G1782" s="22">
        <v>45.243923608199999</v>
      </c>
      <c r="H1782" s="21" t="s">
        <v>3164</v>
      </c>
      <c r="I1782" s="21" t="s">
        <v>3381</v>
      </c>
      <c r="J1782" s="21"/>
      <c r="K1782" s="24">
        <v>25</v>
      </c>
      <c r="L1782" s="24">
        <v>150</v>
      </c>
      <c r="M1782" s="23"/>
      <c r="N1782" s="23"/>
      <c r="O1782" s="23"/>
      <c r="P1782" s="23"/>
      <c r="Q1782" s="23"/>
      <c r="R1782" s="23">
        <v>25</v>
      </c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>
        <v>25</v>
      </c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>
        <v>5</v>
      </c>
      <c r="AQ1782" s="23"/>
      <c r="AR1782" s="23">
        <v>20</v>
      </c>
      <c r="AS1782" s="23"/>
      <c r="AT1782" s="23"/>
      <c r="AU1782" s="14" t="str">
        <f>HYPERLINK("http://www.openstreetmap.org/?mlat=34.3677&amp;mlon=45.2457&amp;zoom=12#map=12/34.3677/45.2457","Maplink1")</f>
        <v>Maplink1</v>
      </c>
      <c r="AV1782" s="14" t="str">
        <f>HYPERLINK("https://www.google.iq/maps/search/+34.3677,45.2457/@34.3677,45.2457,14z?hl=en","Maplink2")</f>
        <v>Maplink2</v>
      </c>
      <c r="AW1782" s="14" t="str">
        <f>HYPERLINK("http://www.bing.com/maps/?lvl=14&amp;sty=h&amp;cp=34.3677~45.2457&amp;sp=point.34.3677_45.2457_alkalah village","Maplink3")</f>
        <v>Maplink3</v>
      </c>
    </row>
    <row r="1783" spans="1:49" ht="15" customHeight="1" x14ac:dyDescent="0.25">
      <c r="A1783" s="21">
        <v>24407</v>
      </c>
      <c r="B1783" s="22" t="s">
        <v>14</v>
      </c>
      <c r="C1783" s="22" t="s">
        <v>3379</v>
      </c>
      <c r="D1783" s="22" t="s">
        <v>3401</v>
      </c>
      <c r="E1783" s="22" t="s">
        <v>3402</v>
      </c>
      <c r="F1783" s="22">
        <v>34.399876034599998</v>
      </c>
      <c r="G1783" s="22">
        <v>45.236506173899997</v>
      </c>
      <c r="H1783" s="21" t="s">
        <v>3164</v>
      </c>
      <c r="I1783" s="21" t="s">
        <v>3381</v>
      </c>
      <c r="J1783" s="21"/>
      <c r="K1783" s="24">
        <v>80</v>
      </c>
      <c r="L1783" s="24">
        <v>480</v>
      </c>
      <c r="M1783" s="23"/>
      <c r="N1783" s="23"/>
      <c r="O1783" s="23"/>
      <c r="P1783" s="23"/>
      <c r="Q1783" s="23"/>
      <c r="R1783" s="23">
        <v>80</v>
      </c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>
        <v>10</v>
      </c>
      <c r="AG1783" s="23"/>
      <c r="AH1783" s="23"/>
      <c r="AI1783" s="23"/>
      <c r="AJ1783" s="23"/>
      <c r="AK1783" s="23"/>
      <c r="AL1783" s="23"/>
      <c r="AM1783" s="23">
        <v>70</v>
      </c>
      <c r="AN1783" s="23"/>
      <c r="AO1783" s="23"/>
      <c r="AP1783" s="23">
        <v>70</v>
      </c>
      <c r="AQ1783" s="23">
        <v>10</v>
      </c>
      <c r="AR1783" s="23"/>
      <c r="AS1783" s="23"/>
      <c r="AT1783" s="23"/>
      <c r="AU1783" s="14" t="str">
        <f>HYPERLINK("http://www.openstreetmap.org/?mlat=34.4&amp;mlon=45.2356&amp;zoom=12#map=12/34.4/45.2356","Maplink1")</f>
        <v>Maplink1</v>
      </c>
      <c r="AV1783" s="14" t="str">
        <f>HYPERLINK("https://www.google.iq/maps/search/+34.4,45.2356/@34.4,45.2356,14z?hl=en","Maplink2")</f>
        <v>Maplink2</v>
      </c>
      <c r="AW1783" s="14" t="str">
        <f>HYPERLINK("http://www.bing.com/maps/?lvl=14&amp;sty=h&amp;cp=34.4~45.2356&amp;sp=point.34.4_45.2356_alkubeah small village","Maplink3")</f>
        <v>Maplink3</v>
      </c>
    </row>
    <row r="1784" spans="1:49" ht="15" customHeight="1" x14ac:dyDescent="0.25">
      <c r="A1784" s="21">
        <v>24395</v>
      </c>
      <c r="B1784" s="22" t="s">
        <v>14</v>
      </c>
      <c r="C1784" s="22" t="s">
        <v>3379</v>
      </c>
      <c r="D1784" s="22" t="s">
        <v>8726</v>
      </c>
      <c r="E1784" s="22" t="s">
        <v>261</v>
      </c>
      <c r="F1784" s="22">
        <v>34.348568890999999</v>
      </c>
      <c r="G1784" s="22">
        <v>45.4075218925</v>
      </c>
      <c r="H1784" s="21" t="s">
        <v>3164</v>
      </c>
      <c r="I1784" s="21" t="s">
        <v>3381</v>
      </c>
      <c r="J1784" s="21"/>
      <c r="K1784" s="24">
        <v>50</v>
      </c>
      <c r="L1784" s="24">
        <v>300</v>
      </c>
      <c r="M1784" s="23"/>
      <c r="N1784" s="23"/>
      <c r="O1784" s="23"/>
      <c r="P1784" s="23"/>
      <c r="Q1784" s="23"/>
      <c r="R1784" s="23">
        <v>50</v>
      </c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30</v>
      </c>
      <c r="AL1784" s="23"/>
      <c r="AM1784" s="23">
        <v>20</v>
      </c>
      <c r="AN1784" s="23"/>
      <c r="AO1784" s="23"/>
      <c r="AP1784" s="23">
        <v>25</v>
      </c>
      <c r="AQ1784" s="23">
        <v>25</v>
      </c>
      <c r="AR1784" s="23"/>
      <c r="AS1784" s="23"/>
      <c r="AT1784" s="23"/>
      <c r="AU1784" s="14" t="str">
        <f>HYPERLINK("http://www.openstreetmap.org/?mlat=34.348&amp;mlon=45.408&amp;zoom=12#map=12/34.348/45.408","Maplink1")</f>
        <v>Maplink1</v>
      </c>
      <c r="AV1784" s="14" t="str">
        <f>HYPERLINK("https://www.google.iq/maps/search/+34.348,45.408/@34.348,45.408,14z?hl=en","Maplink2")</f>
        <v>Maplink2</v>
      </c>
      <c r="AW1784" s="14" t="str">
        <f>HYPERLINK("http://www.bing.com/maps/?lvl=14&amp;sty=h&amp;cp=34.348~45.408&amp;sp=point.34.348_45.408_Hay alshortah","Maplink3")</f>
        <v>Maplink3</v>
      </c>
    </row>
    <row r="1785" spans="1:49" ht="15" customHeight="1" x14ac:dyDescent="0.25">
      <c r="A1785" s="21">
        <v>10676</v>
      </c>
      <c r="B1785" s="22" t="s">
        <v>14</v>
      </c>
      <c r="C1785" s="22" t="s">
        <v>3379</v>
      </c>
      <c r="D1785" s="22" t="s">
        <v>8727</v>
      </c>
      <c r="E1785" s="22" t="s">
        <v>8728</v>
      </c>
      <c r="F1785" s="22">
        <v>34.331516509799997</v>
      </c>
      <c r="G1785" s="22">
        <v>45.399610982399999</v>
      </c>
      <c r="H1785" s="21" t="s">
        <v>3164</v>
      </c>
      <c r="I1785" s="21" t="s">
        <v>3381</v>
      </c>
      <c r="J1785" s="21" t="s">
        <v>3403</v>
      </c>
      <c r="K1785" s="24">
        <v>175</v>
      </c>
      <c r="L1785" s="24">
        <v>1050</v>
      </c>
      <c r="M1785" s="23"/>
      <c r="N1785" s="23"/>
      <c r="O1785" s="23"/>
      <c r="P1785" s="23"/>
      <c r="Q1785" s="23"/>
      <c r="R1785" s="23">
        <v>175</v>
      </c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>
        <v>10</v>
      </c>
      <c r="AG1785" s="23"/>
      <c r="AH1785" s="23"/>
      <c r="AI1785" s="23"/>
      <c r="AJ1785" s="23"/>
      <c r="AK1785" s="23">
        <v>60</v>
      </c>
      <c r="AL1785" s="23"/>
      <c r="AM1785" s="23">
        <v>105</v>
      </c>
      <c r="AN1785" s="23"/>
      <c r="AO1785" s="23"/>
      <c r="AP1785" s="23">
        <v>175</v>
      </c>
      <c r="AQ1785" s="23"/>
      <c r="AR1785" s="23"/>
      <c r="AS1785" s="23"/>
      <c r="AT1785" s="23"/>
      <c r="AU1785" s="14" t="str">
        <f>HYPERLINK("http://www.openstreetmap.org/?mlat=34.3366&amp;mlon=45.3973&amp;zoom=12#map=12/34.3366/45.3973","Maplink1")</f>
        <v>Maplink1</v>
      </c>
      <c r="AV1785" s="14" t="str">
        <f>HYPERLINK("https://www.google.iq/maps/search/+34.3366,45.3973/@34.3366,45.3973,14z?hl=en","Maplink2")</f>
        <v>Maplink2</v>
      </c>
      <c r="AW1785" s="14" t="str">
        <f>HYPERLINK("http://www.bing.com/maps/?lvl=14&amp;sty=h&amp;cp=34.3366~45.3973&amp;sp=point.34.3366_45.3973_Arkawazi","Maplink3")</f>
        <v>Maplink3</v>
      </c>
    </row>
    <row r="1786" spans="1:49" ht="15" customHeight="1" x14ac:dyDescent="0.25">
      <c r="A1786" s="21">
        <v>24352</v>
      </c>
      <c r="B1786" s="22" t="s">
        <v>14</v>
      </c>
      <c r="C1786" s="22" t="s">
        <v>3379</v>
      </c>
      <c r="D1786" s="22" t="s">
        <v>3404</v>
      </c>
      <c r="E1786" s="22" t="s">
        <v>3405</v>
      </c>
      <c r="F1786" s="22">
        <v>34.301654362199997</v>
      </c>
      <c r="G1786" s="22">
        <v>45.3468793041</v>
      </c>
      <c r="H1786" s="21" t="s">
        <v>3164</v>
      </c>
      <c r="I1786" s="21" t="s">
        <v>3381</v>
      </c>
      <c r="J1786" s="21"/>
      <c r="K1786" s="24">
        <v>40</v>
      </c>
      <c r="L1786" s="24">
        <v>240</v>
      </c>
      <c r="M1786" s="23"/>
      <c r="N1786" s="23"/>
      <c r="O1786" s="23"/>
      <c r="P1786" s="23"/>
      <c r="Q1786" s="23"/>
      <c r="R1786" s="23">
        <v>40</v>
      </c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20</v>
      </c>
      <c r="AL1786" s="23"/>
      <c r="AM1786" s="23">
        <v>20</v>
      </c>
      <c r="AN1786" s="23"/>
      <c r="AO1786" s="23"/>
      <c r="AP1786" s="23">
        <v>40</v>
      </c>
      <c r="AQ1786" s="23"/>
      <c r="AR1786" s="23"/>
      <c r="AS1786" s="23"/>
      <c r="AT1786" s="23"/>
      <c r="AU1786" s="14" t="str">
        <f>HYPERLINK("http://www.openstreetmap.org/?mlat=34.3025&amp;mlon=45.4769&amp;zoom=12#map=12/34.3025/45.4769","Maplink1")</f>
        <v>Maplink1</v>
      </c>
      <c r="AV1786" s="14" t="str">
        <f>HYPERLINK("https://www.google.iq/maps/search/+34.3025,45.4769/@34.3025,45.4769,14z?hl=en","Maplink2")</f>
        <v>Maplink2</v>
      </c>
      <c r="AW1786" s="14" t="str">
        <f>HYPERLINK("http://www.bing.com/maps/?lvl=14&amp;sty=h&amp;cp=34.3025~45.4769&amp;sp=point.34.3025_45.4769_Bahari Taza Area","Maplink3")</f>
        <v>Maplink3</v>
      </c>
    </row>
    <row r="1787" spans="1:49" ht="15" customHeight="1" x14ac:dyDescent="0.25">
      <c r="A1787" s="21">
        <v>25257</v>
      </c>
      <c r="B1787" s="22" t="s">
        <v>14</v>
      </c>
      <c r="C1787" s="22" t="s">
        <v>3379</v>
      </c>
      <c r="D1787" s="22" t="s">
        <v>8729</v>
      </c>
      <c r="E1787" s="22" t="s">
        <v>3408</v>
      </c>
      <c r="F1787" s="22">
        <v>34.3179324456</v>
      </c>
      <c r="G1787" s="22">
        <v>45.362310446800002</v>
      </c>
      <c r="H1787" s="21" t="s">
        <v>3164</v>
      </c>
      <c r="I1787" s="21" t="s">
        <v>3381</v>
      </c>
      <c r="J1787" s="21"/>
      <c r="K1787" s="24">
        <v>375</v>
      </c>
      <c r="L1787" s="24">
        <v>2250</v>
      </c>
      <c r="M1787" s="23"/>
      <c r="N1787" s="23"/>
      <c r="O1787" s="23"/>
      <c r="P1787" s="23"/>
      <c r="Q1787" s="23"/>
      <c r="R1787" s="23">
        <v>375</v>
      </c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>
        <v>15</v>
      </c>
      <c r="AG1787" s="23"/>
      <c r="AH1787" s="23"/>
      <c r="AI1787" s="23"/>
      <c r="AJ1787" s="23"/>
      <c r="AK1787" s="23">
        <v>225</v>
      </c>
      <c r="AL1787" s="23"/>
      <c r="AM1787" s="23">
        <v>135</v>
      </c>
      <c r="AN1787" s="23"/>
      <c r="AO1787" s="23"/>
      <c r="AP1787" s="23">
        <v>350</v>
      </c>
      <c r="AQ1787" s="23">
        <v>25</v>
      </c>
      <c r="AR1787" s="23"/>
      <c r="AS1787" s="23"/>
      <c r="AT1787" s="23"/>
      <c r="AU1787" s="14" t="str">
        <f>HYPERLINK("http://www.openstreetmap.org/?mlat=34.3184&amp;mlon=45.3617&amp;zoom=12#map=12/34.3184/45.3617","Maplink1")</f>
        <v>Maplink1</v>
      </c>
      <c r="AV1787" s="14" t="str">
        <f>HYPERLINK("https://www.google.iq/maps/search/+34.3184,45.3617/@34.3184,45.3617,14z?hl=en","Maplink2")</f>
        <v>Maplink2</v>
      </c>
      <c r="AW1787" s="14" t="str">
        <f>HYPERLINK("http://www.bing.com/maps/?lvl=14&amp;sty=h&amp;cp=34.3184~45.3617&amp;sp=point.34.3184_45.3617_Bakhtiari","Maplink3")</f>
        <v>Maplink3</v>
      </c>
    </row>
    <row r="1788" spans="1:49" ht="15" customHeight="1" x14ac:dyDescent="0.25">
      <c r="A1788" s="21">
        <v>24400</v>
      </c>
      <c r="B1788" s="22" t="s">
        <v>14</v>
      </c>
      <c r="C1788" s="22" t="s">
        <v>3379</v>
      </c>
      <c r="D1788" s="22" t="s">
        <v>7321</v>
      </c>
      <c r="E1788" s="22" t="s">
        <v>8015</v>
      </c>
      <c r="F1788" s="22">
        <v>34.355698353900003</v>
      </c>
      <c r="G1788" s="22">
        <v>45.234185596300001</v>
      </c>
      <c r="H1788" s="21" t="s">
        <v>3164</v>
      </c>
      <c r="I1788" s="21" t="s">
        <v>3381</v>
      </c>
      <c r="J1788" s="21"/>
      <c r="K1788" s="24">
        <v>20</v>
      </c>
      <c r="L1788" s="24">
        <v>120</v>
      </c>
      <c r="M1788" s="23"/>
      <c r="N1788" s="23"/>
      <c r="O1788" s="23"/>
      <c r="P1788" s="23"/>
      <c r="Q1788" s="23"/>
      <c r="R1788" s="23">
        <v>20</v>
      </c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>
        <v>5</v>
      </c>
      <c r="AG1788" s="23"/>
      <c r="AH1788" s="23"/>
      <c r="AI1788" s="23"/>
      <c r="AJ1788" s="23"/>
      <c r="AK1788" s="23"/>
      <c r="AL1788" s="23"/>
      <c r="AM1788" s="23">
        <v>15</v>
      </c>
      <c r="AN1788" s="23"/>
      <c r="AO1788" s="23"/>
      <c r="AP1788" s="23">
        <v>5</v>
      </c>
      <c r="AQ1788" s="23">
        <v>15</v>
      </c>
      <c r="AR1788" s="23"/>
      <c r="AS1788" s="23"/>
      <c r="AT1788" s="23"/>
      <c r="AU1788" s="14" t="str">
        <f>HYPERLINK("http://www.openstreetmap.org/?mlat=34.356&amp;mlon=45.2388&amp;zoom=12#map=12/34.356/45.2388","Maplink1")</f>
        <v>Maplink1</v>
      </c>
      <c r="AV1788" s="14" t="str">
        <f>HYPERLINK("https://www.google.iq/maps/search/+34.356,45.2388/@34.356,45.2388,14z?hl=en","Maplink2")</f>
        <v>Maplink2</v>
      </c>
      <c r="AW1788" s="14" t="str">
        <f>HYPERLINK("http://www.bing.com/maps/?lvl=14&amp;sty=h&amp;cp=34.356~45.2388&amp;sp=point.34.356_45.2388_dani arkab village","Maplink3")</f>
        <v>Maplink3</v>
      </c>
    </row>
    <row r="1789" spans="1:49" ht="15" customHeight="1" x14ac:dyDescent="0.25">
      <c r="A1789" s="21">
        <v>27296</v>
      </c>
      <c r="B1789" s="22" t="s">
        <v>14</v>
      </c>
      <c r="C1789" s="22" t="s">
        <v>3379</v>
      </c>
      <c r="D1789" s="22" t="s">
        <v>8730</v>
      </c>
      <c r="E1789" s="22" t="s">
        <v>8731</v>
      </c>
      <c r="F1789" s="22">
        <v>34.3149684941</v>
      </c>
      <c r="G1789" s="22">
        <v>45.402947073299998</v>
      </c>
      <c r="H1789" s="21"/>
      <c r="I1789" s="21"/>
      <c r="J1789" s="21"/>
      <c r="K1789" s="24">
        <v>50</v>
      </c>
      <c r="L1789" s="24">
        <v>300</v>
      </c>
      <c r="M1789" s="23"/>
      <c r="N1789" s="23"/>
      <c r="O1789" s="23"/>
      <c r="P1789" s="23"/>
      <c r="Q1789" s="23"/>
      <c r="R1789" s="23">
        <v>50</v>
      </c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>
        <v>5</v>
      </c>
      <c r="AG1789" s="23"/>
      <c r="AH1789" s="23"/>
      <c r="AI1789" s="23"/>
      <c r="AJ1789" s="23"/>
      <c r="AK1789" s="23">
        <v>45</v>
      </c>
      <c r="AL1789" s="23"/>
      <c r="AM1789" s="23"/>
      <c r="AN1789" s="23"/>
      <c r="AO1789" s="23"/>
      <c r="AP1789" s="23">
        <v>20</v>
      </c>
      <c r="AQ1789" s="23">
        <v>30</v>
      </c>
      <c r="AR1789" s="23"/>
      <c r="AS1789" s="23"/>
      <c r="AT1789" s="23"/>
      <c r="AU1789" s="14" t="str">
        <f>HYPERLINK("http://www.openstreetmap.org/?mlat=34.3156&amp;mlon=45.4026&amp;zoom=12#map=12/34.3156/45.4026","Maplink1")</f>
        <v>Maplink1</v>
      </c>
      <c r="AV1789" s="14" t="str">
        <f>HYPERLINK("https://www.google.iq/maps/search/+34.3156,45.4026/@34.3156,45.4026,14z?hl=en","Maplink2")</f>
        <v>Maplink2</v>
      </c>
      <c r="AW1789" s="14" t="str">
        <f>HYPERLINK("http://www.bing.com/maps/?lvl=14&amp;sty=h&amp;cp=34.3156~45.4026&amp;sp=point.34.3156_45.4026_Banmil - 1","Maplink3")</f>
        <v>Maplink3</v>
      </c>
    </row>
    <row r="1790" spans="1:49" ht="15" customHeight="1" x14ac:dyDescent="0.25">
      <c r="A1790" s="21">
        <v>27297</v>
      </c>
      <c r="B1790" s="22" t="s">
        <v>14</v>
      </c>
      <c r="C1790" s="22" t="s">
        <v>3379</v>
      </c>
      <c r="D1790" s="22" t="s">
        <v>8732</v>
      </c>
      <c r="E1790" s="22" t="s">
        <v>8733</v>
      </c>
      <c r="F1790" s="22">
        <v>34.319249245999998</v>
      </c>
      <c r="G1790" s="22">
        <v>45.403688264899998</v>
      </c>
      <c r="H1790" s="21"/>
      <c r="I1790" s="21"/>
      <c r="J1790" s="21"/>
      <c r="K1790" s="24">
        <v>60</v>
      </c>
      <c r="L1790" s="24">
        <v>360</v>
      </c>
      <c r="M1790" s="23"/>
      <c r="N1790" s="23"/>
      <c r="O1790" s="23"/>
      <c r="P1790" s="23"/>
      <c r="Q1790" s="23"/>
      <c r="R1790" s="23">
        <v>60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>
        <v>15</v>
      </c>
      <c r="AG1790" s="23"/>
      <c r="AH1790" s="23"/>
      <c r="AI1790" s="23"/>
      <c r="AJ1790" s="23"/>
      <c r="AK1790" s="23">
        <v>35</v>
      </c>
      <c r="AL1790" s="23"/>
      <c r="AM1790" s="23">
        <v>10</v>
      </c>
      <c r="AN1790" s="23"/>
      <c r="AO1790" s="23"/>
      <c r="AP1790" s="23">
        <v>30</v>
      </c>
      <c r="AQ1790" s="23">
        <v>30</v>
      </c>
      <c r="AR1790" s="23"/>
      <c r="AS1790" s="23"/>
      <c r="AT1790" s="23"/>
      <c r="AU1790" s="14" t="str">
        <f>HYPERLINK("http://www.openstreetmap.org/?mlat=34.3187&amp;mlon=45.4034&amp;zoom=12#map=12/34.3187/45.4034","Maplink1")</f>
        <v>Maplink1</v>
      </c>
      <c r="AV1790" s="14" t="str">
        <f>HYPERLINK("https://www.google.iq/maps/search/+34.3187,45.4034/@34.3187,45.4034,14z?hl=en","Maplink2")</f>
        <v>Maplink2</v>
      </c>
      <c r="AW1790" s="14" t="str">
        <f>HYPERLINK("http://www.bing.com/maps/?lvl=14&amp;sty=h&amp;cp=34.3187~45.4034&amp;sp=point.34.3187_45.4034_Banmil - 2","Maplink3")</f>
        <v>Maplink3</v>
      </c>
    </row>
    <row r="1791" spans="1:49" ht="15" customHeight="1" x14ac:dyDescent="0.25">
      <c r="A1791" s="21">
        <v>27298</v>
      </c>
      <c r="B1791" s="22" t="s">
        <v>14</v>
      </c>
      <c r="C1791" s="22" t="s">
        <v>3379</v>
      </c>
      <c r="D1791" s="22" t="s">
        <v>8734</v>
      </c>
      <c r="E1791" s="22" t="s">
        <v>8735</v>
      </c>
      <c r="F1791" s="22">
        <v>34.319785233899999</v>
      </c>
      <c r="G1791" s="22">
        <v>45.399968592699999</v>
      </c>
      <c r="H1791" s="21"/>
      <c r="I1791" s="21"/>
      <c r="J1791" s="21"/>
      <c r="K1791" s="24">
        <v>40</v>
      </c>
      <c r="L1791" s="24">
        <v>240</v>
      </c>
      <c r="M1791" s="23"/>
      <c r="N1791" s="23"/>
      <c r="O1791" s="23"/>
      <c r="P1791" s="23"/>
      <c r="Q1791" s="23"/>
      <c r="R1791" s="23">
        <v>40</v>
      </c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>
        <v>40</v>
      </c>
      <c r="AL1791" s="23"/>
      <c r="AM1791" s="23"/>
      <c r="AN1791" s="23"/>
      <c r="AO1791" s="23"/>
      <c r="AP1791" s="23">
        <v>20</v>
      </c>
      <c r="AQ1791" s="23">
        <v>20</v>
      </c>
      <c r="AR1791" s="23"/>
      <c r="AS1791" s="23"/>
      <c r="AT1791" s="23"/>
      <c r="AU1791" s="14" t="str">
        <f>HYPERLINK("http://www.openstreetmap.org/?mlat=34.3179&amp;mlon=45.4013&amp;zoom=12#map=12/34.3179/45.4013","Maplink1")</f>
        <v>Maplink1</v>
      </c>
      <c r="AV1791" s="14" t="str">
        <f>HYPERLINK("https://www.google.iq/maps/search/+34.3179,45.4013/@34.3179,45.4013,14z?hl=en","Maplink2")</f>
        <v>Maplink2</v>
      </c>
      <c r="AW1791" s="14" t="str">
        <f>HYPERLINK("http://www.bing.com/maps/?lvl=14&amp;sty=h&amp;cp=34.3179~45.4013&amp;sp=point.34.3179_45.4013_Banmil - 3","Maplink3")</f>
        <v>Maplink3</v>
      </c>
    </row>
    <row r="1792" spans="1:49" ht="15" customHeight="1" x14ac:dyDescent="0.25">
      <c r="A1792" s="21">
        <v>27299</v>
      </c>
      <c r="B1792" s="22" t="s">
        <v>14</v>
      </c>
      <c r="C1792" s="22" t="s">
        <v>3379</v>
      </c>
      <c r="D1792" s="22" t="s">
        <v>8736</v>
      </c>
      <c r="E1792" s="22" t="s">
        <v>8737</v>
      </c>
      <c r="F1792" s="22">
        <v>34.3469792028</v>
      </c>
      <c r="G1792" s="22">
        <v>45.3909697757</v>
      </c>
      <c r="H1792" s="21"/>
      <c r="I1792" s="21"/>
      <c r="J1792" s="21"/>
      <c r="K1792" s="24">
        <v>22</v>
      </c>
      <c r="L1792" s="24">
        <v>132</v>
      </c>
      <c r="M1792" s="23"/>
      <c r="N1792" s="23"/>
      <c r="O1792" s="23"/>
      <c r="P1792" s="23"/>
      <c r="Q1792" s="23"/>
      <c r="R1792" s="23">
        <v>22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22</v>
      </c>
      <c r="AL1792" s="23"/>
      <c r="AM1792" s="23"/>
      <c r="AN1792" s="23"/>
      <c r="AO1792" s="23"/>
      <c r="AP1792" s="23">
        <v>15</v>
      </c>
      <c r="AQ1792" s="23">
        <v>7</v>
      </c>
      <c r="AR1792" s="23"/>
      <c r="AS1792" s="23"/>
      <c r="AT1792" s="23"/>
      <c r="AU1792" s="14" t="str">
        <f>HYPERLINK("http://www.openstreetmap.org/?mlat=34.3468&amp;mlon=45.392&amp;zoom=12#map=12/34.3468/45.392","Maplink1")</f>
        <v>Maplink1</v>
      </c>
      <c r="AV1792" s="14" t="str">
        <f>HYPERLINK("https://www.google.iq/maps/search/+34.3468,45.392/@34.3468,45.392,14z?hl=en","Maplink2")</f>
        <v>Maplink2</v>
      </c>
      <c r="AW1792" s="14" t="str">
        <f>HYPERLINK("http://www.bing.com/maps/?lvl=14&amp;sty=h&amp;cp=34.3468~45.392&amp;sp=point.34.3468_45.392_ Basha Kobry","Maplink3")</f>
        <v>Maplink3</v>
      </c>
    </row>
    <row r="1793" spans="1:49" ht="15" customHeight="1" x14ac:dyDescent="0.25">
      <c r="A1793" s="21">
        <v>24387</v>
      </c>
      <c r="B1793" s="22" t="s">
        <v>14</v>
      </c>
      <c r="C1793" s="22" t="s">
        <v>3379</v>
      </c>
      <c r="D1793" s="22" t="s">
        <v>3409</v>
      </c>
      <c r="E1793" s="22" t="s">
        <v>3410</v>
      </c>
      <c r="F1793" s="22">
        <v>34.378298181700004</v>
      </c>
      <c r="G1793" s="22">
        <v>45.276417971900003</v>
      </c>
      <c r="H1793" s="21" t="s">
        <v>3164</v>
      </c>
      <c r="I1793" s="21" t="s">
        <v>3381</v>
      </c>
      <c r="J1793" s="21"/>
      <c r="K1793" s="24">
        <v>40</v>
      </c>
      <c r="L1793" s="24">
        <v>240</v>
      </c>
      <c r="M1793" s="23"/>
      <c r="N1793" s="23"/>
      <c r="O1793" s="23"/>
      <c r="P1793" s="23"/>
      <c r="Q1793" s="23"/>
      <c r="R1793" s="23">
        <v>40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>
        <v>18</v>
      </c>
      <c r="AG1793" s="23"/>
      <c r="AH1793" s="23"/>
      <c r="AI1793" s="23"/>
      <c r="AJ1793" s="23"/>
      <c r="AK1793" s="23"/>
      <c r="AL1793" s="23"/>
      <c r="AM1793" s="23">
        <v>22</v>
      </c>
      <c r="AN1793" s="23"/>
      <c r="AO1793" s="23"/>
      <c r="AP1793" s="23"/>
      <c r="AQ1793" s="23">
        <v>40</v>
      </c>
      <c r="AR1793" s="23"/>
      <c r="AS1793" s="23"/>
      <c r="AT1793" s="23"/>
      <c r="AU1793" s="14" t="str">
        <f>HYPERLINK("http://www.openstreetmap.org/?mlat=34.377&amp;mlon=45.2751&amp;zoom=12#map=12/34.377/45.2751","Maplink1")</f>
        <v>Maplink1</v>
      </c>
      <c r="AV1793" s="14" t="str">
        <f>HYPERLINK("https://www.google.iq/maps/search/+34.377,45.2751/@34.377,45.2751,14z?hl=en","Maplink2")</f>
        <v>Maplink2</v>
      </c>
      <c r="AW1793" s="14" t="str">
        <f>HYPERLINK("http://www.bing.com/maps/?lvl=14&amp;sty=h&amp;cp=34.377~45.2751&amp;sp=point.34.377_45.2751_Clay Hussein village","Maplink3")</f>
        <v>Maplink3</v>
      </c>
    </row>
    <row r="1794" spans="1:49" ht="15" customHeight="1" x14ac:dyDescent="0.25">
      <c r="A1794" s="21">
        <v>25467</v>
      </c>
      <c r="B1794" s="22" t="s">
        <v>14</v>
      </c>
      <c r="C1794" s="22" t="s">
        <v>3379</v>
      </c>
      <c r="D1794" s="22" t="s">
        <v>8738</v>
      </c>
      <c r="E1794" s="22" t="s">
        <v>8739</v>
      </c>
      <c r="F1794" s="22">
        <v>34.338353422399997</v>
      </c>
      <c r="G1794" s="22">
        <v>45.393077124199998</v>
      </c>
      <c r="H1794" s="21" t="s">
        <v>3164</v>
      </c>
      <c r="I1794" s="21" t="s">
        <v>3381</v>
      </c>
      <c r="J1794" s="21"/>
      <c r="K1794" s="24">
        <v>100</v>
      </c>
      <c r="L1794" s="24">
        <v>600</v>
      </c>
      <c r="M1794" s="23"/>
      <c r="N1794" s="23"/>
      <c r="O1794" s="23"/>
      <c r="P1794" s="23"/>
      <c r="Q1794" s="23"/>
      <c r="R1794" s="23">
        <v>100</v>
      </c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>
        <v>75</v>
      </c>
      <c r="AL1794" s="23"/>
      <c r="AM1794" s="23">
        <v>25</v>
      </c>
      <c r="AN1794" s="23"/>
      <c r="AO1794" s="23"/>
      <c r="AP1794" s="23">
        <v>80</v>
      </c>
      <c r="AQ1794" s="23">
        <v>20</v>
      </c>
      <c r="AR1794" s="23"/>
      <c r="AS1794" s="23"/>
      <c r="AT1794" s="23"/>
      <c r="AU1794" s="14" t="str">
        <f>HYPERLINK("http://www.openstreetmap.org/?mlat=34.3379&amp;mlon=45.3952&amp;zoom=12#map=12/34.3379/45.3952","Maplink1")</f>
        <v>Maplink1</v>
      </c>
      <c r="AV1794" s="14" t="str">
        <f>HYPERLINK("https://www.google.iq/maps/search/+34.3379,45.3952/@34.3379,45.3952,14z?hl=en","Maplink2")</f>
        <v>Maplink2</v>
      </c>
      <c r="AW1794" s="14" t="str">
        <f>HYPERLINK("http://www.bing.com/maps/?lvl=14&amp;sty=h&amp;cp=34.3379~45.3952&amp;sp=point.34.3379_45.3952_Dara Konarh","Maplink3")</f>
        <v>Maplink3</v>
      </c>
    </row>
    <row r="1795" spans="1:49" ht="15" customHeight="1" x14ac:dyDescent="0.25">
      <c r="A1795" s="21">
        <v>24403</v>
      </c>
      <c r="B1795" s="22" t="s">
        <v>14</v>
      </c>
      <c r="C1795" s="22" t="s">
        <v>3379</v>
      </c>
      <c r="D1795" s="22" t="s">
        <v>3411</v>
      </c>
      <c r="E1795" s="22" t="s">
        <v>3412</v>
      </c>
      <c r="F1795" s="22">
        <v>34.398046540400003</v>
      </c>
      <c r="G1795" s="22">
        <v>45.316886615000001</v>
      </c>
      <c r="H1795" s="21" t="s">
        <v>3164</v>
      </c>
      <c r="I1795" s="21" t="s">
        <v>3381</v>
      </c>
      <c r="J1795" s="21"/>
      <c r="K1795" s="24">
        <v>30</v>
      </c>
      <c r="L1795" s="24">
        <v>180</v>
      </c>
      <c r="M1795" s="23"/>
      <c r="N1795" s="23"/>
      <c r="O1795" s="23"/>
      <c r="P1795" s="23"/>
      <c r="Q1795" s="23"/>
      <c r="R1795" s="23">
        <v>30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>
        <v>12</v>
      </c>
      <c r="AG1795" s="23"/>
      <c r="AH1795" s="23"/>
      <c r="AI1795" s="23"/>
      <c r="AJ1795" s="23"/>
      <c r="AK1795" s="23"/>
      <c r="AL1795" s="23"/>
      <c r="AM1795" s="23">
        <v>18</v>
      </c>
      <c r="AN1795" s="23"/>
      <c r="AO1795" s="23"/>
      <c r="AP1795" s="23">
        <v>4</v>
      </c>
      <c r="AQ1795" s="23">
        <v>26</v>
      </c>
      <c r="AR1795" s="23"/>
      <c r="AS1795" s="23"/>
      <c r="AT1795" s="23"/>
      <c r="AU1795" s="14" t="str">
        <f>HYPERLINK("http://www.openstreetmap.org/?mlat=34.3916&amp;mlon=45.3066&amp;zoom=12#map=12/34.3916/45.3066","Maplink1")</f>
        <v>Maplink1</v>
      </c>
      <c r="AV1795" s="14" t="str">
        <f>HYPERLINK("https://www.google.iq/maps/search/+34.3916,45.3066/@34.3916,45.3066,14z?hl=en","Maplink2")</f>
        <v>Maplink2</v>
      </c>
      <c r="AW1795" s="14" t="str">
        <f>HYPERLINK("http://www.bing.com/maps/?lvl=14&amp;sty=h&amp;cp=34.3916~45.3066&amp;sp=point.34.3916_45.3066_darwish village","Maplink3")</f>
        <v>Maplink3</v>
      </c>
    </row>
    <row r="1796" spans="1:49" ht="15" customHeight="1" x14ac:dyDescent="0.25">
      <c r="A1796" s="21">
        <v>24401</v>
      </c>
      <c r="B1796" s="22" t="s">
        <v>14</v>
      </c>
      <c r="C1796" s="22" t="s">
        <v>3379</v>
      </c>
      <c r="D1796" s="22" t="s">
        <v>8740</v>
      </c>
      <c r="E1796" s="22" t="s">
        <v>3394</v>
      </c>
      <c r="F1796" s="22">
        <v>34.364072182199997</v>
      </c>
      <c r="G1796" s="22">
        <v>45.2381596249</v>
      </c>
      <c r="H1796" s="21" t="s">
        <v>3164</v>
      </c>
      <c r="I1796" s="21" t="s">
        <v>3381</v>
      </c>
      <c r="J1796" s="21"/>
      <c r="K1796" s="24">
        <v>60</v>
      </c>
      <c r="L1796" s="24">
        <v>360</v>
      </c>
      <c r="M1796" s="23"/>
      <c r="N1796" s="23"/>
      <c r="O1796" s="23"/>
      <c r="P1796" s="23"/>
      <c r="Q1796" s="23"/>
      <c r="R1796" s="23">
        <v>60</v>
      </c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>
        <v>40</v>
      </c>
      <c r="AG1796" s="23"/>
      <c r="AH1796" s="23"/>
      <c r="AI1796" s="23"/>
      <c r="AJ1796" s="23"/>
      <c r="AK1796" s="23"/>
      <c r="AL1796" s="23"/>
      <c r="AM1796" s="23">
        <v>20</v>
      </c>
      <c r="AN1796" s="23"/>
      <c r="AO1796" s="23"/>
      <c r="AP1796" s="23">
        <v>15</v>
      </c>
      <c r="AQ1796" s="23"/>
      <c r="AR1796" s="23">
        <v>45</v>
      </c>
      <c r="AS1796" s="23"/>
      <c r="AT1796" s="23"/>
      <c r="AU1796" s="14" t="str">
        <f>HYPERLINK("http://www.openstreetmap.org/?mlat=34.3658&amp;mlon=45.2385&amp;zoom=12#map=12/34.3658/45.2385","Maplink1")</f>
        <v>Maplink1</v>
      </c>
      <c r="AV1796" s="14" t="str">
        <f>HYPERLINK("https://www.google.iq/maps/search/+34.3658,45.2385/@34.3658,45.2385,14z?hl=en","Maplink2")</f>
        <v>Maplink2</v>
      </c>
      <c r="AW1796" s="14" t="str">
        <f>HYPERLINK("http://www.bing.com/maps/?lvl=14&amp;sty=h&amp;cp=34.3658~45.2385&amp;sp=point.34.3658_45.2385_alean village","Maplink3")</f>
        <v>Maplink3</v>
      </c>
    </row>
    <row r="1797" spans="1:49" ht="15" customHeight="1" x14ac:dyDescent="0.25">
      <c r="A1797" s="21">
        <v>24394</v>
      </c>
      <c r="B1797" s="22" t="s">
        <v>14</v>
      </c>
      <c r="C1797" s="22" t="s">
        <v>3379</v>
      </c>
      <c r="D1797" s="22" t="s">
        <v>7322</v>
      </c>
      <c r="E1797" s="22" t="s">
        <v>8016</v>
      </c>
      <c r="F1797" s="22">
        <v>34.309288752900002</v>
      </c>
      <c r="G1797" s="22">
        <v>45.319287461400002</v>
      </c>
      <c r="H1797" s="21" t="s">
        <v>3164</v>
      </c>
      <c r="I1797" s="21" t="s">
        <v>3381</v>
      </c>
      <c r="J1797" s="21"/>
      <c r="K1797" s="24">
        <v>25</v>
      </c>
      <c r="L1797" s="24">
        <v>150</v>
      </c>
      <c r="M1797" s="23"/>
      <c r="N1797" s="23"/>
      <c r="O1797" s="23"/>
      <c r="P1797" s="23"/>
      <c r="Q1797" s="23"/>
      <c r="R1797" s="23">
        <v>25</v>
      </c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>
        <v>20</v>
      </c>
      <c r="AG1797" s="23"/>
      <c r="AH1797" s="23"/>
      <c r="AI1797" s="23"/>
      <c r="AJ1797" s="23"/>
      <c r="AK1797" s="23"/>
      <c r="AL1797" s="23"/>
      <c r="AM1797" s="23">
        <v>5</v>
      </c>
      <c r="AN1797" s="23"/>
      <c r="AO1797" s="23"/>
      <c r="AP1797" s="23">
        <v>25</v>
      </c>
      <c r="AQ1797" s="23"/>
      <c r="AR1797" s="23"/>
      <c r="AS1797" s="23"/>
      <c r="AT1797" s="23"/>
      <c r="AU1797" s="14" t="str">
        <f>HYPERLINK("http://www.openstreetmap.org/?mlat=34.3138&amp;mlon=45.3233&amp;zoom=12#map=12/34.3138/45.3233","Maplink1")</f>
        <v>Maplink1</v>
      </c>
      <c r="AV1797" s="14" t="str">
        <f>HYPERLINK("https://www.google.iq/maps/search/+34.3138,45.3233/@34.3138,45.3233,14z?hl=en","Maplink2")</f>
        <v>Maplink2</v>
      </c>
      <c r="AW1797" s="14" t="str">
        <f>HYPERLINK("http://www.bing.com/maps/?lvl=14&amp;sty=h&amp;cp=34.3138~45.3233&amp;sp=point.34.3138_45.3233_habib ali village","Maplink3")</f>
        <v>Maplink3</v>
      </c>
    </row>
    <row r="1798" spans="1:49" ht="15" customHeight="1" x14ac:dyDescent="0.25">
      <c r="A1798" s="21">
        <v>25626</v>
      </c>
      <c r="B1798" s="22" t="s">
        <v>14</v>
      </c>
      <c r="C1798" s="22" t="s">
        <v>3379</v>
      </c>
      <c r="D1798" s="22" t="s">
        <v>3415</v>
      </c>
      <c r="E1798" s="22" t="s">
        <v>3416</v>
      </c>
      <c r="F1798" s="22">
        <v>34.383643571599997</v>
      </c>
      <c r="G1798" s="22">
        <v>45.263641382800003</v>
      </c>
      <c r="H1798" s="21" t="s">
        <v>3164</v>
      </c>
      <c r="I1798" s="21" t="s">
        <v>3381</v>
      </c>
      <c r="J1798" s="21"/>
      <c r="K1798" s="24">
        <v>7</v>
      </c>
      <c r="L1798" s="24">
        <v>42</v>
      </c>
      <c r="M1798" s="23"/>
      <c r="N1798" s="23"/>
      <c r="O1798" s="23"/>
      <c r="P1798" s="23"/>
      <c r="Q1798" s="23"/>
      <c r="R1798" s="23">
        <v>7</v>
      </c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/>
      <c r="AL1798" s="23"/>
      <c r="AM1798" s="23">
        <v>7</v>
      </c>
      <c r="AN1798" s="23"/>
      <c r="AO1798" s="23"/>
      <c r="AP1798" s="23">
        <v>7</v>
      </c>
      <c r="AQ1798" s="23"/>
      <c r="AR1798" s="23"/>
      <c r="AS1798" s="23"/>
      <c r="AT1798" s="23"/>
      <c r="AU1798" s="14" t="str">
        <f>HYPERLINK("http://www.openstreetmap.org/?mlat=34.3816&amp;mlon=45.257&amp;zoom=12#map=12/34.3816/45.257","Maplink1")</f>
        <v>Maplink1</v>
      </c>
      <c r="AV1798" s="14" t="str">
        <f>HYPERLINK("https://www.google.iq/maps/search/+34.3816,45.257/@34.3816,45.257,14z?hl=en","Maplink2")</f>
        <v>Maplink2</v>
      </c>
      <c r="AW1798" s="14" t="str">
        <f>HYPERLINK("http://www.bing.com/maps/?lvl=14&amp;sty=h&amp;cp=34.3816~45.257&amp;sp=point.34.3816_45.257_Hassan Garad Village","Maplink3")</f>
        <v>Maplink3</v>
      </c>
    </row>
    <row r="1799" spans="1:49" ht="15" customHeight="1" x14ac:dyDescent="0.25">
      <c r="A1799" s="21">
        <v>24410</v>
      </c>
      <c r="B1799" s="22" t="s">
        <v>14</v>
      </c>
      <c r="C1799" s="22" t="s">
        <v>3379</v>
      </c>
      <c r="D1799" s="22" t="s">
        <v>3420</v>
      </c>
      <c r="E1799" s="22" t="s">
        <v>3421</v>
      </c>
      <c r="F1799" s="22">
        <v>34.435600019299997</v>
      </c>
      <c r="G1799" s="22">
        <v>45.255191829300003</v>
      </c>
      <c r="H1799" s="21" t="s">
        <v>3164</v>
      </c>
      <c r="I1799" s="21" t="s">
        <v>3381</v>
      </c>
      <c r="J1799" s="21"/>
      <c r="K1799" s="24">
        <v>15</v>
      </c>
      <c r="L1799" s="24">
        <v>90</v>
      </c>
      <c r="M1799" s="23"/>
      <c r="N1799" s="23"/>
      <c r="O1799" s="23"/>
      <c r="P1799" s="23"/>
      <c r="Q1799" s="23"/>
      <c r="R1799" s="23">
        <v>15</v>
      </c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>
        <v>5</v>
      </c>
      <c r="AG1799" s="23"/>
      <c r="AH1799" s="23"/>
      <c r="AI1799" s="23"/>
      <c r="AJ1799" s="23"/>
      <c r="AK1799" s="23">
        <v>10</v>
      </c>
      <c r="AL1799" s="23"/>
      <c r="AM1799" s="23"/>
      <c r="AN1799" s="23"/>
      <c r="AO1799" s="23"/>
      <c r="AP1799" s="23">
        <v>15</v>
      </c>
      <c r="AQ1799" s="23"/>
      <c r="AR1799" s="23"/>
      <c r="AS1799" s="23"/>
      <c r="AT1799" s="23"/>
      <c r="AU1799" s="14" t="str">
        <f>HYPERLINK("http://www.openstreetmap.org/?mlat=34.4372&amp;mlon=45.2557&amp;zoom=12#map=12/34.4372/45.2557","Maplink1")</f>
        <v>Maplink1</v>
      </c>
      <c r="AV1799" s="14" t="str">
        <f>HYPERLINK("https://www.google.iq/maps/search/+34.4372,45.2557/@34.4372,45.2557,14z?hl=en","Maplink2")</f>
        <v>Maplink2</v>
      </c>
      <c r="AW1799" s="14" t="str">
        <f>HYPERLINK("http://www.bing.com/maps/?lvl=14&amp;sty=h&amp;cp=34.4372~45.2557&amp;sp=point.34.4372_45.2557_Ibrahim bek village","Maplink3")</f>
        <v>Maplink3</v>
      </c>
    </row>
    <row r="1800" spans="1:49" ht="15" customHeight="1" x14ac:dyDescent="0.25">
      <c r="A1800" s="21">
        <v>24312</v>
      </c>
      <c r="B1800" s="22" t="s">
        <v>14</v>
      </c>
      <c r="C1800" s="22" t="s">
        <v>3379</v>
      </c>
      <c r="D1800" s="22" t="s">
        <v>8741</v>
      </c>
      <c r="E1800" s="22" t="s">
        <v>3419</v>
      </c>
      <c r="F1800" s="22">
        <v>34.341766764399999</v>
      </c>
      <c r="G1800" s="22">
        <v>45.362194441299998</v>
      </c>
      <c r="H1800" s="21" t="s">
        <v>3164</v>
      </c>
      <c r="I1800" s="21" t="s">
        <v>3381</v>
      </c>
      <c r="J1800" s="21"/>
      <c r="K1800" s="24">
        <v>125</v>
      </c>
      <c r="L1800" s="24">
        <v>750</v>
      </c>
      <c r="M1800" s="23">
        <v>2</v>
      </c>
      <c r="N1800" s="23"/>
      <c r="O1800" s="23"/>
      <c r="P1800" s="23"/>
      <c r="Q1800" s="23"/>
      <c r="R1800" s="23">
        <v>121</v>
      </c>
      <c r="S1800" s="23"/>
      <c r="T1800" s="23"/>
      <c r="U1800" s="23"/>
      <c r="V1800" s="23"/>
      <c r="W1800" s="23"/>
      <c r="X1800" s="23"/>
      <c r="Y1800" s="23">
        <v>2</v>
      </c>
      <c r="Z1800" s="23"/>
      <c r="AA1800" s="23"/>
      <c r="AB1800" s="23"/>
      <c r="AC1800" s="23"/>
      <c r="AD1800" s="23"/>
      <c r="AE1800" s="23"/>
      <c r="AF1800" s="23">
        <v>4</v>
      </c>
      <c r="AG1800" s="23"/>
      <c r="AH1800" s="23"/>
      <c r="AI1800" s="23"/>
      <c r="AJ1800" s="23"/>
      <c r="AK1800" s="23">
        <v>75</v>
      </c>
      <c r="AL1800" s="23"/>
      <c r="AM1800" s="23">
        <v>46</v>
      </c>
      <c r="AN1800" s="23"/>
      <c r="AO1800" s="23">
        <v>2</v>
      </c>
      <c r="AP1800" s="23">
        <v>123</v>
      </c>
      <c r="AQ1800" s="23"/>
      <c r="AR1800" s="23"/>
      <c r="AS1800" s="23"/>
      <c r="AT1800" s="23"/>
      <c r="AU1800" s="14" t="str">
        <f>HYPERLINK("http://www.openstreetmap.org/?mlat=34.3457&amp;mlon=45.384&amp;zoom=12#map=12/34.3457/45.384","Maplink1")</f>
        <v>Maplink1</v>
      </c>
      <c r="AV1800" s="14" t="str">
        <f>HYPERLINK("https://www.google.iq/maps/search/+34.3457,45.384/@34.3457,45.384,14z?hl=en","Maplink2")</f>
        <v>Maplink2</v>
      </c>
      <c r="AW1800" s="14" t="str">
        <f>HYPERLINK("http://www.bing.com/maps/?lvl=14&amp;sty=h&amp;cp=34.3457~45.384&amp;sp=point.34.3457_45.384_Hay Imam Abas","Maplink3")</f>
        <v>Maplink3</v>
      </c>
    </row>
    <row r="1801" spans="1:49" ht="15" customHeight="1" x14ac:dyDescent="0.25">
      <c r="A1801" s="21">
        <v>10666</v>
      </c>
      <c r="B1801" s="22" t="s">
        <v>14</v>
      </c>
      <c r="C1801" s="22" t="s">
        <v>3379</v>
      </c>
      <c r="D1801" s="22" t="s">
        <v>8742</v>
      </c>
      <c r="E1801" s="22" t="s">
        <v>8743</v>
      </c>
      <c r="F1801" s="22">
        <v>34.314635899000002</v>
      </c>
      <c r="G1801" s="22">
        <v>45.387051894400003</v>
      </c>
      <c r="H1801" s="21" t="s">
        <v>3164</v>
      </c>
      <c r="I1801" s="21" t="s">
        <v>3381</v>
      </c>
      <c r="J1801" s="21" t="s">
        <v>3422</v>
      </c>
      <c r="K1801" s="24">
        <v>40</v>
      </c>
      <c r="L1801" s="24">
        <v>240</v>
      </c>
      <c r="M1801" s="23"/>
      <c r="N1801" s="23"/>
      <c r="O1801" s="23"/>
      <c r="P1801" s="23"/>
      <c r="Q1801" s="23"/>
      <c r="R1801" s="23">
        <v>40</v>
      </c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>
        <v>5</v>
      </c>
      <c r="AG1801" s="23"/>
      <c r="AH1801" s="23"/>
      <c r="AI1801" s="23"/>
      <c r="AJ1801" s="23"/>
      <c r="AK1801" s="23">
        <v>2</v>
      </c>
      <c r="AL1801" s="23"/>
      <c r="AM1801" s="23">
        <v>33</v>
      </c>
      <c r="AN1801" s="23"/>
      <c r="AO1801" s="23"/>
      <c r="AP1801" s="23">
        <v>40</v>
      </c>
      <c r="AQ1801" s="23"/>
      <c r="AR1801" s="23"/>
      <c r="AS1801" s="23"/>
      <c r="AT1801" s="23"/>
      <c r="AU1801" s="14" t="str">
        <f>HYPERLINK("http://www.openstreetmap.org/?mlat=34.3111&amp;mlon=45.3881&amp;zoom=12#map=12/34.3111/45.3881","Maplink1")</f>
        <v>Maplink1</v>
      </c>
      <c r="AV1801" s="14" t="str">
        <f>HYPERLINK("https://www.google.iq/maps/search/+34.3111,45.3881/@34.3111,45.3881,14z?hl=en","Maplink2")</f>
        <v>Maplink2</v>
      </c>
      <c r="AW1801" s="14" t="str">
        <f>HYPERLINK("http://www.bing.com/maps/?lvl=14&amp;sty=h&amp;cp=34.3111~45.3881&amp;sp=point.34.3111_45.3881_Jibraoh","Maplink3")</f>
        <v>Maplink3</v>
      </c>
    </row>
    <row r="1802" spans="1:49" ht="15" customHeight="1" x14ac:dyDescent="0.25">
      <c r="A1802" s="21">
        <v>24409</v>
      </c>
      <c r="B1802" s="22" t="s">
        <v>14</v>
      </c>
      <c r="C1802" s="22" t="s">
        <v>3379</v>
      </c>
      <c r="D1802" s="22" t="s">
        <v>3423</v>
      </c>
      <c r="E1802" s="22" t="s">
        <v>3424</v>
      </c>
      <c r="F1802" s="22">
        <v>34.479414424200002</v>
      </c>
      <c r="G1802" s="22">
        <v>45.218984871300002</v>
      </c>
      <c r="H1802" s="21" t="s">
        <v>3164</v>
      </c>
      <c r="I1802" s="21" t="s">
        <v>3381</v>
      </c>
      <c r="J1802" s="21"/>
      <c r="K1802" s="24">
        <v>33</v>
      </c>
      <c r="L1802" s="24">
        <v>198</v>
      </c>
      <c r="M1802" s="23"/>
      <c r="N1802" s="23"/>
      <c r="O1802" s="23"/>
      <c r="P1802" s="23"/>
      <c r="Q1802" s="23"/>
      <c r="R1802" s="23">
        <v>33</v>
      </c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>
        <v>18</v>
      </c>
      <c r="AG1802" s="23"/>
      <c r="AH1802" s="23"/>
      <c r="AI1802" s="23"/>
      <c r="AJ1802" s="23"/>
      <c r="AK1802" s="23">
        <v>5</v>
      </c>
      <c r="AL1802" s="23"/>
      <c r="AM1802" s="23">
        <v>10</v>
      </c>
      <c r="AN1802" s="23"/>
      <c r="AO1802" s="23"/>
      <c r="AP1802" s="23">
        <v>25</v>
      </c>
      <c r="AQ1802" s="23">
        <v>8</v>
      </c>
      <c r="AR1802" s="23"/>
      <c r="AS1802" s="23"/>
      <c r="AT1802" s="23"/>
      <c r="AU1802" s="14" t="str">
        <f>HYPERLINK("http://www.openstreetmap.org/?mlat=34.4721&amp;mlon=45.2153&amp;zoom=12#map=12/34.4721/45.2153","Maplink1")</f>
        <v>Maplink1</v>
      </c>
      <c r="AV1802" s="14" t="str">
        <f>HYPERLINK("https://www.google.iq/maps/search/+34.4721,45.2153/@34.4721,45.2153,14z?hl=en","Maplink2")</f>
        <v>Maplink2</v>
      </c>
      <c r="AW1802" s="14" t="str">
        <f>HYPERLINK("http://www.bing.com/maps/?lvl=14&amp;sty=h&amp;cp=34.4721~45.2153&amp;sp=point.34.4721_45.2153_kader bek village","Maplink3")</f>
        <v>Maplink3</v>
      </c>
    </row>
    <row r="1803" spans="1:49" ht="15" customHeight="1" x14ac:dyDescent="0.25">
      <c r="A1803" s="21">
        <v>25343</v>
      </c>
      <c r="B1803" s="22" t="s">
        <v>14</v>
      </c>
      <c r="C1803" s="22" t="s">
        <v>3379</v>
      </c>
      <c r="D1803" s="22" t="s">
        <v>8744</v>
      </c>
      <c r="E1803" s="22" t="s">
        <v>3425</v>
      </c>
      <c r="F1803" s="22">
        <v>34.331082946899997</v>
      </c>
      <c r="G1803" s="22">
        <v>45.381465748300002</v>
      </c>
      <c r="H1803" s="21" t="s">
        <v>3164</v>
      </c>
      <c r="I1803" s="21" t="s">
        <v>3381</v>
      </c>
      <c r="J1803" s="21"/>
      <c r="K1803" s="24">
        <v>52</v>
      </c>
      <c r="L1803" s="24">
        <v>312</v>
      </c>
      <c r="M1803" s="23"/>
      <c r="N1803" s="23"/>
      <c r="O1803" s="23"/>
      <c r="P1803" s="23"/>
      <c r="Q1803" s="23"/>
      <c r="R1803" s="23">
        <v>52</v>
      </c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37</v>
      </c>
      <c r="AL1803" s="23"/>
      <c r="AM1803" s="23">
        <v>15</v>
      </c>
      <c r="AN1803" s="23"/>
      <c r="AO1803" s="23"/>
      <c r="AP1803" s="23">
        <v>52</v>
      </c>
      <c r="AQ1803" s="23"/>
      <c r="AR1803" s="23"/>
      <c r="AS1803" s="23"/>
      <c r="AT1803" s="23"/>
      <c r="AU1803" s="14" t="str">
        <f>HYPERLINK("http://www.openstreetmap.org/?mlat=34.3329&amp;mlon=45.3796&amp;zoom=12#map=12/34.3329/45.3796","Maplink1")</f>
        <v>Maplink1</v>
      </c>
      <c r="AV1803" s="14" t="str">
        <f>HYPERLINK("https://www.google.iq/maps/search/+34.3329,45.3796/@34.3329,45.3796,14z?hl=en","Maplink2")</f>
        <v>Maplink2</v>
      </c>
      <c r="AW1803" s="14" t="str">
        <f>HYPERLINK("http://www.bing.com/maps/?lvl=14&amp;sty=h&amp;cp=34.3329~45.3796&amp;sp=point.34.3329_45.3796_Kahriaz Sofla","Maplink3")</f>
        <v>Maplink3</v>
      </c>
    </row>
    <row r="1804" spans="1:49" ht="15" customHeight="1" x14ac:dyDescent="0.25">
      <c r="A1804" s="21">
        <v>24777</v>
      </c>
      <c r="B1804" s="22" t="s">
        <v>14</v>
      </c>
      <c r="C1804" s="22" t="s">
        <v>3379</v>
      </c>
      <c r="D1804" s="22" t="s">
        <v>3426</v>
      </c>
      <c r="E1804" s="22" t="s">
        <v>3427</v>
      </c>
      <c r="F1804" s="22">
        <v>34.327138847699999</v>
      </c>
      <c r="G1804" s="22">
        <v>45.448530373600001</v>
      </c>
      <c r="H1804" s="21" t="s">
        <v>3164</v>
      </c>
      <c r="I1804" s="21" t="s">
        <v>3381</v>
      </c>
      <c r="J1804" s="21"/>
      <c r="K1804" s="24">
        <v>800</v>
      </c>
      <c r="L1804" s="24">
        <v>4800</v>
      </c>
      <c r="M1804" s="23"/>
      <c r="N1804" s="23"/>
      <c r="O1804" s="23"/>
      <c r="P1804" s="23"/>
      <c r="Q1804" s="23"/>
      <c r="R1804" s="23">
        <v>800</v>
      </c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>
        <v>800</v>
      </c>
      <c r="AF1804" s="23"/>
      <c r="AG1804" s="23"/>
      <c r="AH1804" s="23"/>
      <c r="AI1804" s="23"/>
      <c r="AJ1804" s="23"/>
      <c r="AK1804" s="23"/>
      <c r="AL1804" s="23"/>
      <c r="AM1804" s="23"/>
      <c r="AN1804" s="23"/>
      <c r="AO1804" s="23"/>
      <c r="AP1804" s="23">
        <v>600</v>
      </c>
      <c r="AQ1804" s="23">
        <v>200</v>
      </c>
      <c r="AR1804" s="23"/>
      <c r="AS1804" s="23"/>
      <c r="AT1804" s="23"/>
      <c r="AU1804" s="14" t="str">
        <f>HYPERLINK("http://www.openstreetmap.org/?mlat=34.31&amp;mlon=45.44&amp;zoom=12#map=12/34.31/45.44","Maplink1")</f>
        <v>Maplink1</v>
      </c>
      <c r="AV1804" s="14" t="str">
        <f>HYPERLINK("https://www.google.iq/maps/search/+34.31,45.44/@34.31,45.44,14z?hl=en","Maplink2")</f>
        <v>Maplink2</v>
      </c>
      <c r="AW1804" s="14" t="str">
        <f>HYPERLINK("http://www.bing.com/maps/?lvl=14&amp;sty=h&amp;cp=34.31~45.44&amp;sp=point.34.31_45.44_Kallat (Al Wand 1 Camp)","Maplink3")</f>
        <v>Maplink3</v>
      </c>
    </row>
    <row r="1805" spans="1:49" ht="15" customHeight="1" x14ac:dyDescent="0.25">
      <c r="A1805" s="21">
        <v>24398</v>
      </c>
      <c r="B1805" s="22" t="s">
        <v>14</v>
      </c>
      <c r="C1805" s="22" t="s">
        <v>3379</v>
      </c>
      <c r="D1805" s="22" t="s">
        <v>3428</v>
      </c>
      <c r="E1805" s="22" t="s">
        <v>3429</v>
      </c>
      <c r="F1805" s="22">
        <v>34.3591713673</v>
      </c>
      <c r="G1805" s="22">
        <v>45.262120384699998</v>
      </c>
      <c r="H1805" s="21" t="s">
        <v>3164</v>
      </c>
      <c r="I1805" s="21" t="s">
        <v>3381</v>
      </c>
      <c r="J1805" s="21"/>
      <c r="K1805" s="24">
        <v>78</v>
      </c>
      <c r="L1805" s="24">
        <v>468</v>
      </c>
      <c r="M1805" s="23"/>
      <c r="N1805" s="23"/>
      <c r="O1805" s="23"/>
      <c r="P1805" s="23"/>
      <c r="Q1805" s="23"/>
      <c r="R1805" s="23">
        <v>78</v>
      </c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>
        <v>36</v>
      </c>
      <c r="AG1805" s="23"/>
      <c r="AH1805" s="23"/>
      <c r="AI1805" s="23"/>
      <c r="AJ1805" s="23"/>
      <c r="AK1805" s="23">
        <v>14</v>
      </c>
      <c r="AL1805" s="23"/>
      <c r="AM1805" s="23">
        <v>28</v>
      </c>
      <c r="AN1805" s="23"/>
      <c r="AO1805" s="23"/>
      <c r="AP1805" s="23">
        <v>78</v>
      </c>
      <c r="AQ1805" s="23"/>
      <c r="AR1805" s="23"/>
      <c r="AS1805" s="23"/>
      <c r="AT1805" s="23"/>
      <c r="AU1805" s="14" t="str">
        <f>HYPERLINK("http://www.openstreetmap.org/?mlat=34.3584&amp;mlon=45.2639&amp;zoom=12#map=12/34.3584/45.2639","Maplink1")</f>
        <v>Maplink1</v>
      </c>
      <c r="AV1805" s="14" t="str">
        <f>HYPERLINK("https://www.google.iq/maps/search/+34.3584,45.2639/@34.3584,45.2639,14z?hl=en","Maplink2")</f>
        <v>Maplink2</v>
      </c>
      <c r="AW1805" s="14" t="str">
        <f>HYPERLINK("http://www.bing.com/maps/?lvl=14&amp;sty=h&amp;cp=34.3584~45.2639&amp;sp=point.34.3584_45.2639_Karim alDaoud village","Maplink3")</f>
        <v>Maplink3</v>
      </c>
    </row>
    <row r="1806" spans="1:49" ht="15" customHeight="1" x14ac:dyDescent="0.25">
      <c r="A1806" s="21">
        <v>10530</v>
      </c>
      <c r="B1806" s="22" t="s">
        <v>14</v>
      </c>
      <c r="C1806" s="22" t="s">
        <v>3379</v>
      </c>
      <c r="D1806" s="22" t="s">
        <v>8745</v>
      </c>
      <c r="E1806" s="22" t="s">
        <v>8746</v>
      </c>
      <c r="F1806" s="22">
        <v>34.330023183100003</v>
      </c>
      <c r="G1806" s="22">
        <v>45.363207944499997</v>
      </c>
      <c r="H1806" s="21" t="s">
        <v>3164</v>
      </c>
      <c r="I1806" s="21" t="s">
        <v>3381</v>
      </c>
      <c r="J1806" s="21" t="s">
        <v>3383</v>
      </c>
      <c r="K1806" s="24">
        <v>50</v>
      </c>
      <c r="L1806" s="24">
        <v>300</v>
      </c>
      <c r="M1806" s="23"/>
      <c r="N1806" s="23"/>
      <c r="O1806" s="23"/>
      <c r="P1806" s="23"/>
      <c r="Q1806" s="23"/>
      <c r="R1806" s="23">
        <v>50</v>
      </c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>
        <v>10</v>
      </c>
      <c r="AG1806" s="23"/>
      <c r="AH1806" s="23"/>
      <c r="AI1806" s="23"/>
      <c r="AJ1806" s="23"/>
      <c r="AK1806" s="23">
        <v>29</v>
      </c>
      <c r="AL1806" s="23"/>
      <c r="AM1806" s="23">
        <v>11</v>
      </c>
      <c r="AN1806" s="23"/>
      <c r="AO1806" s="23"/>
      <c r="AP1806" s="23">
        <v>40</v>
      </c>
      <c r="AQ1806" s="23">
        <v>10</v>
      </c>
      <c r="AR1806" s="23"/>
      <c r="AS1806" s="23"/>
      <c r="AT1806" s="23"/>
      <c r="AU1806" s="14" t="str">
        <f>HYPERLINK("http://www.openstreetmap.org/?mlat=34.3294&amp;mlon=45.363&amp;zoom=12#map=12/34.3294/45.363","Maplink1")</f>
        <v>Maplink1</v>
      </c>
      <c r="AV1806" s="14" t="str">
        <f>HYPERLINK("https://www.google.iq/maps/search/+34.3294,45.363/@34.3294,45.363,14z?hl=en","Maplink2")</f>
        <v>Maplink2</v>
      </c>
      <c r="AW1806" s="14" t="str">
        <f>HYPERLINK("http://www.bing.com/maps/?lvl=14&amp;sty=h&amp;cp=34.3294~45.363&amp;sp=point.34.3294_45.363_ Malik Shah","Maplink3")</f>
        <v>Maplink3</v>
      </c>
    </row>
    <row r="1807" spans="1:49" ht="15" customHeight="1" x14ac:dyDescent="0.25">
      <c r="A1807" s="21">
        <v>25429</v>
      </c>
      <c r="B1807" s="22" t="s">
        <v>14</v>
      </c>
      <c r="C1807" s="22" t="s">
        <v>3379</v>
      </c>
      <c r="D1807" s="22" t="s">
        <v>8747</v>
      </c>
      <c r="E1807" s="22" t="s">
        <v>8748</v>
      </c>
      <c r="F1807" s="22">
        <v>34.594850724200001</v>
      </c>
      <c r="G1807" s="22">
        <v>44.926431947700003</v>
      </c>
      <c r="H1807" s="21" t="s">
        <v>3164</v>
      </c>
      <c r="I1807" s="21" t="s">
        <v>3381</v>
      </c>
      <c r="J1807" s="21"/>
      <c r="K1807" s="24">
        <v>150</v>
      </c>
      <c r="L1807" s="24">
        <v>900</v>
      </c>
      <c r="M1807" s="23"/>
      <c r="N1807" s="23"/>
      <c r="O1807" s="23"/>
      <c r="P1807" s="23"/>
      <c r="Q1807" s="23"/>
      <c r="R1807" s="23">
        <v>150</v>
      </c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>
        <v>80</v>
      </c>
      <c r="AG1807" s="23"/>
      <c r="AH1807" s="23"/>
      <c r="AI1807" s="23"/>
      <c r="AJ1807" s="23"/>
      <c r="AK1807" s="23">
        <v>45</v>
      </c>
      <c r="AL1807" s="23"/>
      <c r="AM1807" s="23">
        <v>25</v>
      </c>
      <c r="AN1807" s="23"/>
      <c r="AO1807" s="23"/>
      <c r="AP1807" s="23">
        <v>150</v>
      </c>
      <c r="AQ1807" s="23"/>
      <c r="AR1807" s="23"/>
      <c r="AS1807" s="23"/>
      <c r="AT1807" s="23"/>
      <c r="AU1807" s="14" t="str">
        <f>HYPERLINK("http://www.openstreetmap.org/?mlat=34.5933&amp;mlon=44.9266&amp;zoom=12#map=12/34.5933/44.9266","Maplink1")</f>
        <v>Maplink1</v>
      </c>
      <c r="AV1807" s="14" t="str">
        <f>HYPERLINK("https://www.google.iq/maps/search/+34.5933,44.9266/@34.5933,44.9266,14z?hl=en","Maplink2")</f>
        <v>Maplink2</v>
      </c>
      <c r="AW1807" s="14" t="str">
        <f>HYPERLINK("http://www.bing.com/maps/?lvl=14&amp;sty=h&amp;cp=34.5933~44.9266&amp;sp=point.34.5933_44.9266_Jabara","Maplink3")</f>
        <v>Maplink3</v>
      </c>
    </row>
    <row r="1808" spans="1:49" ht="15" customHeight="1" x14ac:dyDescent="0.25">
      <c r="A1808" s="21">
        <v>24351</v>
      </c>
      <c r="B1808" s="22" t="s">
        <v>14</v>
      </c>
      <c r="C1808" s="22" t="s">
        <v>3379</v>
      </c>
      <c r="D1808" s="22" t="s">
        <v>8749</v>
      </c>
      <c r="E1808" s="22" t="s">
        <v>8750</v>
      </c>
      <c r="F1808" s="22">
        <v>34.343173876400002</v>
      </c>
      <c r="G1808" s="22">
        <v>45.389151815300004</v>
      </c>
      <c r="H1808" s="21" t="s">
        <v>3164</v>
      </c>
      <c r="I1808" s="21" t="s">
        <v>3381</v>
      </c>
      <c r="J1808" s="21"/>
      <c r="K1808" s="24">
        <v>100</v>
      </c>
      <c r="L1808" s="24">
        <v>600</v>
      </c>
      <c r="M1808" s="23"/>
      <c r="N1808" s="23"/>
      <c r="O1808" s="23"/>
      <c r="P1808" s="23"/>
      <c r="Q1808" s="23"/>
      <c r="R1808" s="23">
        <v>100</v>
      </c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>
        <v>5</v>
      </c>
      <c r="AG1808" s="23"/>
      <c r="AH1808" s="23"/>
      <c r="AI1808" s="23"/>
      <c r="AJ1808" s="23"/>
      <c r="AK1808" s="23">
        <v>80</v>
      </c>
      <c r="AL1808" s="23"/>
      <c r="AM1808" s="23">
        <v>15</v>
      </c>
      <c r="AN1808" s="23"/>
      <c r="AO1808" s="23"/>
      <c r="AP1808" s="23">
        <v>100</v>
      </c>
      <c r="AQ1808" s="23"/>
      <c r="AR1808" s="23"/>
      <c r="AS1808" s="23"/>
      <c r="AT1808" s="23"/>
      <c r="AU1808" s="14" t="str">
        <f>HYPERLINK("http://www.openstreetmap.org/?mlat=34.3445&amp;mlon=45.3881&amp;zoom=12#map=12/34.3445/45.3881","Maplink1")</f>
        <v>Maplink1</v>
      </c>
      <c r="AV1808" s="14" t="str">
        <f>HYPERLINK("https://www.google.iq/maps/search/+34.3445,45.3881/@34.3445,45.3881,14z?hl=en","Maplink2")</f>
        <v>Maplink2</v>
      </c>
      <c r="AW1808" s="14" t="str">
        <f>HYPERLINK("http://www.bing.com/maps/?lvl=14&amp;sty=h&amp;cp=34.3445~45.3881&amp;sp=point.34.3445_45.3881_Mazrah","Maplink3")</f>
        <v>Maplink3</v>
      </c>
    </row>
    <row r="1809" spans="1:49" ht="15" customHeight="1" x14ac:dyDescent="0.25">
      <c r="A1809" s="21">
        <v>10528</v>
      </c>
      <c r="B1809" s="22" t="s">
        <v>14</v>
      </c>
      <c r="C1809" s="22" t="s">
        <v>3379</v>
      </c>
      <c r="D1809" s="22" t="s">
        <v>3434</v>
      </c>
      <c r="E1809" s="22" t="s">
        <v>8017</v>
      </c>
      <c r="F1809" s="22">
        <v>34.395975912399997</v>
      </c>
      <c r="G1809" s="22">
        <v>45.3524924078</v>
      </c>
      <c r="H1809" s="21" t="s">
        <v>3164</v>
      </c>
      <c r="I1809" s="21" t="s">
        <v>3381</v>
      </c>
      <c r="J1809" s="21" t="s">
        <v>3435</v>
      </c>
      <c r="K1809" s="24">
        <v>20</v>
      </c>
      <c r="L1809" s="24">
        <v>120</v>
      </c>
      <c r="M1809" s="23"/>
      <c r="N1809" s="23"/>
      <c r="O1809" s="23"/>
      <c r="P1809" s="23"/>
      <c r="Q1809" s="23"/>
      <c r="R1809" s="23">
        <v>20</v>
      </c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>
        <v>8</v>
      </c>
      <c r="AG1809" s="23"/>
      <c r="AH1809" s="23"/>
      <c r="AI1809" s="23"/>
      <c r="AJ1809" s="23"/>
      <c r="AK1809" s="23">
        <v>12</v>
      </c>
      <c r="AL1809" s="23"/>
      <c r="AM1809" s="23"/>
      <c r="AN1809" s="23"/>
      <c r="AO1809" s="23"/>
      <c r="AP1809" s="23">
        <v>20</v>
      </c>
      <c r="AQ1809" s="23"/>
      <c r="AR1809" s="23"/>
      <c r="AS1809" s="23"/>
      <c r="AT1809" s="23"/>
      <c r="AU1809" s="14" t="str">
        <f>HYPERLINK("http://www.openstreetmap.org/?mlat=34.38&amp;mlon=45.35&amp;zoom=12#map=12/34.38/45.35","Maplink1")</f>
        <v>Maplink1</v>
      </c>
      <c r="AV1809" s="14" t="str">
        <f>HYPERLINK("https://www.google.iq/maps/search/+34.38,45.35/@34.38,45.35,14z?hl=en","Maplink2")</f>
        <v>Maplink2</v>
      </c>
      <c r="AW1809" s="14" t="str">
        <f>HYPERLINK("http://www.bing.com/maps/?lvl=14&amp;sty=h&amp;cp=34.38~45.35&amp;sp=point.34.38_45.35_Mekhas Village","Maplink3")</f>
        <v>Maplink3</v>
      </c>
    </row>
    <row r="1810" spans="1:49" ht="15" customHeight="1" x14ac:dyDescent="0.25">
      <c r="A1810" s="21">
        <v>25628</v>
      </c>
      <c r="B1810" s="22" t="s">
        <v>14</v>
      </c>
      <c r="C1810" s="22" t="s">
        <v>3379</v>
      </c>
      <c r="D1810" s="22" t="s">
        <v>3436</v>
      </c>
      <c r="E1810" s="22" t="s">
        <v>3437</v>
      </c>
      <c r="F1810" s="22">
        <v>34.363640205899998</v>
      </c>
      <c r="G1810" s="22">
        <v>45.2784391402</v>
      </c>
      <c r="H1810" s="21" t="s">
        <v>3164</v>
      </c>
      <c r="I1810" s="21" t="s">
        <v>3381</v>
      </c>
      <c r="J1810" s="21"/>
      <c r="K1810" s="24">
        <v>14</v>
      </c>
      <c r="L1810" s="24">
        <v>84</v>
      </c>
      <c r="M1810" s="23"/>
      <c r="N1810" s="23"/>
      <c r="O1810" s="23"/>
      <c r="P1810" s="23"/>
      <c r="Q1810" s="23"/>
      <c r="R1810" s="23">
        <v>14</v>
      </c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>
        <v>8</v>
      </c>
      <c r="AG1810" s="23"/>
      <c r="AH1810" s="23"/>
      <c r="AI1810" s="23"/>
      <c r="AJ1810" s="23"/>
      <c r="AK1810" s="23"/>
      <c r="AL1810" s="23"/>
      <c r="AM1810" s="23">
        <v>6</v>
      </c>
      <c r="AN1810" s="23"/>
      <c r="AO1810" s="23"/>
      <c r="AP1810" s="23">
        <v>11</v>
      </c>
      <c r="AQ1810" s="23">
        <v>3</v>
      </c>
      <c r="AR1810" s="23"/>
      <c r="AS1810" s="23"/>
      <c r="AT1810" s="23"/>
      <c r="AU1810" s="14" t="str">
        <f>HYPERLINK("http://www.openstreetmap.org/?mlat=34.3669&amp;mlon=45.2786&amp;zoom=12#map=12/34.3669/45.2786","Maplink1")</f>
        <v>Maplink1</v>
      </c>
      <c r="AV1810" s="14" t="str">
        <f>HYPERLINK("https://www.google.iq/maps/search/+34.3669,45.2786/@34.3669,45.2786,14z?hl=en","Maplink2")</f>
        <v>Maplink2</v>
      </c>
      <c r="AW1810" s="14" t="str">
        <f>HYPERLINK("http://www.bing.com/maps/?lvl=14&amp;sty=h&amp;cp=34.3669~45.2786&amp;sp=point.34.3669_45.2786_Mohammed Abbas village","Maplink3")</f>
        <v>Maplink3</v>
      </c>
    </row>
    <row r="1811" spans="1:49" ht="15" customHeight="1" x14ac:dyDescent="0.25">
      <c r="A1811" s="21">
        <v>24402</v>
      </c>
      <c r="B1811" s="22" t="s">
        <v>14</v>
      </c>
      <c r="C1811" s="22" t="s">
        <v>3379</v>
      </c>
      <c r="D1811" s="22" t="s">
        <v>3438</v>
      </c>
      <c r="E1811" s="22" t="s">
        <v>3439</v>
      </c>
      <c r="F1811" s="22">
        <v>34.374568629999999</v>
      </c>
      <c r="G1811" s="22">
        <v>45.248973285799998</v>
      </c>
      <c r="H1811" s="21" t="s">
        <v>3164</v>
      </c>
      <c r="I1811" s="21" t="s">
        <v>3381</v>
      </c>
      <c r="J1811" s="21"/>
      <c r="K1811" s="24">
        <v>50</v>
      </c>
      <c r="L1811" s="24">
        <v>300</v>
      </c>
      <c r="M1811" s="23"/>
      <c r="N1811" s="23"/>
      <c r="O1811" s="23"/>
      <c r="P1811" s="23"/>
      <c r="Q1811" s="23"/>
      <c r="R1811" s="23">
        <v>50</v>
      </c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>
        <v>50</v>
      </c>
      <c r="AG1811" s="23"/>
      <c r="AH1811" s="23"/>
      <c r="AI1811" s="23"/>
      <c r="AJ1811" s="23"/>
      <c r="AK1811" s="23"/>
      <c r="AL1811" s="23"/>
      <c r="AM1811" s="23"/>
      <c r="AN1811" s="23"/>
      <c r="AO1811" s="23"/>
      <c r="AP1811" s="23">
        <v>35</v>
      </c>
      <c r="AQ1811" s="23">
        <v>15</v>
      </c>
      <c r="AR1811" s="23"/>
      <c r="AS1811" s="23"/>
      <c r="AT1811" s="23"/>
      <c r="AU1811" s="14" t="str">
        <f>HYPERLINK("http://www.openstreetmap.org/?mlat=34.3734&amp;mlon=45.2484&amp;zoom=12#map=12/34.3734/45.2484","Maplink1")</f>
        <v>Maplink1</v>
      </c>
      <c r="AV1811" s="14" t="str">
        <f>HYPERLINK("https://www.google.iq/maps/search/+34.3734,45.2484/@34.3734,45.2484,14z?hl=en","Maplink2")</f>
        <v>Maplink2</v>
      </c>
      <c r="AW1811" s="14" t="str">
        <f>HYPERLINK("http://www.bing.com/maps/?lvl=14&amp;sty=h&amp;cp=34.3734~45.2484&amp;sp=point.34.3734_45.2484_mohammed humeli village","Maplink3")</f>
        <v>Maplink3</v>
      </c>
    </row>
    <row r="1812" spans="1:49" ht="15" customHeight="1" x14ac:dyDescent="0.25">
      <c r="A1812" s="21">
        <v>10924</v>
      </c>
      <c r="B1812" s="22" t="s">
        <v>14</v>
      </c>
      <c r="C1812" s="22" t="s">
        <v>3379</v>
      </c>
      <c r="D1812" s="22" t="s">
        <v>8751</v>
      </c>
      <c r="E1812" s="22" t="s">
        <v>8752</v>
      </c>
      <c r="F1812" s="22">
        <v>34.323529090800001</v>
      </c>
      <c r="G1812" s="22">
        <v>45.417477165100003</v>
      </c>
      <c r="H1812" s="21" t="s">
        <v>3164</v>
      </c>
      <c r="I1812" s="21" t="s">
        <v>3381</v>
      </c>
      <c r="J1812" s="21" t="s">
        <v>3440</v>
      </c>
      <c r="K1812" s="24">
        <v>50</v>
      </c>
      <c r="L1812" s="24">
        <v>300</v>
      </c>
      <c r="M1812" s="23"/>
      <c r="N1812" s="23"/>
      <c r="O1812" s="23"/>
      <c r="P1812" s="23"/>
      <c r="Q1812" s="23"/>
      <c r="R1812" s="23">
        <v>50</v>
      </c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>
        <v>11</v>
      </c>
      <c r="AL1812" s="23"/>
      <c r="AM1812" s="23">
        <v>39</v>
      </c>
      <c r="AN1812" s="23"/>
      <c r="AO1812" s="23"/>
      <c r="AP1812" s="23">
        <v>50</v>
      </c>
      <c r="AQ1812" s="23"/>
      <c r="AR1812" s="23"/>
      <c r="AS1812" s="23"/>
      <c r="AT1812" s="23"/>
      <c r="AU1812" s="14" t="str">
        <f>HYPERLINK("http://www.openstreetmap.org/?mlat=34.323&amp;mlon=45.4176&amp;zoom=12#map=12/34.323/45.4176","Maplink1")</f>
        <v>Maplink1</v>
      </c>
      <c r="AV1812" s="14" t="str">
        <f>HYPERLINK("https://www.google.iq/maps/search/+34.323,45.4176/@34.323,45.4176,14z?hl=en","Maplink2")</f>
        <v>Maplink2</v>
      </c>
      <c r="AW1812" s="14" t="str">
        <f>HYPERLINK("http://www.bing.com/maps/?lvl=14&amp;sty=h&amp;cp=34.323~45.4176&amp;sp=point.34.323_45.4176_Mullah Aziz","Maplink3")</f>
        <v>Maplink3</v>
      </c>
    </row>
    <row r="1813" spans="1:49" ht="15" customHeight="1" x14ac:dyDescent="0.25">
      <c r="A1813" s="21">
        <v>25249</v>
      </c>
      <c r="B1813" s="22" t="s">
        <v>14</v>
      </c>
      <c r="C1813" s="22" t="s">
        <v>3379</v>
      </c>
      <c r="D1813" s="22" t="s">
        <v>8753</v>
      </c>
      <c r="E1813" s="22" t="s">
        <v>8754</v>
      </c>
      <c r="F1813" s="22">
        <v>34.358509624600003</v>
      </c>
      <c r="G1813" s="22">
        <v>45.394122100200001</v>
      </c>
      <c r="H1813" s="21" t="s">
        <v>3164</v>
      </c>
      <c r="I1813" s="21" t="s">
        <v>3381</v>
      </c>
      <c r="J1813" s="21"/>
      <c r="K1813" s="24">
        <v>40</v>
      </c>
      <c r="L1813" s="24">
        <v>240</v>
      </c>
      <c r="M1813" s="23"/>
      <c r="N1813" s="23"/>
      <c r="O1813" s="23"/>
      <c r="P1813" s="23"/>
      <c r="Q1813" s="23"/>
      <c r="R1813" s="23">
        <v>40</v>
      </c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>
        <v>15</v>
      </c>
      <c r="AG1813" s="23"/>
      <c r="AH1813" s="23"/>
      <c r="AI1813" s="23"/>
      <c r="AJ1813" s="23"/>
      <c r="AK1813" s="23">
        <v>25</v>
      </c>
      <c r="AL1813" s="23"/>
      <c r="AM1813" s="23"/>
      <c r="AN1813" s="23"/>
      <c r="AO1813" s="23"/>
      <c r="AP1813" s="23">
        <v>40</v>
      </c>
      <c r="AQ1813" s="23"/>
      <c r="AR1813" s="23"/>
      <c r="AS1813" s="23"/>
      <c r="AT1813" s="23"/>
      <c r="AU1813" s="14" t="str">
        <f>HYPERLINK("http://www.openstreetmap.org/?mlat=34.3572&amp;mlon=45.3932&amp;zoom=12#map=12/34.3572/45.3932","Maplink1")</f>
        <v>Maplink1</v>
      </c>
      <c r="AV1813" s="14" t="str">
        <f>HYPERLINK("https://www.google.iq/maps/search/+34.3572,45.3932/@34.3572,45.3932,14z?hl=en","Maplink2")</f>
        <v>Maplink2</v>
      </c>
      <c r="AW1813" s="14" t="str">
        <f>HYPERLINK("http://www.bing.com/maps/?lvl=14&amp;sty=h&amp;cp=34.3572~45.3932&amp;sp=point.34.3572_45.3932_Obara-1","Maplink3")</f>
        <v>Maplink3</v>
      </c>
    </row>
    <row r="1814" spans="1:49" ht="15" customHeight="1" x14ac:dyDescent="0.25">
      <c r="A1814" s="21">
        <v>25250</v>
      </c>
      <c r="B1814" s="22" t="s">
        <v>14</v>
      </c>
      <c r="C1814" s="22" t="s">
        <v>3379</v>
      </c>
      <c r="D1814" s="22" t="s">
        <v>8755</v>
      </c>
      <c r="E1814" s="22" t="s">
        <v>8756</v>
      </c>
      <c r="F1814" s="22">
        <v>34.360629401700002</v>
      </c>
      <c r="G1814" s="22">
        <v>45.390888148800002</v>
      </c>
      <c r="H1814" s="21" t="s">
        <v>3164</v>
      </c>
      <c r="I1814" s="21" t="s">
        <v>3381</v>
      </c>
      <c r="J1814" s="21"/>
      <c r="K1814" s="24">
        <v>35</v>
      </c>
      <c r="L1814" s="24">
        <v>210</v>
      </c>
      <c r="M1814" s="23"/>
      <c r="N1814" s="23"/>
      <c r="O1814" s="23"/>
      <c r="P1814" s="23"/>
      <c r="Q1814" s="23"/>
      <c r="R1814" s="23">
        <v>35</v>
      </c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>
        <v>33</v>
      </c>
      <c r="AL1814" s="23"/>
      <c r="AM1814" s="23">
        <v>2</v>
      </c>
      <c r="AN1814" s="23"/>
      <c r="AO1814" s="23"/>
      <c r="AP1814" s="23">
        <v>35</v>
      </c>
      <c r="AQ1814" s="23"/>
      <c r="AR1814" s="23"/>
      <c r="AS1814" s="23"/>
      <c r="AT1814" s="23"/>
      <c r="AU1814" s="14" t="str">
        <f>HYPERLINK("http://www.openstreetmap.org/?mlat=34.3588&amp;mlon=45.3928&amp;zoom=12#map=12/34.3588/45.3928","Maplink1")</f>
        <v>Maplink1</v>
      </c>
      <c r="AV1814" s="14" t="str">
        <f>HYPERLINK("https://www.google.iq/maps/search/+34.3588,45.3928/@34.3588,45.3928,14z?hl=en","Maplink2")</f>
        <v>Maplink2</v>
      </c>
      <c r="AW1814" s="14" t="str">
        <f>HYPERLINK("http://www.bing.com/maps/?lvl=14&amp;sty=h&amp;cp=34.3588~45.3928&amp;sp=point.34.3588_45.3928_Obara-2","Maplink3")</f>
        <v>Maplink3</v>
      </c>
    </row>
    <row r="1815" spans="1:49" ht="15" customHeight="1" x14ac:dyDescent="0.25">
      <c r="A1815" s="21">
        <v>25818</v>
      </c>
      <c r="B1815" s="22" t="s">
        <v>14</v>
      </c>
      <c r="C1815" s="22" t="s">
        <v>3379</v>
      </c>
      <c r="D1815" s="22" t="s">
        <v>3443</v>
      </c>
      <c r="E1815" s="22" t="s">
        <v>3444</v>
      </c>
      <c r="F1815" s="22">
        <v>34.5441736593</v>
      </c>
      <c r="G1815" s="22">
        <v>45.391007777900001</v>
      </c>
      <c r="H1815" s="21" t="s">
        <v>3164</v>
      </c>
      <c r="I1815" s="21" t="s">
        <v>3381</v>
      </c>
      <c r="J1815" s="21"/>
      <c r="K1815" s="24">
        <v>420</v>
      </c>
      <c r="L1815" s="24">
        <v>2520</v>
      </c>
      <c r="M1815" s="23">
        <v>211</v>
      </c>
      <c r="N1815" s="23"/>
      <c r="O1815" s="23">
        <v>3</v>
      </c>
      <c r="P1815" s="23"/>
      <c r="Q1815" s="23"/>
      <c r="R1815" s="23">
        <v>206</v>
      </c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>
        <v>420</v>
      </c>
      <c r="AF1815" s="23"/>
      <c r="AG1815" s="23"/>
      <c r="AH1815" s="23"/>
      <c r="AI1815" s="23"/>
      <c r="AJ1815" s="23"/>
      <c r="AK1815" s="23"/>
      <c r="AL1815" s="23"/>
      <c r="AM1815" s="23"/>
      <c r="AN1815" s="23"/>
      <c r="AO1815" s="23">
        <v>28</v>
      </c>
      <c r="AP1815" s="23">
        <v>182</v>
      </c>
      <c r="AQ1815" s="23"/>
      <c r="AR1815" s="23">
        <v>43</v>
      </c>
      <c r="AS1815" s="23">
        <v>156</v>
      </c>
      <c r="AT1815" s="23">
        <v>11</v>
      </c>
      <c r="AU1815" s="14" t="str">
        <f>HYPERLINK("http://www.openstreetmap.org/?mlat=35.469&amp;mlon=45.3913&amp;zoom=12#map=12/35.469/45.3913","Maplink1")</f>
        <v>Maplink1</v>
      </c>
      <c r="AV1815" s="14" t="str">
        <f>HYPERLINK("https://www.google.iq/maps/search/+35.469,45.3913/@35.469,45.3913,14z?hl=en","Maplink2")</f>
        <v>Maplink2</v>
      </c>
      <c r="AW1815" s="14" t="str">
        <f>HYPERLINK("http://www.bing.com/maps/?lvl=14&amp;sty=h&amp;cp=35.469~45.3913&amp;sp=point.35.469_45.3913_Qoratu Camp","Maplink3")</f>
        <v>Maplink3</v>
      </c>
    </row>
    <row r="1816" spans="1:49" ht="15" customHeight="1" x14ac:dyDescent="0.25">
      <c r="A1816" s="21">
        <v>24411</v>
      </c>
      <c r="B1816" s="22" t="s">
        <v>14</v>
      </c>
      <c r="C1816" s="22" t="s">
        <v>3379</v>
      </c>
      <c r="D1816" s="22" t="s">
        <v>7323</v>
      </c>
      <c r="E1816" s="22" t="s">
        <v>8018</v>
      </c>
      <c r="F1816" s="22">
        <v>34.421144634900003</v>
      </c>
      <c r="G1816" s="22">
        <v>45.289509336999998</v>
      </c>
      <c r="H1816" s="21" t="s">
        <v>3164</v>
      </c>
      <c r="I1816" s="21" t="s">
        <v>3381</v>
      </c>
      <c r="J1816" s="21"/>
      <c r="K1816" s="24">
        <v>60</v>
      </c>
      <c r="L1816" s="24">
        <v>360</v>
      </c>
      <c r="M1816" s="23"/>
      <c r="N1816" s="23"/>
      <c r="O1816" s="23"/>
      <c r="P1816" s="23"/>
      <c r="Q1816" s="23"/>
      <c r="R1816" s="23">
        <v>60</v>
      </c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/>
      <c r="AL1816" s="23"/>
      <c r="AM1816" s="23">
        <v>60</v>
      </c>
      <c r="AN1816" s="23"/>
      <c r="AO1816" s="23"/>
      <c r="AP1816" s="23">
        <v>60</v>
      </c>
      <c r="AQ1816" s="23"/>
      <c r="AR1816" s="23"/>
      <c r="AS1816" s="23"/>
      <c r="AT1816" s="23"/>
      <c r="AU1816" s="14" t="str">
        <f>HYPERLINK("http://www.openstreetmap.org/?mlat=34.421&amp;mlon=45.2918&amp;zoom=12#map=12/34.421/45.2918","Maplink1")</f>
        <v>Maplink1</v>
      </c>
      <c r="AV1816" s="14" t="str">
        <f>HYPERLINK("https://www.google.iq/maps/search/+34.421,45.2918/@34.421,45.2918,14z?hl=en","Maplink2")</f>
        <v>Maplink2</v>
      </c>
      <c r="AW1816" s="14" t="str">
        <f>HYPERLINK("http://www.bing.com/maps/?lvl=14&amp;sty=h&amp;cp=34.421~45.2918&amp;sp=point.34.421_45.2918_qurani village","Maplink3")</f>
        <v>Maplink3</v>
      </c>
    </row>
    <row r="1817" spans="1:49" ht="15" customHeight="1" x14ac:dyDescent="0.25">
      <c r="A1817" s="21">
        <v>10511</v>
      </c>
      <c r="B1817" s="22" t="s">
        <v>14</v>
      </c>
      <c r="C1817" s="22" t="s">
        <v>3379</v>
      </c>
      <c r="D1817" s="22" t="s">
        <v>3445</v>
      </c>
      <c r="E1817" s="22" t="s">
        <v>3446</v>
      </c>
      <c r="F1817" s="22">
        <v>34.370857816399997</v>
      </c>
      <c r="G1817" s="22">
        <v>45.276384654399997</v>
      </c>
      <c r="H1817" s="21" t="s">
        <v>3164</v>
      </c>
      <c r="I1817" s="21" t="s">
        <v>3381</v>
      </c>
      <c r="J1817" s="21" t="s">
        <v>3447</v>
      </c>
      <c r="K1817" s="24">
        <v>27</v>
      </c>
      <c r="L1817" s="24">
        <v>162</v>
      </c>
      <c r="M1817" s="23"/>
      <c r="N1817" s="23"/>
      <c r="O1817" s="23"/>
      <c r="P1817" s="23"/>
      <c r="Q1817" s="23"/>
      <c r="R1817" s="23">
        <v>27</v>
      </c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>
        <v>10</v>
      </c>
      <c r="AG1817" s="23"/>
      <c r="AH1817" s="23"/>
      <c r="AI1817" s="23"/>
      <c r="AJ1817" s="23"/>
      <c r="AK1817" s="23"/>
      <c r="AL1817" s="23"/>
      <c r="AM1817" s="23">
        <v>17</v>
      </c>
      <c r="AN1817" s="23"/>
      <c r="AO1817" s="23"/>
      <c r="AP1817" s="23">
        <v>12</v>
      </c>
      <c r="AQ1817" s="23">
        <v>15</v>
      </c>
      <c r="AR1817" s="23"/>
      <c r="AS1817" s="23"/>
      <c r="AT1817" s="23"/>
      <c r="AU1817" s="14" t="str">
        <f>HYPERLINK("http://www.openstreetmap.org/?mlat=34.3729&amp;mlon=45.2774&amp;zoom=12#map=12/34.3729/45.2774","Maplink1")</f>
        <v>Maplink1</v>
      </c>
      <c r="AV1817" s="14" t="str">
        <f>HYPERLINK("https://www.google.iq/maps/search/+34.3729,45.2774/@34.3729,45.2774,14z?hl=en","Maplink2")</f>
        <v>Maplink2</v>
      </c>
      <c r="AW1817" s="14" t="str">
        <f>HYPERLINK("http://www.bing.com/maps/?lvl=14&amp;sty=h&amp;cp=34.3729~45.2774&amp;sp=point.34.3729_45.2774_Rahamalla Village","Maplink3")</f>
        <v>Maplink3</v>
      </c>
    </row>
    <row r="1818" spans="1:49" ht="15" customHeight="1" x14ac:dyDescent="0.25">
      <c r="A1818" s="21">
        <v>25247</v>
      </c>
      <c r="B1818" s="22" t="s">
        <v>14</v>
      </c>
      <c r="C1818" s="22" t="s">
        <v>3379</v>
      </c>
      <c r="D1818" s="22" t="s">
        <v>8757</v>
      </c>
      <c r="E1818" s="22" t="s">
        <v>8758</v>
      </c>
      <c r="F1818" s="22">
        <v>34.321086062900001</v>
      </c>
      <c r="G1818" s="22">
        <v>45.382109077599999</v>
      </c>
      <c r="H1818" s="21" t="s">
        <v>3164</v>
      </c>
      <c r="I1818" s="21" t="s">
        <v>3381</v>
      </c>
      <c r="J1818" s="21"/>
      <c r="K1818" s="24">
        <v>35</v>
      </c>
      <c r="L1818" s="24">
        <v>210</v>
      </c>
      <c r="M1818" s="23"/>
      <c r="N1818" s="23"/>
      <c r="O1818" s="23"/>
      <c r="P1818" s="23"/>
      <c r="Q1818" s="23"/>
      <c r="R1818" s="23">
        <v>35</v>
      </c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>
        <v>8</v>
      </c>
      <c r="AL1818" s="23"/>
      <c r="AM1818" s="23">
        <v>27</v>
      </c>
      <c r="AN1818" s="23"/>
      <c r="AO1818" s="23"/>
      <c r="AP1818" s="23">
        <v>35</v>
      </c>
      <c r="AQ1818" s="23"/>
      <c r="AR1818" s="23"/>
      <c r="AS1818" s="23"/>
      <c r="AT1818" s="23"/>
      <c r="AU1818" s="14" t="str">
        <f>HYPERLINK("http://www.openstreetmap.org/?mlat=34.3212&amp;mlon=45.3826&amp;zoom=12#map=12/34.3212/45.3826","Maplink1")</f>
        <v>Maplink1</v>
      </c>
      <c r="AV1818" s="14" t="str">
        <f>HYPERLINK("https://www.google.iq/maps/search/+34.3212,45.3826/@34.3212,45.3826,14z?hl=en","Maplink2")</f>
        <v>Maplink2</v>
      </c>
      <c r="AW1818" s="14" t="str">
        <f>HYPERLINK("http://www.bing.com/maps/?lvl=14&amp;sty=h&amp;cp=34.3212~45.3826&amp;sp=point.34.3212_45.3826_Rapren -1","Maplink3")</f>
        <v>Maplink3</v>
      </c>
    </row>
    <row r="1819" spans="1:49" ht="15" customHeight="1" x14ac:dyDescent="0.25">
      <c r="A1819" s="21">
        <v>25248</v>
      </c>
      <c r="B1819" s="22" t="s">
        <v>14</v>
      </c>
      <c r="C1819" s="22" t="s">
        <v>3379</v>
      </c>
      <c r="D1819" s="22" t="s">
        <v>8759</v>
      </c>
      <c r="E1819" s="22" t="s">
        <v>8760</v>
      </c>
      <c r="F1819" s="22">
        <v>34.316718363600003</v>
      </c>
      <c r="G1819" s="22">
        <v>45.384448191600001</v>
      </c>
      <c r="H1819" s="21" t="s">
        <v>3164</v>
      </c>
      <c r="I1819" s="21" t="s">
        <v>3381</v>
      </c>
      <c r="J1819" s="21"/>
      <c r="K1819" s="24">
        <v>30</v>
      </c>
      <c r="L1819" s="24">
        <v>180</v>
      </c>
      <c r="M1819" s="23"/>
      <c r="N1819" s="23"/>
      <c r="O1819" s="23"/>
      <c r="P1819" s="23"/>
      <c r="Q1819" s="23"/>
      <c r="R1819" s="23">
        <v>30</v>
      </c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>
        <v>10</v>
      </c>
      <c r="AL1819" s="23"/>
      <c r="AM1819" s="23">
        <v>20</v>
      </c>
      <c r="AN1819" s="23"/>
      <c r="AO1819" s="23"/>
      <c r="AP1819" s="23">
        <v>30</v>
      </c>
      <c r="AQ1819" s="23"/>
      <c r="AR1819" s="23"/>
      <c r="AS1819" s="23"/>
      <c r="AT1819" s="23"/>
      <c r="AU1819" s="14" t="str">
        <f>HYPERLINK("http://www.openstreetmap.org/?mlat=34.3171&amp;mlon=45.3839&amp;zoom=12#map=12/34.3171/45.3839","Maplink1")</f>
        <v>Maplink1</v>
      </c>
      <c r="AV1819" s="14" t="str">
        <f>HYPERLINK("https://www.google.iq/maps/search/+34.3171,45.3839/@34.3171,45.3839,14z?hl=en","Maplink2")</f>
        <v>Maplink2</v>
      </c>
      <c r="AW1819" s="14" t="str">
        <f>HYPERLINK("http://www.bing.com/maps/?lvl=14&amp;sty=h&amp;cp=34.3171~45.3839&amp;sp=point.34.3171_45.3839_Rapren -2","Maplink3")</f>
        <v>Maplink3</v>
      </c>
    </row>
    <row r="1820" spans="1:49" ht="15" customHeight="1" x14ac:dyDescent="0.25">
      <c r="A1820" s="21">
        <v>10403</v>
      </c>
      <c r="B1820" s="22" t="s">
        <v>14</v>
      </c>
      <c r="C1820" s="22" t="s">
        <v>3379</v>
      </c>
      <c r="D1820" s="22" t="s">
        <v>8761</v>
      </c>
      <c r="E1820" s="22" t="s">
        <v>8762</v>
      </c>
      <c r="F1820" s="22">
        <v>34.572276926100002</v>
      </c>
      <c r="G1820" s="22">
        <v>45.339262120699999</v>
      </c>
      <c r="H1820" s="21" t="s">
        <v>3164</v>
      </c>
      <c r="I1820" s="21" t="s">
        <v>3381</v>
      </c>
      <c r="J1820" s="21" t="s">
        <v>3448</v>
      </c>
      <c r="K1820" s="24">
        <v>232</v>
      </c>
      <c r="L1820" s="24">
        <v>1392</v>
      </c>
      <c r="M1820" s="23">
        <v>32</v>
      </c>
      <c r="N1820" s="23"/>
      <c r="O1820" s="23">
        <v>3</v>
      </c>
      <c r="P1820" s="23"/>
      <c r="Q1820" s="23"/>
      <c r="R1820" s="23">
        <v>197</v>
      </c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>
        <v>232</v>
      </c>
      <c r="AL1820" s="23"/>
      <c r="AM1820" s="23"/>
      <c r="AN1820" s="23"/>
      <c r="AO1820" s="23"/>
      <c r="AP1820" s="23">
        <v>133</v>
      </c>
      <c r="AQ1820" s="23">
        <v>28</v>
      </c>
      <c r="AR1820" s="23">
        <v>56</v>
      </c>
      <c r="AS1820" s="23">
        <v>12</v>
      </c>
      <c r="AT1820" s="23">
        <v>3</v>
      </c>
      <c r="AU1820" s="14" t="str">
        <f>HYPERLINK("http://www.openstreetmap.org/?mlat=34.5773&amp;mlon=45.3215&amp;zoom=12#map=12/34.5773/45.3215","Maplink1")</f>
        <v>Maplink1</v>
      </c>
      <c r="AV1820" s="14" t="str">
        <f>HYPERLINK("https://www.google.iq/maps/search/+34.5773,45.3215/@34.5773,45.3215,14z?hl=en","Maplink2")</f>
        <v>Maplink2</v>
      </c>
      <c r="AW1820" s="14" t="str">
        <f>HYPERLINK("http://www.bing.com/maps/?lvl=14&amp;sty=h&amp;cp=34.5773~45.3215&amp;sp=point.34.5773_45.3215_Salih Agha","Maplink3")</f>
        <v>Maplink3</v>
      </c>
    </row>
    <row r="1821" spans="1:49" ht="15" customHeight="1" x14ac:dyDescent="0.25">
      <c r="A1821" s="21">
        <v>24509</v>
      </c>
      <c r="B1821" s="22" t="s">
        <v>14</v>
      </c>
      <c r="C1821" s="22" t="s">
        <v>3379</v>
      </c>
      <c r="D1821" s="22" t="s">
        <v>3449</v>
      </c>
      <c r="E1821" s="22" t="s">
        <v>3450</v>
      </c>
      <c r="F1821" s="22">
        <v>34.350035523599999</v>
      </c>
      <c r="G1821" s="22">
        <v>45.299324243400001</v>
      </c>
      <c r="H1821" s="21" t="s">
        <v>3164</v>
      </c>
      <c r="I1821" s="21" t="s">
        <v>3381</v>
      </c>
      <c r="J1821" s="21"/>
      <c r="K1821" s="24">
        <v>23</v>
      </c>
      <c r="L1821" s="24">
        <v>138</v>
      </c>
      <c r="M1821" s="23"/>
      <c r="N1821" s="23"/>
      <c r="O1821" s="23"/>
      <c r="P1821" s="23"/>
      <c r="Q1821" s="23"/>
      <c r="R1821" s="23">
        <v>23</v>
      </c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>
        <v>10</v>
      </c>
      <c r="AL1821" s="23"/>
      <c r="AM1821" s="23">
        <v>13</v>
      </c>
      <c r="AN1821" s="23"/>
      <c r="AO1821" s="23"/>
      <c r="AP1821" s="23">
        <v>10</v>
      </c>
      <c r="AQ1821" s="23">
        <v>13</v>
      </c>
      <c r="AR1821" s="23"/>
      <c r="AS1821" s="23"/>
      <c r="AT1821" s="23"/>
      <c r="AU1821" s="14" t="str">
        <f>HYPERLINK("http://www.openstreetmap.org/?mlat=34.3473&amp;mlon=45.2898&amp;zoom=12#map=12/34.3473/45.2898","Maplink1")</f>
        <v>Maplink1</v>
      </c>
      <c r="AV1821" s="14" t="str">
        <f>HYPERLINK("https://www.google.iq/maps/search/+34.3473,45.2898/@34.3473,45.2898,14z?hl=en","Maplink2")</f>
        <v>Maplink2</v>
      </c>
      <c r="AW1821" s="14" t="str">
        <f>HYPERLINK("http://www.bing.com/maps/?lvl=14&amp;sty=h&amp;cp=34.3473~45.2898&amp;sp=point.34.3473_45.2898_Shafiq village","Maplink3")</f>
        <v>Maplink3</v>
      </c>
    </row>
    <row r="1822" spans="1:49" ht="15" customHeight="1" x14ac:dyDescent="0.25">
      <c r="A1822" s="21">
        <v>24385</v>
      </c>
      <c r="B1822" s="22" t="s">
        <v>14</v>
      </c>
      <c r="C1822" s="22" t="s">
        <v>3379</v>
      </c>
      <c r="D1822" s="22" t="s">
        <v>3451</v>
      </c>
      <c r="E1822" s="22" t="s">
        <v>3452</v>
      </c>
      <c r="F1822" s="22">
        <v>34.388332498099999</v>
      </c>
      <c r="G1822" s="22">
        <v>45.301696335599999</v>
      </c>
      <c r="H1822" s="21" t="s">
        <v>3164</v>
      </c>
      <c r="I1822" s="21" t="s">
        <v>3381</v>
      </c>
      <c r="J1822" s="21"/>
      <c r="K1822" s="24">
        <v>15</v>
      </c>
      <c r="L1822" s="24">
        <v>90</v>
      </c>
      <c r="M1822" s="23"/>
      <c r="N1822" s="23"/>
      <c r="O1822" s="23"/>
      <c r="P1822" s="23"/>
      <c r="Q1822" s="23"/>
      <c r="R1822" s="23">
        <v>15</v>
      </c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>
        <v>15</v>
      </c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>
        <v>5</v>
      </c>
      <c r="AQ1822" s="23">
        <v>10</v>
      </c>
      <c r="AR1822" s="23"/>
      <c r="AS1822" s="23"/>
      <c r="AT1822" s="23"/>
      <c r="AU1822" s="14" t="str">
        <f>HYPERLINK("http://www.openstreetmap.org/?mlat=34.3884&amp;mlon=45.2997&amp;zoom=12#map=12/34.3884/45.2997","Maplink1")</f>
        <v>Maplink1</v>
      </c>
      <c r="AV1822" s="14" t="str">
        <f>HYPERLINK("https://www.google.iq/maps/search/+34.3884,45.2997/@34.3884,45.2997,14z?hl=en","Maplink2")</f>
        <v>Maplink2</v>
      </c>
      <c r="AW1822" s="14" t="str">
        <f>HYPERLINK("http://www.bing.com/maps/?lvl=14&amp;sty=h&amp;cp=34.3884~45.2997&amp;sp=point.34.3884_45.2997_Shaikh Mahdi village","Maplink3")</f>
        <v>Maplink3</v>
      </c>
    </row>
    <row r="1823" spans="1:49" ht="15" customHeight="1" x14ac:dyDescent="0.25">
      <c r="A1823" s="21">
        <v>24392</v>
      </c>
      <c r="B1823" s="22" t="s">
        <v>14</v>
      </c>
      <c r="C1823" s="22" t="s">
        <v>3379</v>
      </c>
      <c r="D1823" s="22" t="s">
        <v>3453</v>
      </c>
      <c r="E1823" s="22" t="s">
        <v>3454</v>
      </c>
      <c r="F1823" s="22">
        <v>34.356910498200001</v>
      </c>
      <c r="G1823" s="22">
        <v>45.337908394499998</v>
      </c>
      <c r="H1823" s="21" t="s">
        <v>3164</v>
      </c>
      <c r="I1823" s="21" t="s">
        <v>3381</v>
      </c>
      <c r="J1823" s="21"/>
      <c r="K1823" s="24">
        <v>60</v>
      </c>
      <c r="L1823" s="24">
        <v>360</v>
      </c>
      <c r="M1823" s="23"/>
      <c r="N1823" s="23"/>
      <c r="O1823" s="23"/>
      <c r="P1823" s="23"/>
      <c r="Q1823" s="23"/>
      <c r="R1823" s="23">
        <v>60</v>
      </c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/>
      <c r="AN1823" s="23">
        <v>60</v>
      </c>
      <c r="AO1823" s="23"/>
      <c r="AP1823" s="23">
        <v>60</v>
      </c>
      <c r="AQ1823" s="23"/>
      <c r="AR1823" s="23"/>
      <c r="AS1823" s="23"/>
      <c r="AT1823" s="23"/>
      <c r="AU1823" s="14" t="str">
        <f>HYPERLINK("http://www.openstreetmap.org/?mlat=34.3545&amp;mlon=45.345&amp;zoom=12#map=12/34.3545/45.345","Maplink1")</f>
        <v>Maplink1</v>
      </c>
      <c r="AV1823" s="14" t="str">
        <f>HYPERLINK("https://www.google.iq/maps/search/+34.3545,45.345/@34.3545,45.345,14z?hl=en","Maplink2")</f>
        <v>Maplink2</v>
      </c>
      <c r="AW1823" s="14" t="str">
        <f>HYPERLINK("http://www.bing.com/maps/?lvl=14&amp;sty=h&amp;cp=34.3545~45.345&amp;sp=point.34.3545_45.345_Shakir village","Maplink3")</f>
        <v>Maplink3</v>
      </c>
    </row>
    <row r="1824" spans="1:49" ht="15" customHeight="1" x14ac:dyDescent="0.25">
      <c r="A1824" s="21">
        <v>24408</v>
      </c>
      <c r="B1824" s="22" t="s">
        <v>14</v>
      </c>
      <c r="C1824" s="22" t="s">
        <v>3379</v>
      </c>
      <c r="D1824" s="22" t="s">
        <v>3455</v>
      </c>
      <c r="E1824" s="22" t="s">
        <v>3456</v>
      </c>
      <c r="F1824" s="22">
        <v>34.388416643699998</v>
      </c>
      <c r="G1824" s="22">
        <v>45.220005264000001</v>
      </c>
      <c r="H1824" s="21" t="s">
        <v>3164</v>
      </c>
      <c r="I1824" s="21" t="s">
        <v>3381</v>
      </c>
      <c r="J1824" s="21"/>
      <c r="K1824" s="24">
        <v>12</v>
      </c>
      <c r="L1824" s="24">
        <v>72</v>
      </c>
      <c r="M1824" s="23"/>
      <c r="N1824" s="23"/>
      <c r="O1824" s="23"/>
      <c r="P1824" s="23"/>
      <c r="Q1824" s="23"/>
      <c r="R1824" s="23">
        <v>12</v>
      </c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>
        <v>12</v>
      </c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>
        <v>12</v>
      </c>
      <c r="AQ1824" s="23"/>
      <c r="AR1824" s="23"/>
      <c r="AS1824" s="23"/>
      <c r="AT1824" s="23"/>
      <c r="AU1824" s="14" t="str">
        <f>HYPERLINK("http://www.openstreetmap.org/?mlat=34.389&amp;mlon=45.2213&amp;zoom=12#map=12/34.389/45.2213","Maplink1")</f>
        <v>Maplink1</v>
      </c>
      <c r="AV1824" s="14" t="str">
        <f>HYPERLINK("https://www.google.iq/maps/search/+34.389,45.2213/@34.389,45.2213,14z?hl=en","Maplink2")</f>
        <v>Maplink2</v>
      </c>
      <c r="AW1824" s="14" t="str">
        <f>HYPERLINK("http://www.bing.com/maps/?lvl=14&amp;sty=h&amp;cp=34.389~45.2213&amp;sp=point.34.389_45.2213_sheark village","Maplink3")</f>
        <v>Maplink3</v>
      </c>
    </row>
    <row r="1825" spans="1:49" ht="15" customHeight="1" x14ac:dyDescent="0.25">
      <c r="A1825" s="21">
        <v>25342</v>
      </c>
      <c r="B1825" s="22" t="s">
        <v>14</v>
      </c>
      <c r="C1825" s="22" t="s">
        <v>3379</v>
      </c>
      <c r="D1825" s="22" t="s">
        <v>8763</v>
      </c>
      <c r="E1825" s="22" t="s">
        <v>8764</v>
      </c>
      <c r="F1825" s="22">
        <v>34.350803276599997</v>
      </c>
      <c r="G1825" s="22">
        <v>45.415524320300001</v>
      </c>
      <c r="H1825" s="21" t="s">
        <v>3164</v>
      </c>
      <c r="I1825" s="21" t="s">
        <v>3381</v>
      </c>
      <c r="J1825" s="21"/>
      <c r="K1825" s="24">
        <v>75</v>
      </c>
      <c r="L1825" s="24">
        <v>450</v>
      </c>
      <c r="M1825" s="23"/>
      <c r="N1825" s="23"/>
      <c r="O1825" s="23"/>
      <c r="P1825" s="23"/>
      <c r="Q1825" s="23"/>
      <c r="R1825" s="23">
        <v>75</v>
      </c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>
        <v>20</v>
      </c>
      <c r="AL1825" s="23"/>
      <c r="AM1825" s="23">
        <v>55</v>
      </c>
      <c r="AN1825" s="23"/>
      <c r="AO1825" s="23"/>
      <c r="AP1825" s="23">
        <v>75</v>
      </c>
      <c r="AQ1825" s="23"/>
      <c r="AR1825" s="23"/>
      <c r="AS1825" s="23"/>
      <c r="AT1825" s="23"/>
      <c r="AU1825" s="14" t="str">
        <f>HYPERLINK("http://www.openstreetmap.org/?mlat=34.3509&amp;mlon=45.4089&amp;zoom=12#map=12/34.3509/45.4089","Maplink1")</f>
        <v>Maplink1</v>
      </c>
      <c r="AV1825" s="14" t="str">
        <f>HYPERLINK("https://www.google.iq/maps/search/+34.3509,45.4089/@34.3509,45.4089,14z?hl=en","Maplink2")</f>
        <v>Maplink2</v>
      </c>
      <c r="AW1825" s="14" t="str">
        <f>HYPERLINK("http://www.bing.com/maps/?lvl=14&amp;sty=h&amp;cp=34.3509~45.4089&amp;sp=point.34.3509_45.4089_Sirwan","Maplink3")</f>
        <v>Maplink3</v>
      </c>
    </row>
    <row r="1826" spans="1:49" ht="15" customHeight="1" x14ac:dyDescent="0.25">
      <c r="A1826" s="21">
        <v>25468</v>
      </c>
      <c r="B1826" s="22" t="s">
        <v>14</v>
      </c>
      <c r="C1826" s="22" t="s">
        <v>3379</v>
      </c>
      <c r="D1826" s="22" t="s">
        <v>8765</v>
      </c>
      <c r="E1826" s="22" t="s">
        <v>8766</v>
      </c>
      <c r="F1826" s="22">
        <v>34.3441767363</v>
      </c>
      <c r="G1826" s="22">
        <v>45.385153959100002</v>
      </c>
      <c r="H1826" s="21" t="s">
        <v>3164</v>
      </c>
      <c r="I1826" s="21" t="s">
        <v>3381</v>
      </c>
      <c r="J1826" s="21"/>
      <c r="K1826" s="24">
        <v>50</v>
      </c>
      <c r="L1826" s="24">
        <v>300</v>
      </c>
      <c r="M1826" s="23"/>
      <c r="N1826" s="23"/>
      <c r="O1826" s="23"/>
      <c r="P1826" s="23"/>
      <c r="Q1826" s="23"/>
      <c r="R1826" s="23">
        <v>50</v>
      </c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>
        <v>30</v>
      </c>
      <c r="AL1826" s="23"/>
      <c r="AM1826" s="23">
        <v>20</v>
      </c>
      <c r="AN1826" s="23"/>
      <c r="AO1826" s="23"/>
      <c r="AP1826" s="23">
        <v>40</v>
      </c>
      <c r="AQ1826" s="23">
        <v>10</v>
      </c>
      <c r="AR1826" s="23"/>
      <c r="AS1826" s="23"/>
      <c r="AT1826" s="23"/>
      <c r="AU1826" s="14" t="str">
        <f>HYPERLINK("http://www.openstreetmap.org/?mlat=34.3456&amp;mlon=45.3865&amp;zoom=12#map=12/34.3456/45.3865","Maplink1")</f>
        <v>Maplink1</v>
      </c>
      <c r="AV1826" s="14" t="str">
        <f>HYPERLINK("https://www.google.iq/maps/search/+34.3456,45.3865/@34.3456,45.3865,14z?hl=en","Maplink2")</f>
        <v>Maplink2</v>
      </c>
      <c r="AW1826" s="14" t="str">
        <f>HYPERLINK("http://www.bing.com/maps/?lvl=14&amp;sty=h&amp;cp=34.3456~45.3865&amp;sp=point.34.3456_45.3865_Sparta","Maplink3")</f>
        <v>Maplink3</v>
      </c>
    </row>
    <row r="1827" spans="1:49" ht="15" customHeight="1" x14ac:dyDescent="0.25">
      <c r="A1827" s="21">
        <v>24406</v>
      </c>
      <c r="B1827" s="22" t="s">
        <v>14</v>
      </c>
      <c r="C1827" s="22" t="s">
        <v>3379</v>
      </c>
      <c r="D1827" s="22" t="s">
        <v>3459</v>
      </c>
      <c r="E1827" s="22" t="s">
        <v>3460</v>
      </c>
      <c r="F1827" s="22">
        <v>34.355597407600001</v>
      </c>
      <c r="G1827" s="22">
        <v>45.201131561799997</v>
      </c>
      <c r="H1827" s="21" t="s">
        <v>3164</v>
      </c>
      <c r="I1827" s="21" t="s">
        <v>3381</v>
      </c>
      <c r="J1827" s="21"/>
      <c r="K1827" s="24">
        <v>90</v>
      </c>
      <c r="L1827" s="24">
        <v>540</v>
      </c>
      <c r="M1827" s="23"/>
      <c r="N1827" s="23"/>
      <c r="O1827" s="23"/>
      <c r="P1827" s="23"/>
      <c r="Q1827" s="23"/>
      <c r="R1827" s="23">
        <v>90</v>
      </c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>
        <v>55</v>
      </c>
      <c r="AG1827" s="23"/>
      <c r="AH1827" s="23"/>
      <c r="AI1827" s="23"/>
      <c r="AJ1827" s="23"/>
      <c r="AK1827" s="23">
        <v>5</v>
      </c>
      <c r="AL1827" s="23"/>
      <c r="AM1827" s="23">
        <v>30</v>
      </c>
      <c r="AN1827" s="23"/>
      <c r="AO1827" s="23"/>
      <c r="AP1827" s="23">
        <v>55</v>
      </c>
      <c r="AQ1827" s="23">
        <v>30</v>
      </c>
      <c r="AR1827" s="23">
        <v>5</v>
      </c>
      <c r="AS1827" s="23"/>
      <c r="AT1827" s="23"/>
      <c r="AU1827" s="14" t="str">
        <f>HYPERLINK("http://www.openstreetmap.org/?mlat=34.3562&amp;mlon=45.2012&amp;zoom=12#map=12/34.3562/45.2012","Maplink1")</f>
        <v>Maplink1</v>
      </c>
      <c r="AV1827" s="14" t="str">
        <f>HYPERLINK("https://www.google.iq/maps/search/+34.3562,45.2012/@34.3562,45.2012,14z?hl=en","Maplink2")</f>
        <v>Maplink2</v>
      </c>
      <c r="AW1827" s="14" t="str">
        <f>HYPERLINK("http://www.bing.com/maps/?lvl=14&amp;sty=h&amp;cp=34.3562~45.2012&amp;sp=point.34.3562_45.2012_tal abbas village","Maplink3")</f>
        <v>Maplink3</v>
      </c>
    </row>
    <row r="1828" spans="1:49" ht="15" customHeight="1" x14ac:dyDescent="0.25">
      <c r="A1828" s="21">
        <v>10497</v>
      </c>
      <c r="B1828" s="22" t="s">
        <v>14</v>
      </c>
      <c r="C1828" s="22" t="s">
        <v>3379</v>
      </c>
      <c r="D1828" s="22" t="s">
        <v>8767</v>
      </c>
      <c r="E1828" s="22" t="s">
        <v>3461</v>
      </c>
      <c r="F1828" s="22">
        <v>34.369810844100002</v>
      </c>
      <c r="G1828" s="22">
        <v>45.214746868900001</v>
      </c>
      <c r="H1828" s="21" t="s">
        <v>3164</v>
      </c>
      <c r="I1828" s="21" t="s">
        <v>3381</v>
      </c>
      <c r="J1828" s="21" t="s">
        <v>3462</v>
      </c>
      <c r="K1828" s="24">
        <v>35</v>
      </c>
      <c r="L1828" s="24">
        <v>210</v>
      </c>
      <c r="M1828" s="23"/>
      <c r="N1828" s="23"/>
      <c r="O1828" s="23"/>
      <c r="P1828" s="23"/>
      <c r="Q1828" s="23"/>
      <c r="R1828" s="23">
        <v>35</v>
      </c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>
        <v>16</v>
      </c>
      <c r="AG1828" s="23"/>
      <c r="AH1828" s="23"/>
      <c r="AI1828" s="23"/>
      <c r="AJ1828" s="23"/>
      <c r="AK1828" s="23"/>
      <c r="AL1828" s="23"/>
      <c r="AM1828" s="23">
        <v>19</v>
      </c>
      <c r="AN1828" s="23"/>
      <c r="AO1828" s="23"/>
      <c r="AP1828" s="23">
        <v>11</v>
      </c>
      <c r="AQ1828" s="23">
        <v>24</v>
      </c>
      <c r="AR1828" s="23"/>
      <c r="AS1828" s="23"/>
      <c r="AT1828" s="23"/>
      <c r="AU1828" s="14" t="str">
        <f>HYPERLINK("http://www.openstreetmap.org/?mlat=34.3962&amp;mlon=45.3522&amp;zoom=12#map=12/34.3962/45.3522","Maplink1")</f>
        <v>Maplink1</v>
      </c>
      <c r="AV1828" s="14" t="str">
        <f>HYPERLINK("https://www.google.iq/maps/search/+34.3962,45.3522/@34.3962,45.3522,14z?hl=en","Maplink2")</f>
        <v>Maplink2</v>
      </c>
      <c r="AW1828" s="14" t="str">
        <f>HYPERLINK("http://www.bing.com/maps/?lvl=14&amp;sty=h&amp;cp=34.3962~45.3522&amp;sp=point.34.3962_45.3522_Tal Manjal","Maplink3")</f>
        <v>Maplink3</v>
      </c>
    </row>
    <row r="1829" spans="1:49" ht="15" customHeight="1" x14ac:dyDescent="0.25">
      <c r="A1829" s="21">
        <v>24389</v>
      </c>
      <c r="B1829" s="22" t="s">
        <v>14</v>
      </c>
      <c r="C1829" s="22" t="s">
        <v>3379</v>
      </c>
      <c r="D1829" s="22" t="s">
        <v>3463</v>
      </c>
      <c r="E1829" s="22" t="s">
        <v>3464</v>
      </c>
      <c r="F1829" s="22">
        <v>34.318475346699998</v>
      </c>
      <c r="G1829" s="22">
        <v>45.2925797535</v>
      </c>
      <c r="H1829" s="21" t="s">
        <v>3164</v>
      </c>
      <c r="I1829" s="21" t="s">
        <v>3381</v>
      </c>
      <c r="J1829" s="21"/>
      <c r="K1829" s="24">
        <v>10</v>
      </c>
      <c r="L1829" s="24">
        <v>60</v>
      </c>
      <c r="M1829" s="23"/>
      <c r="N1829" s="23"/>
      <c r="O1829" s="23"/>
      <c r="P1829" s="23"/>
      <c r="Q1829" s="23"/>
      <c r="R1829" s="23">
        <v>10</v>
      </c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/>
      <c r="AN1829" s="23">
        <v>10</v>
      </c>
      <c r="AO1829" s="23"/>
      <c r="AP1829" s="23">
        <v>10</v>
      </c>
      <c r="AQ1829" s="23"/>
      <c r="AR1829" s="23"/>
      <c r="AS1829" s="23"/>
      <c r="AT1829" s="23"/>
      <c r="AU1829" s="14" t="str">
        <f>HYPERLINK("http://www.openstreetmap.org/?mlat=34.3132&amp;mlon=45.3048&amp;zoom=12#map=12/34.3132/45.3048","Maplink1")</f>
        <v>Maplink1</v>
      </c>
      <c r="AV1829" s="14" t="str">
        <f>HYPERLINK("https://www.google.iq/maps/search/+34.3132,45.3048/@34.3132,45.3048,14z?hl=en","Maplink2")</f>
        <v>Maplink2</v>
      </c>
      <c r="AW1829" s="14" t="str">
        <f>HYPERLINK("http://www.bing.com/maps/?lvl=14&amp;sty=h&amp;cp=34.3132~45.3048&amp;sp=point.34.3132_45.3048_Totk Village","Maplink3")</f>
        <v>Maplink3</v>
      </c>
    </row>
    <row r="1830" spans="1:49" ht="15" customHeight="1" x14ac:dyDescent="0.25">
      <c r="A1830" s="21">
        <v>11047</v>
      </c>
      <c r="B1830" s="22" t="s">
        <v>14</v>
      </c>
      <c r="C1830" s="22" t="s">
        <v>3379</v>
      </c>
      <c r="D1830" s="22" t="s">
        <v>8768</v>
      </c>
      <c r="E1830" s="22" t="s">
        <v>8769</v>
      </c>
      <c r="F1830" s="22">
        <v>34.354025669999999</v>
      </c>
      <c r="G1830" s="22">
        <v>45.3456779817</v>
      </c>
      <c r="H1830" s="21" t="s">
        <v>3164</v>
      </c>
      <c r="I1830" s="21" t="s">
        <v>3381</v>
      </c>
      <c r="J1830" s="21" t="s">
        <v>3465</v>
      </c>
      <c r="K1830" s="24">
        <v>200</v>
      </c>
      <c r="L1830" s="24">
        <v>1200</v>
      </c>
      <c r="M1830" s="23"/>
      <c r="N1830" s="23"/>
      <c r="O1830" s="23"/>
      <c r="P1830" s="23"/>
      <c r="Q1830" s="23"/>
      <c r="R1830" s="23">
        <v>200</v>
      </c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>
        <v>10</v>
      </c>
      <c r="AG1830" s="23"/>
      <c r="AH1830" s="23"/>
      <c r="AI1830" s="23"/>
      <c r="AJ1830" s="23"/>
      <c r="AK1830" s="23">
        <v>130</v>
      </c>
      <c r="AL1830" s="23"/>
      <c r="AM1830" s="23">
        <v>60</v>
      </c>
      <c r="AN1830" s="23"/>
      <c r="AO1830" s="23"/>
      <c r="AP1830" s="23">
        <v>175</v>
      </c>
      <c r="AQ1830" s="23">
        <v>20</v>
      </c>
      <c r="AR1830" s="23">
        <v>5</v>
      </c>
      <c r="AS1830" s="23"/>
      <c r="AT1830" s="23"/>
      <c r="AU1830" s="14" t="str">
        <f>HYPERLINK("http://www.openstreetmap.org/?mlat=34.34&amp;mlon=45.38&amp;zoom=12#map=12/34.34/45.38","Maplink1")</f>
        <v>Maplink1</v>
      </c>
      <c r="AV1830" s="14" t="str">
        <f>HYPERLINK("https://www.google.iq/maps/search/+34.34,45.38/@34.34,45.38,14z?hl=en","Maplink2")</f>
        <v>Maplink2</v>
      </c>
      <c r="AW1830" s="14" t="str">
        <f>HYPERLINK("http://www.bing.com/maps/?lvl=14&amp;sty=h&amp;cp=34.34~45.38&amp;sp=point.34.34_45.38_Tula Frosh","Maplink3")</f>
        <v>Maplink3</v>
      </c>
    </row>
    <row r="1831" spans="1:49" ht="15" customHeight="1" x14ac:dyDescent="0.25">
      <c r="A1831" s="21">
        <v>25625</v>
      </c>
      <c r="B1831" s="22" t="s">
        <v>14</v>
      </c>
      <c r="C1831" s="22" t="s">
        <v>3379</v>
      </c>
      <c r="D1831" s="22" t="s">
        <v>3466</v>
      </c>
      <c r="E1831" s="22" t="s">
        <v>3467</v>
      </c>
      <c r="F1831" s="22">
        <v>34.3936052922</v>
      </c>
      <c r="G1831" s="22">
        <v>45.257552444300003</v>
      </c>
      <c r="H1831" s="21" t="s">
        <v>3164</v>
      </c>
      <c r="I1831" s="21" t="s">
        <v>3381</v>
      </c>
      <c r="J1831" s="21"/>
      <c r="K1831" s="24">
        <v>9</v>
      </c>
      <c r="L1831" s="24">
        <v>54</v>
      </c>
      <c r="M1831" s="23"/>
      <c r="N1831" s="23"/>
      <c r="O1831" s="23"/>
      <c r="P1831" s="23"/>
      <c r="Q1831" s="23"/>
      <c r="R1831" s="23">
        <v>9</v>
      </c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>
        <v>9</v>
      </c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/>
      <c r="AQ1831" s="23">
        <v>9</v>
      </c>
      <c r="AR1831" s="23"/>
      <c r="AS1831" s="23"/>
      <c r="AT1831" s="23"/>
      <c r="AU1831" s="14" t="str">
        <f>HYPERLINK("http://www.openstreetmap.org/?mlat=34.3875&amp;mlon=45.2563&amp;zoom=12#map=12/34.3875/45.2563","Maplink1")</f>
        <v>Maplink1</v>
      </c>
      <c r="AV1831" s="14" t="str">
        <f>HYPERLINK("https://www.google.iq/maps/search/+34.3875,45.2563/@34.3875,45.2563,14z?hl=en","Maplink2")</f>
        <v>Maplink2</v>
      </c>
      <c r="AW1831" s="14" t="str">
        <f>HYPERLINK("http://www.bing.com/maps/?lvl=14&amp;sty=h&amp;cp=34.3875~45.2563&amp;sp=point.34.3875_45.2563_Yosif Algaeed Village","Maplink3")</f>
        <v>Maplink3</v>
      </c>
    </row>
    <row r="1832" spans="1:49" ht="15" customHeight="1" x14ac:dyDescent="0.25">
      <c r="A1832" s="21">
        <v>24393</v>
      </c>
      <c r="B1832" s="22" t="s">
        <v>14</v>
      </c>
      <c r="C1832" s="22" t="s">
        <v>3379</v>
      </c>
      <c r="D1832" s="22" t="s">
        <v>3468</v>
      </c>
      <c r="E1832" s="22" t="s">
        <v>3469</v>
      </c>
      <c r="F1832" s="22">
        <v>34.3540283002</v>
      </c>
      <c r="G1832" s="22">
        <v>45.345691135599999</v>
      </c>
      <c r="H1832" s="21" t="s">
        <v>3164</v>
      </c>
      <c r="I1832" s="21" t="s">
        <v>3381</v>
      </c>
      <c r="J1832" s="21"/>
      <c r="K1832" s="24">
        <v>50</v>
      </c>
      <c r="L1832" s="24">
        <v>300</v>
      </c>
      <c r="M1832" s="23"/>
      <c r="N1832" s="23"/>
      <c r="O1832" s="23"/>
      <c r="P1832" s="23"/>
      <c r="Q1832" s="23"/>
      <c r="R1832" s="23">
        <v>50</v>
      </c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>
        <v>50</v>
      </c>
      <c r="AO1832" s="23"/>
      <c r="AP1832" s="23">
        <v>50</v>
      </c>
      <c r="AQ1832" s="23"/>
      <c r="AR1832" s="23"/>
      <c r="AS1832" s="23"/>
      <c r="AT1832" s="23"/>
      <c r="AU1832" s="14" t="str">
        <f>HYPERLINK("http://www.openstreetmap.org/?mlat=34.3526&amp;mlon=45.3476&amp;zoom=12#map=12/34.3526/45.3476","Maplink1")</f>
        <v>Maplink1</v>
      </c>
      <c r="AV1832" s="14" t="str">
        <f>HYPERLINK("https://www.google.iq/maps/search/+34.3526,45.3476/@34.3526,45.3476,14z?hl=en","Maplink2")</f>
        <v>Maplink2</v>
      </c>
      <c r="AW1832" s="14" t="str">
        <f>HYPERLINK("http://www.bing.com/maps/?lvl=14&amp;sty=h&amp;cp=34.3526~45.3476&amp;sp=point.34.3526_45.3476_Zurab village","Maplink3")</f>
        <v>Maplink3</v>
      </c>
    </row>
    <row r="1833" spans="1:49" ht="15" customHeight="1" x14ac:dyDescent="0.25">
      <c r="A1833" s="21">
        <v>25255</v>
      </c>
      <c r="B1833" s="22" t="s">
        <v>14</v>
      </c>
      <c r="C1833" s="22" t="s">
        <v>3470</v>
      </c>
      <c r="D1833" s="22" t="s">
        <v>8770</v>
      </c>
      <c r="E1833" s="22" t="s">
        <v>3391</v>
      </c>
      <c r="F1833" s="22">
        <v>34.427128240999998</v>
      </c>
      <c r="G1833" s="22">
        <v>45.086189003699999</v>
      </c>
      <c r="H1833" s="21" t="s">
        <v>3164</v>
      </c>
      <c r="I1833" s="21" t="s">
        <v>3381</v>
      </c>
      <c r="J1833" s="21"/>
      <c r="K1833" s="24">
        <v>70</v>
      </c>
      <c r="L1833" s="24">
        <v>420</v>
      </c>
      <c r="M1833" s="23"/>
      <c r="N1833" s="23"/>
      <c r="O1833" s="23"/>
      <c r="P1833" s="23"/>
      <c r="Q1833" s="23"/>
      <c r="R1833" s="23">
        <v>70</v>
      </c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>
        <v>57</v>
      </c>
      <c r="AG1833" s="23"/>
      <c r="AH1833" s="23"/>
      <c r="AI1833" s="23"/>
      <c r="AJ1833" s="23"/>
      <c r="AK1833" s="23"/>
      <c r="AL1833" s="23"/>
      <c r="AM1833" s="23">
        <v>13</v>
      </c>
      <c r="AN1833" s="23"/>
      <c r="AO1833" s="23"/>
      <c r="AP1833" s="23">
        <v>70</v>
      </c>
      <c r="AQ1833" s="23"/>
      <c r="AR1833" s="23"/>
      <c r="AS1833" s="23"/>
      <c r="AT1833" s="23"/>
      <c r="AU1833" s="14" t="str">
        <f>HYPERLINK("http://www.openstreetmap.org/?mlat=34.4261&amp;mlon=45.0882&amp;zoom=12#map=12/34.4261/45.0882","Maplink1")</f>
        <v>Maplink1</v>
      </c>
      <c r="AV1833" s="14" t="str">
        <f>HYPERLINK("https://www.google.iq/maps/search/+34.4261,45.0882/@34.4261,45.0882,14z?hl=en","Maplink2")</f>
        <v>Maplink2</v>
      </c>
      <c r="AW1833" s="14" t="str">
        <f>HYPERLINK("http://www.bing.com/maps/?lvl=14&amp;sty=h&amp;cp=34.4261~45.0882&amp;sp=point.34.4261_45.0882_Albisher village","Maplink3")</f>
        <v>Maplink3</v>
      </c>
    </row>
    <row r="1834" spans="1:49" ht="15" customHeight="1" x14ac:dyDescent="0.25">
      <c r="A1834" s="21">
        <v>28426</v>
      </c>
      <c r="B1834" s="22" t="s">
        <v>14</v>
      </c>
      <c r="C1834" s="22" t="s">
        <v>3470</v>
      </c>
      <c r="D1834" s="22" t="s">
        <v>3471</v>
      </c>
      <c r="E1834" s="22" t="s">
        <v>3472</v>
      </c>
      <c r="F1834" s="22">
        <v>34.679380000000002</v>
      </c>
      <c r="G1834" s="22">
        <v>44.598260000000003</v>
      </c>
      <c r="H1834" s="21" t="s">
        <v>3164</v>
      </c>
      <c r="I1834" s="21" t="s">
        <v>3473</v>
      </c>
      <c r="J1834" s="21"/>
      <c r="K1834" s="24">
        <v>39</v>
      </c>
      <c r="L1834" s="24">
        <v>234</v>
      </c>
      <c r="M1834" s="23">
        <v>4</v>
      </c>
      <c r="N1834" s="23">
        <v>4</v>
      </c>
      <c r="O1834" s="23"/>
      <c r="P1834" s="23"/>
      <c r="Q1834" s="23"/>
      <c r="R1834" s="23">
        <v>20</v>
      </c>
      <c r="S1834" s="23"/>
      <c r="T1834" s="23"/>
      <c r="U1834" s="23"/>
      <c r="V1834" s="23"/>
      <c r="W1834" s="23"/>
      <c r="X1834" s="23"/>
      <c r="Y1834" s="23"/>
      <c r="Z1834" s="23"/>
      <c r="AA1834" s="23">
        <v>11</v>
      </c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>
        <v>34</v>
      </c>
      <c r="AL1834" s="23"/>
      <c r="AM1834" s="23">
        <v>5</v>
      </c>
      <c r="AN1834" s="23"/>
      <c r="AO1834" s="23">
        <v>8</v>
      </c>
      <c r="AP1834" s="23">
        <v>16</v>
      </c>
      <c r="AQ1834" s="23">
        <v>3</v>
      </c>
      <c r="AR1834" s="23">
        <v>12</v>
      </c>
      <c r="AS1834" s="23"/>
      <c r="AT1834" s="23"/>
      <c r="AU1834" s="14" t="str">
        <f>HYPERLINK("http://www.openstreetmap.org/?mlat=34.6794&amp;mlon=44.5983&amp;zoom=12#map=12/34.6794/44.5983","Maplink1")</f>
        <v>Maplink1</v>
      </c>
      <c r="AV1834" s="14" t="str">
        <f>HYPERLINK("https://www.google.iq/maps/search/+34.6794,44.5983/@34.6794,44.5983,14z?hl=en","Maplink2")</f>
        <v>Maplink2</v>
      </c>
      <c r="AW1834" s="14" t="str">
        <f>HYPERLINK("http://www.bing.com/maps/?lvl=14&amp;sty=h&amp;cp=34.6794~44.5983&amp;sp=point.34.6794_44.5983_Al Angaa","Maplink3")</f>
        <v>Maplink3</v>
      </c>
    </row>
    <row r="1835" spans="1:49" ht="15" customHeight="1" x14ac:dyDescent="0.25">
      <c r="A1835" s="21">
        <v>28422</v>
      </c>
      <c r="B1835" s="22" t="s">
        <v>14</v>
      </c>
      <c r="C1835" s="22" t="s">
        <v>3470</v>
      </c>
      <c r="D1835" s="22" t="s">
        <v>3474</v>
      </c>
      <c r="E1835" s="22" t="s">
        <v>3475</v>
      </c>
      <c r="F1835" s="22">
        <v>34.678930000000001</v>
      </c>
      <c r="G1835" s="22">
        <v>44.971319999999999</v>
      </c>
      <c r="H1835" s="21" t="s">
        <v>3164</v>
      </c>
      <c r="I1835" s="21" t="s">
        <v>3473</v>
      </c>
      <c r="J1835" s="21"/>
      <c r="K1835" s="24">
        <v>104</v>
      </c>
      <c r="L1835" s="24">
        <v>624</v>
      </c>
      <c r="M1835" s="23">
        <v>13</v>
      </c>
      <c r="N1835" s="23">
        <v>14</v>
      </c>
      <c r="O1835" s="23"/>
      <c r="P1835" s="23"/>
      <c r="Q1835" s="23"/>
      <c r="R1835" s="23">
        <v>46</v>
      </c>
      <c r="S1835" s="23"/>
      <c r="T1835" s="23"/>
      <c r="U1835" s="23"/>
      <c r="V1835" s="23"/>
      <c r="W1835" s="23"/>
      <c r="X1835" s="23"/>
      <c r="Y1835" s="23"/>
      <c r="Z1835" s="23"/>
      <c r="AA1835" s="23">
        <v>31</v>
      </c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>
        <v>104</v>
      </c>
      <c r="AL1835" s="23"/>
      <c r="AM1835" s="23"/>
      <c r="AN1835" s="23"/>
      <c r="AO1835" s="23">
        <v>7</v>
      </c>
      <c r="AP1835" s="23">
        <v>44</v>
      </c>
      <c r="AQ1835" s="23">
        <v>16</v>
      </c>
      <c r="AR1835" s="23">
        <v>28</v>
      </c>
      <c r="AS1835" s="23">
        <v>5</v>
      </c>
      <c r="AT1835" s="23">
        <v>4</v>
      </c>
      <c r="AU1835" s="14" t="str">
        <f>HYPERLINK("http://www.openstreetmap.org/?mlat=34.6789&amp;mlon=44.9713&amp;zoom=12#map=12/34.6789/44.9713","Maplink1")</f>
        <v>Maplink1</v>
      </c>
      <c r="AV1835" s="14" t="str">
        <f>HYPERLINK("https://www.google.iq/maps/search/+34.6789,44.9713/@34.6789,44.9713,14z?hl=en","Maplink2")</f>
        <v>Maplink2</v>
      </c>
      <c r="AW1835" s="14" t="str">
        <f>HYPERLINK("http://www.bing.com/maps/?lvl=14&amp;sty=h&amp;cp=34.6789~44.9713&amp;sp=point.34.6789_44.9713_Al Angaa","Maplink3")</f>
        <v>Maplink3</v>
      </c>
    </row>
    <row r="1836" spans="1:49" ht="15" customHeight="1" x14ac:dyDescent="0.25">
      <c r="A1836" s="21">
        <v>28431</v>
      </c>
      <c r="B1836" s="22" t="s">
        <v>14</v>
      </c>
      <c r="C1836" s="22" t="s">
        <v>3470</v>
      </c>
      <c r="D1836" s="22" t="s">
        <v>3476</v>
      </c>
      <c r="E1836" s="22" t="s">
        <v>3477</v>
      </c>
      <c r="F1836" s="22">
        <v>34.694189999999999</v>
      </c>
      <c r="G1836" s="22">
        <v>44.94735</v>
      </c>
      <c r="H1836" s="21" t="s">
        <v>3164</v>
      </c>
      <c r="I1836" s="21" t="s">
        <v>3473</v>
      </c>
      <c r="J1836" s="21"/>
      <c r="K1836" s="24">
        <v>60</v>
      </c>
      <c r="L1836" s="24">
        <v>360</v>
      </c>
      <c r="M1836" s="23">
        <v>18</v>
      </c>
      <c r="N1836" s="23"/>
      <c r="O1836" s="23"/>
      <c r="P1836" s="23"/>
      <c r="Q1836" s="23"/>
      <c r="R1836" s="23">
        <v>30</v>
      </c>
      <c r="S1836" s="23"/>
      <c r="T1836" s="23"/>
      <c r="U1836" s="23"/>
      <c r="V1836" s="23"/>
      <c r="W1836" s="23"/>
      <c r="X1836" s="23"/>
      <c r="Y1836" s="23"/>
      <c r="Z1836" s="23"/>
      <c r="AA1836" s="23">
        <v>12</v>
      </c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>
        <v>60</v>
      </c>
      <c r="AL1836" s="23"/>
      <c r="AM1836" s="23"/>
      <c r="AN1836" s="23"/>
      <c r="AO1836" s="23">
        <v>2</v>
      </c>
      <c r="AP1836" s="23">
        <v>30</v>
      </c>
      <c r="AQ1836" s="23">
        <v>6</v>
      </c>
      <c r="AR1836" s="23">
        <v>14</v>
      </c>
      <c r="AS1836" s="23">
        <v>6</v>
      </c>
      <c r="AT1836" s="23">
        <v>2</v>
      </c>
      <c r="AU1836" s="14" t="str">
        <f>HYPERLINK("http://www.openstreetmap.org/?mlat=34.6942&amp;mlon=44.9474&amp;zoom=12#map=12/34.6942/44.9474","Maplink1")</f>
        <v>Maplink1</v>
      </c>
      <c r="AV1836" s="14" t="str">
        <f>HYPERLINK("https://www.google.iq/maps/search/+34.6942,44.9474/@34.6942,44.9474,14z?hl=en","Maplink2")</f>
        <v>Maplink2</v>
      </c>
      <c r="AW1836" s="14" t="str">
        <f>HYPERLINK("http://www.bing.com/maps/?lvl=14&amp;sty=h&amp;cp=34.6942~44.9474&amp;sp=point.34.6942_44.9474_Al Angaa","Maplink3")</f>
        <v>Maplink3</v>
      </c>
    </row>
    <row r="1837" spans="1:49" ht="15" customHeight="1" x14ac:dyDescent="0.25">
      <c r="A1837" s="21">
        <v>25251</v>
      </c>
      <c r="B1837" s="22" t="s">
        <v>14</v>
      </c>
      <c r="C1837" s="22" t="s">
        <v>3470</v>
      </c>
      <c r="D1837" s="22" t="s">
        <v>3406</v>
      </c>
      <c r="E1837" s="22" t="s">
        <v>3407</v>
      </c>
      <c r="F1837" s="22">
        <v>34.420390645499999</v>
      </c>
      <c r="G1837" s="22">
        <v>45.097149226100001</v>
      </c>
      <c r="H1837" s="21" t="s">
        <v>3164</v>
      </c>
      <c r="I1837" s="21" t="s">
        <v>3381</v>
      </c>
      <c r="J1837" s="21"/>
      <c r="K1837" s="24">
        <v>200</v>
      </c>
      <c r="L1837" s="24">
        <v>1200</v>
      </c>
      <c r="M1837" s="23"/>
      <c r="N1837" s="23"/>
      <c r="O1837" s="23"/>
      <c r="P1837" s="23"/>
      <c r="Q1837" s="23"/>
      <c r="R1837" s="23">
        <v>200</v>
      </c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>
        <v>120</v>
      </c>
      <c r="AG1837" s="23"/>
      <c r="AH1837" s="23"/>
      <c r="AI1837" s="23"/>
      <c r="AJ1837" s="23"/>
      <c r="AK1837" s="23"/>
      <c r="AL1837" s="23"/>
      <c r="AM1837" s="23">
        <v>80</v>
      </c>
      <c r="AN1837" s="23"/>
      <c r="AO1837" s="23"/>
      <c r="AP1837" s="23">
        <v>175</v>
      </c>
      <c r="AQ1837" s="23">
        <v>25</v>
      </c>
      <c r="AR1837" s="23"/>
      <c r="AS1837" s="23"/>
      <c r="AT1837" s="23"/>
      <c r="AU1837" s="14" t="str">
        <f>HYPERLINK("http://www.openstreetmap.org/?mlat=34.4214&amp;mlon=45.09&amp;zoom=12#map=12/34.4214/45.09","Maplink1")</f>
        <v>Maplink1</v>
      </c>
      <c r="AV1837" s="14" t="str">
        <f>HYPERLINK("https://www.google.iq/maps/search/+34.4214,45.09/@34.4214,45.09,14z?hl=en","Maplink2")</f>
        <v>Maplink2</v>
      </c>
      <c r="AW1837" s="14" t="str">
        <f>HYPERLINK("http://www.bing.com/maps/?lvl=14&amp;sty=h&amp;cp=34.4214~45.09&amp;sp=point.34.4214_45.09_Bakaly village","Maplink3")</f>
        <v>Maplink3</v>
      </c>
    </row>
    <row r="1838" spans="1:49" ht="15" customHeight="1" x14ac:dyDescent="0.25">
      <c r="A1838" s="21">
        <v>28423</v>
      </c>
      <c r="B1838" s="22" t="s">
        <v>14</v>
      </c>
      <c r="C1838" s="22" t="s">
        <v>3470</v>
      </c>
      <c r="D1838" s="22" t="s">
        <v>3478</v>
      </c>
      <c r="E1838" s="22" t="s">
        <v>3479</v>
      </c>
      <c r="F1838" s="22">
        <v>34.706780000000002</v>
      </c>
      <c r="G1838" s="22">
        <v>44.968679999999999</v>
      </c>
      <c r="H1838" s="21" t="s">
        <v>3164</v>
      </c>
      <c r="I1838" s="21" t="s">
        <v>3473</v>
      </c>
      <c r="J1838" s="21"/>
      <c r="K1838" s="24">
        <v>30</v>
      </c>
      <c r="L1838" s="24">
        <v>180</v>
      </c>
      <c r="M1838" s="23">
        <v>6</v>
      </c>
      <c r="N1838" s="23"/>
      <c r="O1838" s="23">
        <v>3</v>
      </c>
      <c r="P1838" s="23"/>
      <c r="Q1838" s="23"/>
      <c r="R1838" s="23">
        <v>21</v>
      </c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21</v>
      </c>
      <c r="AL1838" s="23"/>
      <c r="AM1838" s="23">
        <v>9</v>
      </c>
      <c r="AN1838" s="23"/>
      <c r="AO1838" s="23"/>
      <c r="AP1838" s="23">
        <v>14</v>
      </c>
      <c r="AQ1838" s="23">
        <v>4</v>
      </c>
      <c r="AR1838" s="23">
        <v>8</v>
      </c>
      <c r="AS1838" s="23">
        <v>4</v>
      </c>
      <c r="AT1838" s="23"/>
      <c r="AU1838" s="14" t="str">
        <f>HYPERLINK("http://www.openstreetmap.org/?mlat=34.7068&amp;mlon=44.9687&amp;zoom=12#map=12/34.7068/44.9687","Maplink1")</f>
        <v>Maplink1</v>
      </c>
      <c r="AV1838" s="14" t="str">
        <f>HYPERLINK("https://www.google.iq/maps/search/+34.7068,44.9687/@34.7068,44.9687,14z?hl=en","Maplink2")</f>
        <v>Maplink2</v>
      </c>
      <c r="AW1838" s="14" t="str">
        <f>HYPERLINK("http://www.bing.com/maps/?lvl=14&amp;sty=h&amp;cp=34.7068~44.9687&amp;sp=point.34.7068_44.9687_Al Angaa","Maplink3")</f>
        <v>Maplink3</v>
      </c>
    </row>
    <row r="1839" spans="1:49" ht="15" customHeight="1" x14ac:dyDescent="0.25">
      <c r="A1839" s="21">
        <v>25254</v>
      </c>
      <c r="B1839" s="22" t="s">
        <v>14</v>
      </c>
      <c r="C1839" s="22" t="s">
        <v>3470</v>
      </c>
      <c r="D1839" s="22" t="s">
        <v>3413</v>
      </c>
      <c r="E1839" s="22" t="s">
        <v>3414</v>
      </c>
      <c r="F1839" s="22">
        <v>34.443801999999998</v>
      </c>
      <c r="G1839" s="22">
        <v>45.059583000000003</v>
      </c>
      <c r="H1839" s="21" t="s">
        <v>3164</v>
      </c>
      <c r="I1839" s="21" t="s">
        <v>3381</v>
      </c>
      <c r="J1839" s="21"/>
      <c r="K1839" s="24">
        <v>60</v>
      </c>
      <c r="L1839" s="24">
        <v>360</v>
      </c>
      <c r="M1839" s="23"/>
      <c r="N1839" s="23"/>
      <c r="O1839" s="23"/>
      <c r="P1839" s="23"/>
      <c r="Q1839" s="23"/>
      <c r="R1839" s="23">
        <v>60</v>
      </c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>
        <v>40</v>
      </c>
      <c r="AG1839" s="23"/>
      <c r="AH1839" s="23"/>
      <c r="AI1839" s="23"/>
      <c r="AJ1839" s="23"/>
      <c r="AK1839" s="23"/>
      <c r="AL1839" s="23"/>
      <c r="AM1839" s="23">
        <v>20</v>
      </c>
      <c r="AN1839" s="23"/>
      <c r="AO1839" s="23"/>
      <c r="AP1839" s="23">
        <v>60</v>
      </c>
      <c r="AQ1839" s="23"/>
      <c r="AR1839" s="23"/>
      <c r="AS1839" s="23"/>
      <c r="AT1839" s="23"/>
      <c r="AU1839" s="14" t="str">
        <f>HYPERLINK("http://www.openstreetmap.org/?mlat=34.4438&amp;mlon=45.0596&amp;zoom=12#map=12/34.4438/45.0596","Maplink1")</f>
        <v>Maplink1</v>
      </c>
      <c r="AV1839" s="14" t="str">
        <f>HYPERLINK("https://www.google.iq/maps/search/+34.4438,45.0596/@34.4438,45.0596,14z?hl=en","Maplink2")</f>
        <v>Maplink2</v>
      </c>
      <c r="AW1839" s="14" t="str">
        <f>HYPERLINK("http://www.bing.com/maps/?lvl=14&amp;sty=h&amp;cp=34.4438~45.0596&amp;sp=point.34.4438_45.0596_Dora village","Maplink3")</f>
        <v>Maplink3</v>
      </c>
    </row>
    <row r="1840" spans="1:49" ht="15" customHeight="1" x14ac:dyDescent="0.25">
      <c r="A1840" s="21">
        <v>28425</v>
      </c>
      <c r="B1840" s="22" t="s">
        <v>14</v>
      </c>
      <c r="C1840" s="22" t="s">
        <v>3470</v>
      </c>
      <c r="D1840" s="22" t="s">
        <v>3480</v>
      </c>
      <c r="E1840" s="22" t="s">
        <v>3481</v>
      </c>
      <c r="F1840" s="22">
        <v>34.703479999999999</v>
      </c>
      <c r="G1840" s="22">
        <v>44.96031</v>
      </c>
      <c r="H1840" s="21" t="s">
        <v>3164</v>
      </c>
      <c r="I1840" s="21" t="s">
        <v>3473</v>
      </c>
      <c r="J1840" s="21"/>
      <c r="K1840" s="24">
        <v>42</v>
      </c>
      <c r="L1840" s="24">
        <v>252</v>
      </c>
      <c r="M1840" s="23">
        <v>12</v>
      </c>
      <c r="N1840" s="23">
        <v>3</v>
      </c>
      <c r="O1840" s="23"/>
      <c r="P1840" s="23"/>
      <c r="Q1840" s="23"/>
      <c r="R1840" s="23">
        <v>22</v>
      </c>
      <c r="S1840" s="23"/>
      <c r="T1840" s="23"/>
      <c r="U1840" s="23"/>
      <c r="V1840" s="23"/>
      <c r="W1840" s="23"/>
      <c r="X1840" s="23"/>
      <c r="Y1840" s="23"/>
      <c r="Z1840" s="23"/>
      <c r="AA1840" s="23">
        <v>5</v>
      </c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>
        <v>42</v>
      </c>
      <c r="AL1840" s="23"/>
      <c r="AM1840" s="23"/>
      <c r="AN1840" s="23"/>
      <c r="AO1840" s="23">
        <v>11</v>
      </c>
      <c r="AP1840" s="23">
        <v>12</v>
      </c>
      <c r="AQ1840" s="23">
        <v>7</v>
      </c>
      <c r="AR1840" s="23">
        <v>4</v>
      </c>
      <c r="AS1840" s="23">
        <v>6</v>
      </c>
      <c r="AT1840" s="23">
        <v>2</v>
      </c>
      <c r="AU1840" s="14" t="str">
        <f>HYPERLINK("http://www.openstreetmap.org/?mlat=34.7035&amp;mlon=44.9603&amp;zoom=12#map=12/34.7035/44.9603","Maplink1")</f>
        <v>Maplink1</v>
      </c>
      <c r="AV1840" s="14" t="str">
        <f>HYPERLINK("https://www.google.iq/maps/search/+34.7035,44.9603/@34.7035,44.9603,14z?hl=en","Maplink2")</f>
        <v>Maplink2</v>
      </c>
      <c r="AW1840" s="14" t="str">
        <f>HYPERLINK("http://www.bing.com/maps/?lvl=14&amp;sty=h&amp;cp=34.7035~44.9603&amp;sp=point.34.7035_44.9603_Al Angaa","Maplink3")</f>
        <v>Maplink3</v>
      </c>
    </row>
    <row r="1841" spans="1:49" ht="15" customHeight="1" x14ac:dyDescent="0.25">
      <c r="A1841" s="21">
        <v>28427</v>
      </c>
      <c r="B1841" s="22" t="s">
        <v>14</v>
      </c>
      <c r="C1841" s="22" t="s">
        <v>3470</v>
      </c>
      <c r="D1841" s="22" t="s">
        <v>3482</v>
      </c>
      <c r="E1841" s="22" t="s">
        <v>3483</v>
      </c>
      <c r="F1841" s="22">
        <v>34.689749999999997</v>
      </c>
      <c r="G1841" s="22">
        <v>44.949849999999998</v>
      </c>
      <c r="H1841" s="21" t="s">
        <v>3164</v>
      </c>
      <c r="I1841" s="21" t="s">
        <v>3473</v>
      </c>
      <c r="J1841" s="21"/>
      <c r="K1841" s="24">
        <v>84</v>
      </c>
      <c r="L1841" s="24">
        <v>504</v>
      </c>
      <c r="M1841" s="23">
        <v>6</v>
      </c>
      <c r="N1841" s="23">
        <v>8</v>
      </c>
      <c r="O1841" s="23">
        <v>4</v>
      </c>
      <c r="P1841" s="23"/>
      <c r="Q1841" s="23"/>
      <c r="R1841" s="23">
        <v>54</v>
      </c>
      <c r="S1841" s="23"/>
      <c r="T1841" s="23"/>
      <c r="U1841" s="23"/>
      <c r="V1841" s="23"/>
      <c r="W1841" s="23"/>
      <c r="X1841" s="23"/>
      <c r="Y1841" s="23"/>
      <c r="Z1841" s="23"/>
      <c r="AA1841" s="23">
        <v>12</v>
      </c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>
        <v>78</v>
      </c>
      <c r="AL1841" s="23"/>
      <c r="AM1841" s="23">
        <v>6</v>
      </c>
      <c r="AN1841" s="23"/>
      <c r="AO1841" s="23">
        <v>10</v>
      </c>
      <c r="AP1841" s="23">
        <v>50</v>
      </c>
      <c r="AQ1841" s="23">
        <v>9</v>
      </c>
      <c r="AR1841" s="23">
        <v>13</v>
      </c>
      <c r="AS1841" s="23">
        <v>2</v>
      </c>
      <c r="AT1841" s="23"/>
      <c r="AU1841" s="14" t="str">
        <f>HYPERLINK("http://www.openstreetmap.org/?mlat=34.6897&amp;mlon=44.9498&amp;zoom=12#map=12/34.6897/44.9498","Maplink1")</f>
        <v>Maplink1</v>
      </c>
      <c r="AV1841" s="14" t="str">
        <f>HYPERLINK("https://www.google.iq/maps/search/+34.6897,44.9498/@34.6897,44.9498,14z?hl=en","Maplink2")</f>
        <v>Maplink2</v>
      </c>
      <c r="AW1841" s="14" t="str">
        <f>HYPERLINK("http://www.bing.com/maps/?lvl=14&amp;sty=h&amp;cp=34.6897~44.9498&amp;sp=point.34.6897_44.9498_Al Angaa","Maplink3")</f>
        <v>Maplink3</v>
      </c>
    </row>
    <row r="1842" spans="1:49" ht="15" customHeight="1" x14ac:dyDescent="0.25">
      <c r="A1842" s="21">
        <v>25253</v>
      </c>
      <c r="B1842" s="22" t="s">
        <v>14</v>
      </c>
      <c r="C1842" s="22" t="s">
        <v>3470</v>
      </c>
      <c r="D1842" s="22" t="s">
        <v>3430</v>
      </c>
      <c r="E1842" s="22" t="s">
        <v>3431</v>
      </c>
      <c r="F1842" s="22">
        <v>34.427650807299997</v>
      </c>
      <c r="G1842" s="22">
        <v>45.140039797500002</v>
      </c>
      <c r="H1842" s="21" t="s">
        <v>3164</v>
      </c>
      <c r="I1842" s="21" t="s">
        <v>3381</v>
      </c>
      <c r="J1842" s="21"/>
      <c r="K1842" s="24">
        <v>51</v>
      </c>
      <c r="L1842" s="24">
        <v>306</v>
      </c>
      <c r="M1842" s="23"/>
      <c r="N1842" s="23"/>
      <c r="O1842" s="23"/>
      <c r="P1842" s="23"/>
      <c r="Q1842" s="23"/>
      <c r="R1842" s="23">
        <v>51</v>
      </c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>
        <v>33</v>
      </c>
      <c r="AG1842" s="23"/>
      <c r="AH1842" s="23"/>
      <c r="AI1842" s="23"/>
      <c r="AJ1842" s="23"/>
      <c r="AK1842" s="23"/>
      <c r="AL1842" s="23"/>
      <c r="AM1842" s="23">
        <v>18</v>
      </c>
      <c r="AN1842" s="23"/>
      <c r="AO1842" s="23"/>
      <c r="AP1842" s="23">
        <v>36</v>
      </c>
      <c r="AQ1842" s="23">
        <v>10</v>
      </c>
      <c r="AR1842" s="23">
        <v>5</v>
      </c>
      <c r="AS1842" s="23"/>
      <c r="AT1842" s="23"/>
      <c r="AU1842" s="14" t="str">
        <f>HYPERLINK("http://www.openstreetmap.org/?mlat=34.4277&amp;mlon=45.1446&amp;zoom=12#map=12/34.4277/45.1446","Maplink1")</f>
        <v>Maplink1</v>
      </c>
      <c r="AV1842" s="14" t="str">
        <f>HYPERLINK("https://www.google.iq/maps/search/+34.4277,45.1446/@34.4277,45.1446,14z?hl=en","Maplink2")</f>
        <v>Maplink2</v>
      </c>
      <c r="AW1842" s="14" t="str">
        <f>HYPERLINK("http://www.bing.com/maps/?lvl=14&amp;sty=h&amp;cp=34.4277~45.1446&amp;sp=point.34.4277_45.1446_Khdran village","Maplink3")</f>
        <v>Maplink3</v>
      </c>
    </row>
    <row r="1843" spans="1:49" ht="15" customHeight="1" x14ac:dyDescent="0.25">
      <c r="A1843" s="21">
        <v>25252</v>
      </c>
      <c r="B1843" s="22" t="s">
        <v>14</v>
      </c>
      <c r="C1843" s="22" t="s">
        <v>3470</v>
      </c>
      <c r="D1843" s="22" t="s">
        <v>3432</v>
      </c>
      <c r="E1843" s="22" t="s">
        <v>3433</v>
      </c>
      <c r="F1843" s="22">
        <v>34.436376336599999</v>
      </c>
      <c r="G1843" s="22">
        <v>45.059815408399999</v>
      </c>
      <c r="H1843" s="21" t="s">
        <v>3164</v>
      </c>
      <c r="I1843" s="21" t="s">
        <v>3381</v>
      </c>
      <c r="J1843" s="21"/>
      <c r="K1843" s="24">
        <v>150</v>
      </c>
      <c r="L1843" s="24">
        <v>900</v>
      </c>
      <c r="M1843" s="23"/>
      <c r="N1843" s="23"/>
      <c r="O1843" s="23"/>
      <c r="P1843" s="23"/>
      <c r="Q1843" s="23"/>
      <c r="R1843" s="23">
        <v>150</v>
      </c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>
        <v>125</v>
      </c>
      <c r="AG1843" s="23"/>
      <c r="AH1843" s="23"/>
      <c r="AI1843" s="23"/>
      <c r="AJ1843" s="23"/>
      <c r="AK1843" s="23">
        <v>5</v>
      </c>
      <c r="AL1843" s="23"/>
      <c r="AM1843" s="23">
        <v>20</v>
      </c>
      <c r="AN1843" s="23"/>
      <c r="AO1843" s="23"/>
      <c r="AP1843" s="23">
        <v>150</v>
      </c>
      <c r="AQ1843" s="23"/>
      <c r="AR1843" s="23"/>
      <c r="AS1843" s="23"/>
      <c r="AT1843" s="23"/>
      <c r="AU1843" s="14" t="str">
        <f>HYPERLINK("http://www.openstreetmap.org/?mlat=34.4365&amp;mlon=45.0606&amp;zoom=12#map=12/34.4365/45.0606","Maplink1")</f>
        <v>Maplink1</v>
      </c>
      <c r="AV1843" s="14" t="str">
        <f>HYPERLINK("https://www.google.iq/maps/search/+34.4365,45.0606/@34.4365,45.0606,14z?hl=en","Maplink2")</f>
        <v>Maplink2</v>
      </c>
      <c r="AW1843" s="14" t="str">
        <f>HYPERLINK("http://www.bing.com/maps/?lvl=14&amp;sty=h&amp;cp=34.4365~45.0606&amp;sp=point.34.4365_45.0606_Khozifah village","Maplink3")</f>
        <v>Maplink3</v>
      </c>
    </row>
    <row r="1844" spans="1:49" ht="15" customHeight="1" x14ac:dyDescent="0.25">
      <c r="A1844" s="21">
        <v>28424</v>
      </c>
      <c r="B1844" s="22" t="s">
        <v>14</v>
      </c>
      <c r="C1844" s="22" t="s">
        <v>3470</v>
      </c>
      <c r="D1844" s="22" t="s">
        <v>3484</v>
      </c>
      <c r="E1844" s="22" t="s">
        <v>3485</v>
      </c>
      <c r="F1844" s="22">
        <v>34.690159999999999</v>
      </c>
      <c r="G1844" s="22">
        <v>44.958280000000002</v>
      </c>
      <c r="H1844" s="21" t="s">
        <v>3164</v>
      </c>
      <c r="I1844" s="21" t="s">
        <v>3473</v>
      </c>
      <c r="J1844" s="21"/>
      <c r="K1844" s="24">
        <v>19</v>
      </c>
      <c r="L1844" s="24">
        <v>114</v>
      </c>
      <c r="M1844" s="23">
        <v>2</v>
      </c>
      <c r="N1844" s="23">
        <v>6</v>
      </c>
      <c r="O1844" s="23"/>
      <c r="P1844" s="23"/>
      <c r="Q1844" s="23"/>
      <c r="R1844" s="23">
        <v>11</v>
      </c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>
        <v>19</v>
      </c>
      <c r="AL1844" s="23"/>
      <c r="AM1844" s="23"/>
      <c r="AN1844" s="23"/>
      <c r="AO1844" s="23">
        <v>5</v>
      </c>
      <c r="AP1844" s="23">
        <v>6</v>
      </c>
      <c r="AQ1844" s="23">
        <v>2</v>
      </c>
      <c r="AR1844" s="23">
        <v>6</v>
      </c>
      <c r="AS1844" s="23"/>
      <c r="AT1844" s="23"/>
      <c r="AU1844" s="14" t="str">
        <f>HYPERLINK("http://www.openstreetmap.org/?mlat=34.6902&amp;mlon=44.9583&amp;zoom=12#map=12/34.6902/44.9583","Maplink1")</f>
        <v>Maplink1</v>
      </c>
      <c r="AV1844" s="14" t="str">
        <f>HYPERLINK("https://www.google.iq/maps/search/+34.6902,44.9583/@34.6902,44.9583,14z?hl=en","Maplink2")</f>
        <v>Maplink2</v>
      </c>
      <c r="AW1844" s="14" t="str">
        <f>HYPERLINK("http://www.bing.com/maps/?lvl=14&amp;sty=h&amp;cp=34.6902~44.9583&amp;sp=point.34.6902_44.9583_Al Angaa","Maplink3")</f>
        <v>Maplink3</v>
      </c>
    </row>
    <row r="1845" spans="1:49" ht="15" customHeight="1" x14ac:dyDescent="0.25">
      <c r="A1845" s="21">
        <v>25256</v>
      </c>
      <c r="B1845" s="22" t="s">
        <v>14</v>
      </c>
      <c r="C1845" s="22" t="s">
        <v>3470</v>
      </c>
      <c r="D1845" s="22" t="s">
        <v>3441</v>
      </c>
      <c r="E1845" s="22" t="s">
        <v>3442</v>
      </c>
      <c r="F1845" s="22">
        <v>34.4379758579</v>
      </c>
      <c r="G1845" s="22">
        <v>45.145043774800001</v>
      </c>
      <c r="H1845" s="21" t="s">
        <v>3164</v>
      </c>
      <c r="I1845" s="21" t="s">
        <v>3381</v>
      </c>
      <c r="J1845" s="21"/>
      <c r="K1845" s="24">
        <v>60</v>
      </c>
      <c r="L1845" s="24">
        <v>360</v>
      </c>
      <c r="M1845" s="23"/>
      <c r="N1845" s="23"/>
      <c r="O1845" s="23"/>
      <c r="P1845" s="23"/>
      <c r="Q1845" s="23"/>
      <c r="R1845" s="23">
        <v>60</v>
      </c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>
        <v>30</v>
      </c>
      <c r="AG1845" s="23"/>
      <c r="AH1845" s="23"/>
      <c r="AI1845" s="23"/>
      <c r="AJ1845" s="23"/>
      <c r="AK1845" s="23"/>
      <c r="AL1845" s="23"/>
      <c r="AM1845" s="23">
        <v>30</v>
      </c>
      <c r="AN1845" s="23"/>
      <c r="AO1845" s="23"/>
      <c r="AP1845" s="23">
        <v>60</v>
      </c>
      <c r="AQ1845" s="23"/>
      <c r="AR1845" s="23"/>
      <c r="AS1845" s="23"/>
      <c r="AT1845" s="23"/>
      <c r="AU1845" s="14" t="str">
        <f>HYPERLINK("http://www.openstreetmap.org/?mlat=34.4389&amp;mlon=45.1379&amp;zoom=12#map=12/34.4389/45.1379","Maplink1")</f>
        <v>Maplink1</v>
      </c>
      <c r="AV1845" s="14" t="str">
        <f>HYPERLINK("https://www.google.iq/maps/search/+34.4389,45.1379/@34.4389,45.1379,14z?hl=en","Maplink2")</f>
        <v>Maplink2</v>
      </c>
      <c r="AW1845" s="14" t="str">
        <f>HYPERLINK("http://www.bing.com/maps/?lvl=14&amp;sty=h&amp;cp=34.4389~45.1379&amp;sp=point.34.4389_45.1379_Nargis village","Maplink3")</f>
        <v>Maplink3</v>
      </c>
    </row>
    <row r="1846" spans="1:49" ht="15" customHeight="1" x14ac:dyDescent="0.25">
      <c r="A1846" s="21">
        <v>28432</v>
      </c>
      <c r="B1846" s="22" t="s">
        <v>14</v>
      </c>
      <c r="C1846" s="22" t="s">
        <v>3470</v>
      </c>
      <c r="D1846" s="22" t="s">
        <v>3486</v>
      </c>
      <c r="E1846" s="22" t="s">
        <v>3487</v>
      </c>
      <c r="F1846" s="22">
        <v>34.967869999999998</v>
      </c>
      <c r="G1846" s="22">
        <v>44.966799999999999</v>
      </c>
      <c r="H1846" s="21" t="s">
        <v>3164</v>
      </c>
      <c r="I1846" s="21" t="s">
        <v>3473</v>
      </c>
      <c r="J1846" s="21"/>
      <c r="K1846" s="24">
        <v>80</v>
      </c>
      <c r="L1846" s="24">
        <v>480</v>
      </c>
      <c r="M1846" s="23">
        <v>11</v>
      </c>
      <c r="N1846" s="23">
        <v>15</v>
      </c>
      <c r="O1846" s="23"/>
      <c r="P1846" s="23"/>
      <c r="Q1846" s="23"/>
      <c r="R1846" s="23">
        <v>32</v>
      </c>
      <c r="S1846" s="23"/>
      <c r="T1846" s="23"/>
      <c r="U1846" s="23"/>
      <c r="V1846" s="23"/>
      <c r="W1846" s="23"/>
      <c r="X1846" s="23"/>
      <c r="Y1846" s="23"/>
      <c r="Z1846" s="23"/>
      <c r="AA1846" s="23">
        <v>22</v>
      </c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>
        <v>80</v>
      </c>
      <c r="AL1846" s="23"/>
      <c r="AM1846" s="23"/>
      <c r="AN1846" s="23"/>
      <c r="AO1846" s="23">
        <v>12</v>
      </c>
      <c r="AP1846" s="23">
        <v>36</v>
      </c>
      <c r="AQ1846" s="23">
        <v>13</v>
      </c>
      <c r="AR1846" s="23">
        <v>19</v>
      </c>
      <c r="AS1846" s="23"/>
      <c r="AT1846" s="23"/>
      <c r="AU1846" s="14" t="str">
        <f>HYPERLINK("http://www.openstreetmap.org/?mlat=34.9679&amp;mlon=44.9668&amp;zoom=12#map=12/34.9679/44.9668","Maplink1")</f>
        <v>Maplink1</v>
      </c>
      <c r="AV1846" s="14" t="str">
        <f>HYPERLINK("https://www.google.iq/maps/search/+34.9679,44.9668/@34.9679,44.9668,14z?hl=en","Maplink2")</f>
        <v>Maplink2</v>
      </c>
      <c r="AW1846" s="14" t="str">
        <f>HYPERLINK("http://www.bing.com/maps/?lvl=14&amp;sty=h&amp;cp=34.9679~44.9668&amp;sp=point.34.9679_44.9668_Al Angaa","Maplink3")</f>
        <v>Maplink3</v>
      </c>
    </row>
    <row r="1847" spans="1:49" ht="15" customHeight="1" x14ac:dyDescent="0.25">
      <c r="A1847" s="21">
        <v>10592</v>
      </c>
      <c r="B1847" s="22" t="s">
        <v>14</v>
      </c>
      <c r="C1847" s="22" t="s">
        <v>3470</v>
      </c>
      <c r="D1847" s="22" t="s">
        <v>3488</v>
      </c>
      <c r="E1847" s="22" t="s">
        <v>3489</v>
      </c>
      <c r="F1847" s="22">
        <v>34.430443851600003</v>
      </c>
      <c r="G1847" s="22">
        <v>44.922658153500002</v>
      </c>
      <c r="H1847" s="21" t="s">
        <v>3164</v>
      </c>
      <c r="I1847" s="21" t="s">
        <v>3473</v>
      </c>
      <c r="J1847" s="21" t="s">
        <v>3490</v>
      </c>
      <c r="K1847" s="24">
        <v>150</v>
      </c>
      <c r="L1847" s="24">
        <v>900</v>
      </c>
      <c r="M1847" s="23"/>
      <c r="N1847" s="23"/>
      <c r="O1847" s="23"/>
      <c r="P1847" s="23"/>
      <c r="Q1847" s="23"/>
      <c r="R1847" s="23">
        <v>150</v>
      </c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>
        <v>50</v>
      </c>
      <c r="AG1847" s="23"/>
      <c r="AH1847" s="23"/>
      <c r="AI1847" s="23"/>
      <c r="AJ1847" s="23"/>
      <c r="AK1847" s="23">
        <v>100</v>
      </c>
      <c r="AL1847" s="23"/>
      <c r="AM1847" s="23"/>
      <c r="AN1847" s="23"/>
      <c r="AO1847" s="23"/>
      <c r="AP1847" s="23">
        <v>150</v>
      </c>
      <c r="AQ1847" s="23"/>
      <c r="AR1847" s="23"/>
      <c r="AS1847" s="23"/>
      <c r="AT1847" s="23"/>
      <c r="AU1847" s="14" t="str">
        <f>HYPERLINK("http://www.openstreetmap.org/?mlat=34.41&amp;mlon=44.93&amp;zoom=12#map=12/34.41/44.93","Maplink1")</f>
        <v>Maplink1</v>
      </c>
      <c r="AV1847" s="14" t="str">
        <f>HYPERLINK("https://www.google.iq/maps/search/+34.41,44.93/@34.41,44.93,14z?hl=en","Maplink2")</f>
        <v>Maplink2</v>
      </c>
      <c r="AW1847" s="14" t="str">
        <f>HYPERLINK("http://www.bing.com/maps/?lvl=14&amp;sty=h&amp;cp=34.41~44.93&amp;sp=point.34.41_44.93_Qaratappa","Maplink3")</f>
        <v>Maplink3</v>
      </c>
    </row>
    <row r="1848" spans="1:49" ht="15" customHeight="1" x14ac:dyDescent="0.25">
      <c r="A1848" s="21">
        <v>28430</v>
      </c>
      <c r="B1848" s="22" t="s">
        <v>14</v>
      </c>
      <c r="C1848" s="22" t="s">
        <v>3470</v>
      </c>
      <c r="D1848" s="22" t="s">
        <v>3491</v>
      </c>
      <c r="E1848" s="22" t="s">
        <v>3492</v>
      </c>
      <c r="F1848" s="22">
        <v>34.684339999999999</v>
      </c>
      <c r="G1848" s="22">
        <v>44.956870000000002</v>
      </c>
      <c r="H1848" s="21" t="s">
        <v>3164</v>
      </c>
      <c r="I1848" s="21" t="s">
        <v>3473</v>
      </c>
      <c r="J1848" s="21"/>
      <c r="K1848" s="24">
        <v>80</v>
      </c>
      <c r="L1848" s="24">
        <v>480</v>
      </c>
      <c r="M1848" s="23">
        <v>10</v>
      </c>
      <c r="N1848" s="23">
        <v>13</v>
      </c>
      <c r="O1848" s="23">
        <v>6</v>
      </c>
      <c r="P1848" s="23"/>
      <c r="Q1848" s="23"/>
      <c r="R1848" s="23">
        <v>37</v>
      </c>
      <c r="S1848" s="23"/>
      <c r="T1848" s="23"/>
      <c r="U1848" s="23"/>
      <c r="V1848" s="23"/>
      <c r="W1848" s="23"/>
      <c r="X1848" s="23"/>
      <c r="Y1848" s="23"/>
      <c r="Z1848" s="23"/>
      <c r="AA1848" s="23">
        <v>14</v>
      </c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>
        <v>78</v>
      </c>
      <c r="AL1848" s="23"/>
      <c r="AM1848" s="23">
        <v>2</v>
      </c>
      <c r="AN1848" s="23"/>
      <c r="AO1848" s="23">
        <v>10</v>
      </c>
      <c r="AP1848" s="23">
        <v>44</v>
      </c>
      <c r="AQ1848" s="23">
        <v>9</v>
      </c>
      <c r="AR1848" s="23">
        <v>15</v>
      </c>
      <c r="AS1848" s="23">
        <v>2</v>
      </c>
      <c r="AT1848" s="23"/>
      <c r="AU1848" s="14" t="str">
        <f>HYPERLINK("http://www.openstreetmap.org/?mlat=34.6843&amp;mlon=44.9569&amp;zoom=12#map=12/34.6843/44.9569","Maplink1")</f>
        <v>Maplink1</v>
      </c>
      <c r="AV1848" s="14" t="str">
        <f>HYPERLINK("https://www.google.iq/maps/search/+34.6843,44.9569/@34.6843,44.9569,14z?hl=en","Maplink2")</f>
        <v>Maplink2</v>
      </c>
      <c r="AW1848" s="14" t="str">
        <f>HYPERLINK("http://www.bing.com/maps/?lvl=14&amp;sty=h&amp;cp=34.6843~44.9569&amp;sp=point.34.6843_44.9569_Al Angaa","Maplink3")</f>
        <v>Maplink3</v>
      </c>
    </row>
    <row r="1849" spans="1:49" ht="15" customHeight="1" x14ac:dyDescent="0.25">
      <c r="A1849" s="21">
        <v>28428</v>
      </c>
      <c r="B1849" s="22" t="s">
        <v>14</v>
      </c>
      <c r="C1849" s="22" t="s">
        <v>3470</v>
      </c>
      <c r="D1849" s="22" t="s">
        <v>3493</v>
      </c>
      <c r="E1849" s="22" t="s">
        <v>3147</v>
      </c>
      <c r="F1849" s="22">
        <v>34.964820000000003</v>
      </c>
      <c r="G1849" s="22">
        <v>44.957599999999999</v>
      </c>
      <c r="H1849" s="21" t="s">
        <v>3164</v>
      </c>
      <c r="I1849" s="21" t="s">
        <v>3473</v>
      </c>
      <c r="J1849" s="21"/>
      <c r="K1849" s="24">
        <v>62</v>
      </c>
      <c r="L1849" s="24">
        <v>372</v>
      </c>
      <c r="M1849" s="23">
        <v>3</v>
      </c>
      <c r="N1849" s="23">
        <v>10</v>
      </c>
      <c r="O1849" s="23"/>
      <c r="P1849" s="23"/>
      <c r="Q1849" s="23"/>
      <c r="R1849" s="23">
        <v>40</v>
      </c>
      <c r="S1849" s="23"/>
      <c r="T1849" s="23"/>
      <c r="U1849" s="23"/>
      <c r="V1849" s="23"/>
      <c r="W1849" s="23"/>
      <c r="X1849" s="23"/>
      <c r="Y1849" s="23"/>
      <c r="Z1849" s="23"/>
      <c r="AA1849" s="23">
        <v>9</v>
      </c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>
        <v>54</v>
      </c>
      <c r="AL1849" s="23"/>
      <c r="AM1849" s="23">
        <v>8</v>
      </c>
      <c r="AN1849" s="23"/>
      <c r="AO1849" s="23">
        <v>10</v>
      </c>
      <c r="AP1849" s="23">
        <v>38</v>
      </c>
      <c r="AQ1849" s="23">
        <v>6</v>
      </c>
      <c r="AR1849" s="23">
        <v>6</v>
      </c>
      <c r="AS1849" s="23">
        <v>2</v>
      </c>
      <c r="AT1849" s="23"/>
      <c r="AU1849" s="14" t="str">
        <f>HYPERLINK("http://www.openstreetmap.org/?mlat=34.9648&amp;mlon=44.9576&amp;zoom=12#map=12/34.9648/44.9576","Maplink1")</f>
        <v>Maplink1</v>
      </c>
      <c r="AV1849" s="14" t="str">
        <f>HYPERLINK("https://www.google.iq/maps/search/+34.9648,44.9576/@34.9648,44.9576,14z?hl=en","Maplink2")</f>
        <v>Maplink2</v>
      </c>
      <c r="AW1849" s="14" t="str">
        <f>HYPERLINK("http://www.bing.com/maps/?lvl=14&amp;sty=h&amp;cp=34.9648~44.9576&amp;sp=point.34.9648_44.9576_Al Angaa","Maplink3")</f>
        <v>Maplink3</v>
      </c>
    </row>
    <row r="1850" spans="1:49" ht="15" customHeight="1" x14ac:dyDescent="0.25">
      <c r="A1850" s="21">
        <v>28429</v>
      </c>
      <c r="B1850" s="22" t="s">
        <v>14</v>
      </c>
      <c r="C1850" s="22" t="s">
        <v>3470</v>
      </c>
      <c r="D1850" s="22" t="s">
        <v>3494</v>
      </c>
      <c r="E1850" s="22" t="s">
        <v>3066</v>
      </c>
      <c r="F1850" s="22">
        <v>34.689320000000002</v>
      </c>
      <c r="G1850" s="22">
        <v>44.966009999999997</v>
      </c>
      <c r="H1850" s="21" t="s">
        <v>3164</v>
      </c>
      <c r="I1850" s="21" t="s">
        <v>3473</v>
      </c>
      <c r="J1850" s="21"/>
      <c r="K1850" s="24">
        <v>65</v>
      </c>
      <c r="L1850" s="24">
        <v>390</v>
      </c>
      <c r="M1850" s="23">
        <v>18</v>
      </c>
      <c r="N1850" s="23"/>
      <c r="O1850" s="23">
        <v>4</v>
      </c>
      <c r="P1850" s="23"/>
      <c r="Q1850" s="23"/>
      <c r="R1850" s="23">
        <v>24</v>
      </c>
      <c r="S1850" s="23"/>
      <c r="T1850" s="23"/>
      <c r="U1850" s="23"/>
      <c r="V1850" s="23"/>
      <c r="W1850" s="23"/>
      <c r="X1850" s="23"/>
      <c r="Y1850" s="23"/>
      <c r="Z1850" s="23"/>
      <c r="AA1850" s="23">
        <v>19</v>
      </c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>
        <v>65</v>
      </c>
      <c r="AL1850" s="23"/>
      <c r="AM1850" s="23"/>
      <c r="AN1850" s="23"/>
      <c r="AO1850" s="23">
        <v>9</v>
      </c>
      <c r="AP1850" s="23">
        <v>21</v>
      </c>
      <c r="AQ1850" s="23">
        <v>9</v>
      </c>
      <c r="AR1850" s="23">
        <v>16</v>
      </c>
      <c r="AS1850" s="23">
        <v>8</v>
      </c>
      <c r="AT1850" s="23">
        <v>2</v>
      </c>
      <c r="AU1850" s="14" t="str">
        <f>HYPERLINK("http://www.openstreetmap.org/?mlat=34.6893&amp;mlon=44.966&amp;zoom=12#map=12/34.6893/44.966","Maplink1")</f>
        <v>Maplink1</v>
      </c>
      <c r="AV1850" s="14" t="str">
        <f>HYPERLINK("https://www.google.iq/maps/search/+34.6893,44.966/@34.6893,44.966,14z?hl=en","Maplink2")</f>
        <v>Maplink2</v>
      </c>
      <c r="AW1850" s="14" t="str">
        <f>HYPERLINK("http://www.bing.com/maps/?lvl=14&amp;sty=h&amp;cp=34.6893~44.966&amp;sp=point.34.6893_44.966_Al Angaa","Maplink3")</f>
        <v>Maplink3</v>
      </c>
    </row>
    <row r="1851" spans="1:49" ht="15" customHeight="1" x14ac:dyDescent="0.25">
      <c r="A1851" s="21">
        <v>27224</v>
      </c>
      <c r="B1851" s="22" t="s">
        <v>15</v>
      </c>
      <c r="C1851" s="22" t="s">
        <v>3495</v>
      </c>
      <c r="D1851" s="22" t="s">
        <v>3496</v>
      </c>
      <c r="E1851" s="22" t="s">
        <v>3497</v>
      </c>
      <c r="F1851" s="22">
        <v>36.633455599999998</v>
      </c>
      <c r="G1851" s="22">
        <v>44.888055989999998</v>
      </c>
      <c r="H1851" s="21"/>
      <c r="I1851" s="21"/>
      <c r="J1851" s="21"/>
      <c r="K1851" s="24">
        <v>58</v>
      </c>
      <c r="L1851" s="24">
        <v>348</v>
      </c>
      <c r="M1851" s="23">
        <v>27</v>
      </c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>
        <v>31</v>
      </c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>
        <v>58</v>
      </c>
      <c r="AL1851" s="23"/>
      <c r="AM1851" s="23"/>
      <c r="AN1851" s="23"/>
      <c r="AO1851" s="23"/>
      <c r="AP1851" s="23">
        <v>31</v>
      </c>
      <c r="AQ1851" s="23"/>
      <c r="AR1851" s="23"/>
      <c r="AS1851" s="23">
        <v>27</v>
      </c>
      <c r="AT1851" s="23"/>
      <c r="AU1851" s="14" t="str">
        <f>HYPERLINK("http://www.openstreetmap.org/?mlat=36.3814&amp;mlon=44.5321&amp;zoom=12#map=12/36.3814/44.5321","Maplink1")</f>
        <v>Maplink1</v>
      </c>
      <c r="AV1851" s="14" t="str">
        <f>HYPERLINK("https://www.google.iq/maps/search/+36.3814,44.5321/@36.3814,44.5321,14z?hl=en","Maplink2")</f>
        <v>Maplink2</v>
      </c>
      <c r="AW1851" s="14" t="str">
        <f>HYPERLINK("http://www.bing.com/maps/?lvl=14&amp;sty=h&amp;cp=36.3814~44.5321&amp;sp=point.36.3814_44.5321_Markez Qasre","Maplink3")</f>
        <v>Maplink3</v>
      </c>
    </row>
    <row r="1852" spans="1:49" ht="15" customHeight="1" x14ac:dyDescent="0.25">
      <c r="A1852" s="21">
        <v>21582</v>
      </c>
      <c r="B1852" s="22" t="s">
        <v>15</v>
      </c>
      <c r="C1852" s="22" t="s">
        <v>15</v>
      </c>
      <c r="D1852" s="22" t="s">
        <v>3498</v>
      </c>
      <c r="E1852" s="22" t="s">
        <v>3499</v>
      </c>
      <c r="F1852" s="22">
        <v>36.192836200000002</v>
      </c>
      <c r="G1852" s="22">
        <v>44.141933539999997</v>
      </c>
      <c r="H1852" s="21" t="s">
        <v>3500</v>
      </c>
      <c r="I1852" s="21" t="s">
        <v>3501</v>
      </c>
      <c r="J1852" s="21" t="s">
        <v>3502</v>
      </c>
      <c r="K1852" s="24">
        <v>62</v>
      </c>
      <c r="L1852" s="24">
        <v>372</v>
      </c>
      <c r="M1852" s="23">
        <v>39</v>
      </c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>
        <v>23</v>
      </c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>
        <v>62</v>
      </c>
      <c r="AL1852" s="23"/>
      <c r="AM1852" s="23"/>
      <c r="AN1852" s="23"/>
      <c r="AO1852" s="23">
        <v>39</v>
      </c>
      <c r="AP1852" s="23">
        <v>23</v>
      </c>
      <c r="AQ1852" s="23"/>
      <c r="AR1852" s="23"/>
      <c r="AS1852" s="23"/>
      <c r="AT1852" s="23"/>
      <c r="AU1852" s="14" t="str">
        <f>HYPERLINK("http://www.openstreetmap.org/?mlat=36.2084&amp;mlon=44.1506&amp;zoom=12#map=12/36.2084/44.1506","Maplink1")</f>
        <v>Maplink1</v>
      </c>
      <c r="AV1852" s="14" t="str">
        <f>HYPERLINK("https://www.google.iq/maps/search/+36.2084,44.1506/@36.2084,44.1506,14z?hl=en","Maplink2")</f>
        <v>Maplink2</v>
      </c>
      <c r="AW1852" s="14" t="str">
        <f>HYPERLINK("http://www.bing.com/maps/?lvl=14&amp;sty=h&amp;cp=36.2084~44.1506&amp;sp=point.36.2084_44.1506_11 Athar","Maplink3")</f>
        <v>Maplink3</v>
      </c>
    </row>
    <row r="1853" spans="1:49" ht="15" customHeight="1" x14ac:dyDescent="0.25">
      <c r="A1853" s="21">
        <v>20980</v>
      </c>
      <c r="B1853" s="22" t="s">
        <v>15</v>
      </c>
      <c r="C1853" s="22" t="s">
        <v>15</v>
      </c>
      <c r="D1853" s="22" t="s">
        <v>3503</v>
      </c>
      <c r="E1853" s="22" t="s">
        <v>8771</v>
      </c>
      <c r="F1853" s="22">
        <v>36.244999999999997</v>
      </c>
      <c r="G1853" s="22">
        <v>43.98</v>
      </c>
      <c r="H1853" s="21" t="s">
        <v>3500</v>
      </c>
      <c r="I1853" s="21" t="s">
        <v>3501</v>
      </c>
      <c r="J1853" s="21" t="s">
        <v>3504</v>
      </c>
      <c r="K1853" s="24">
        <v>1063</v>
      </c>
      <c r="L1853" s="24">
        <v>6378</v>
      </c>
      <c r="M1853" s="23">
        <v>88</v>
      </c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>
        <v>900</v>
      </c>
      <c r="Z1853" s="23"/>
      <c r="AA1853" s="23">
        <v>75</v>
      </c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1063</v>
      </c>
      <c r="AL1853" s="23"/>
      <c r="AM1853" s="23"/>
      <c r="AN1853" s="23"/>
      <c r="AO1853" s="23">
        <v>40</v>
      </c>
      <c r="AP1853" s="23">
        <v>900</v>
      </c>
      <c r="AQ1853" s="23">
        <v>75</v>
      </c>
      <c r="AR1853" s="23"/>
      <c r="AS1853" s="23">
        <v>48</v>
      </c>
      <c r="AT1853" s="23"/>
      <c r="AU1853" s="14" t="str">
        <f>HYPERLINK("http://www.openstreetmap.org/?mlat=36.245&amp;mlon=43.98&amp;zoom=12#map=12/36.245/43.98","Maplink1")</f>
        <v>Maplink1</v>
      </c>
      <c r="AV1853" s="14" t="str">
        <f>HYPERLINK("https://www.google.iq/maps/search/+36.245,43.98/@36.245,43.98,14z?hl=en","Maplink2")</f>
        <v>Maplink2</v>
      </c>
      <c r="AW1853" s="14" t="str">
        <f>HYPERLINK("http://www.bing.com/maps/?lvl=14&amp;sty=h&amp;cp=36.245~43.98&amp;sp=point.36.245_43.98_Ainkawa (108)","Maplink3")</f>
        <v>Maplink3</v>
      </c>
    </row>
    <row r="1854" spans="1:49" ht="15" customHeight="1" x14ac:dyDescent="0.25">
      <c r="A1854" s="21">
        <v>27147</v>
      </c>
      <c r="B1854" s="22" t="s">
        <v>15</v>
      </c>
      <c r="C1854" s="22" t="s">
        <v>15</v>
      </c>
      <c r="D1854" s="22" t="s">
        <v>3505</v>
      </c>
      <c r="E1854" s="22" t="s">
        <v>3506</v>
      </c>
      <c r="F1854" s="22">
        <v>36.232900000000001</v>
      </c>
      <c r="G1854" s="22">
        <v>43.998600000000003</v>
      </c>
      <c r="H1854" s="21" t="s">
        <v>3500</v>
      </c>
      <c r="I1854" s="21" t="s">
        <v>3501</v>
      </c>
      <c r="J1854" s="21"/>
      <c r="K1854" s="24">
        <v>70</v>
      </c>
      <c r="L1854" s="24">
        <v>420</v>
      </c>
      <c r="M1854" s="23">
        <v>38</v>
      </c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>
        <v>32</v>
      </c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>
        <v>70</v>
      </c>
      <c r="AL1854" s="23"/>
      <c r="AM1854" s="23"/>
      <c r="AN1854" s="23"/>
      <c r="AO1854" s="23"/>
      <c r="AP1854" s="23">
        <v>39</v>
      </c>
      <c r="AQ1854" s="23"/>
      <c r="AR1854" s="23"/>
      <c r="AS1854" s="23">
        <v>14</v>
      </c>
      <c r="AT1854" s="23">
        <v>17</v>
      </c>
      <c r="AU1854" s="14" t="str">
        <f>HYPERLINK("http://www.openstreetmap.org/?mlat=36.2329&amp;mlon=43.9986&amp;zoom=12#map=12/36.2329/43.9986","Maplink1")</f>
        <v>Maplink1</v>
      </c>
      <c r="AV1854" s="14" t="str">
        <f>HYPERLINK("https://www.google.iq/maps/search/+36.2329,43.9986/@36.2329,43.9986,14z?hl=en","Maplink2")</f>
        <v>Maplink2</v>
      </c>
      <c r="AW1854" s="14" t="str">
        <f>HYPERLINK("http://www.bing.com/maps/?lvl=14&amp;sty=h&amp;cp=36.2329~43.9986&amp;sp=point.36.2329_43.9986_Akad","Maplink3")</f>
        <v>Maplink3</v>
      </c>
    </row>
    <row r="1855" spans="1:49" ht="15" customHeight="1" x14ac:dyDescent="0.25">
      <c r="A1855" s="21">
        <v>21874</v>
      </c>
      <c r="B1855" s="22" t="s">
        <v>15</v>
      </c>
      <c r="C1855" s="22" t="s">
        <v>15</v>
      </c>
      <c r="D1855" s="22" t="s">
        <v>3507</v>
      </c>
      <c r="E1855" s="22" t="s">
        <v>1231</v>
      </c>
      <c r="F1855" s="22">
        <v>36.177923</v>
      </c>
      <c r="G1855" s="22">
        <v>44.021335999999998</v>
      </c>
      <c r="H1855" s="21" t="s">
        <v>3500</v>
      </c>
      <c r="I1855" s="21" t="s">
        <v>3501</v>
      </c>
      <c r="J1855" s="21" t="s">
        <v>3508</v>
      </c>
      <c r="K1855" s="24">
        <v>189</v>
      </c>
      <c r="L1855" s="24">
        <v>1134</v>
      </c>
      <c r="M1855" s="23">
        <v>189</v>
      </c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>
        <v>189</v>
      </c>
      <c r="AL1855" s="23"/>
      <c r="AM1855" s="23"/>
      <c r="AN1855" s="23"/>
      <c r="AO1855" s="23"/>
      <c r="AP1855" s="23"/>
      <c r="AQ1855" s="23"/>
      <c r="AR1855" s="23"/>
      <c r="AS1855" s="23">
        <v>164</v>
      </c>
      <c r="AT1855" s="23">
        <v>25</v>
      </c>
      <c r="AU1855" s="14" t="str">
        <f>HYPERLINK("http://www.openstreetmap.org/?mlat=36.1779&amp;mlon=44.0213&amp;zoom=12#map=12/36.1779/44.0213","Maplink1")</f>
        <v>Maplink1</v>
      </c>
      <c r="AV1855" s="14" t="str">
        <f>HYPERLINK("https://www.google.iq/maps/search/+36.1779,44.0213/@36.1779,44.0213,14z?hl=en","Maplink2")</f>
        <v>Maplink2</v>
      </c>
      <c r="AW1855" s="14" t="str">
        <f>HYPERLINK("http://www.bing.com/maps/?lvl=14&amp;sty=h&amp;cp=36.1779~44.0213&amp;sp=point.36.1779_44.0213_Al Eskan","Maplink3")</f>
        <v>Maplink3</v>
      </c>
    </row>
    <row r="1856" spans="1:49" ht="15" customHeight="1" x14ac:dyDescent="0.25">
      <c r="A1856" s="21">
        <v>23908</v>
      </c>
      <c r="B1856" s="22" t="s">
        <v>15</v>
      </c>
      <c r="C1856" s="22" t="s">
        <v>15</v>
      </c>
      <c r="D1856" s="22" t="s">
        <v>7324</v>
      </c>
      <c r="E1856" s="22" t="s">
        <v>8019</v>
      </c>
      <c r="F1856" s="22">
        <v>36.190759999999997</v>
      </c>
      <c r="G1856" s="22">
        <v>44.013089999999998</v>
      </c>
      <c r="H1856" s="21" t="s">
        <v>3500</v>
      </c>
      <c r="I1856" s="21" t="s">
        <v>3501</v>
      </c>
      <c r="J1856" s="21" t="s">
        <v>3597</v>
      </c>
      <c r="K1856" s="24">
        <v>60</v>
      </c>
      <c r="L1856" s="24">
        <v>360</v>
      </c>
      <c r="M1856" s="23">
        <v>60</v>
      </c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>
        <v>32</v>
      </c>
      <c r="AH1856" s="23"/>
      <c r="AI1856" s="23"/>
      <c r="AJ1856" s="23"/>
      <c r="AK1856" s="23">
        <v>28</v>
      </c>
      <c r="AL1856" s="23"/>
      <c r="AM1856" s="23"/>
      <c r="AN1856" s="23"/>
      <c r="AO1856" s="23">
        <v>10</v>
      </c>
      <c r="AP1856" s="23"/>
      <c r="AQ1856" s="23"/>
      <c r="AR1856" s="23"/>
      <c r="AS1856" s="23">
        <v>34</v>
      </c>
      <c r="AT1856" s="23">
        <v>16</v>
      </c>
      <c r="AU1856" s="14" t="str">
        <f>HYPERLINK("http://www.openstreetmap.org/?mlat=36.1908&amp;mlon=44.0131&amp;zoom=12#map=12/36.1908/44.0131","Maplink1")</f>
        <v>Maplink1</v>
      </c>
      <c r="AV1856" s="14" t="str">
        <f>HYPERLINK("https://www.google.iq/maps/search/+36.1908,44.0131/@36.1908,44.0131,14z?hl=en","Maplink2")</f>
        <v>Maplink2</v>
      </c>
      <c r="AW1856" s="14" t="str">
        <f>HYPERLINK("http://www.bing.com/maps/?lvl=14&amp;sty=h&amp;cp=36.1908~44.0131&amp;sp=point.36.1908_44.0131_Khanaqa","Maplink3")</f>
        <v>Maplink3</v>
      </c>
    </row>
    <row r="1857" spans="1:49" ht="15" customHeight="1" x14ac:dyDescent="0.25">
      <c r="A1857" s="21">
        <v>27217</v>
      </c>
      <c r="B1857" s="22" t="s">
        <v>15</v>
      </c>
      <c r="C1857" s="22" t="s">
        <v>15</v>
      </c>
      <c r="D1857" s="22" t="s">
        <v>8772</v>
      </c>
      <c r="E1857" s="22" t="s">
        <v>3509</v>
      </c>
      <c r="F1857" s="22">
        <v>36.189399999999999</v>
      </c>
      <c r="G1857" s="22">
        <v>44.006100000000004</v>
      </c>
      <c r="H1857" s="21"/>
      <c r="I1857" s="21"/>
      <c r="J1857" s="21"/>
      <c r="K1857" s="24">
        <v>215</v>
      </c>
      <c r="L1857" s="24">
        <v>1290</v>
      </c>
      <c r="M1857" s="23">
        <v>200</v>
      </c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>
        <v>15</v>
      </c>
      <c r="AB1857" s="23"/>
      <c r="AC1857" s="23"/>
      <c r="AD1857" s="23"/>
      <c r="AE1857" s="23"/>
      <c r="AF1857" s="23"/>
      <c r="AG1857" s="23">
        <v>197</v>
      </c>
      <c r="AH1857" s="23"/>
      <c r="AI1857" s="23"/>
      <c r="AJ1857" s="23"/>
      <c r="AK1857" s="23">
        <v>18</v>
      </c>
      <c r="AL1857" s="23"/>
      <c r="AM1857" s="23"/>
      <c r="AN1857" s="23"/>
      <c r="AO1857" s="23">
        <v>185</v>
      </c>
      <c r="AP1857" s="23">
        <v>15</v>
      </c>
      <c r="AQ1857" s="23"/>
      <c r="AR1857" s="23"/>
      <c r="AS1857" s="23"/>
      <c r="AT1857" s="23">
        <v>15</v>
      </c>
      <c r="AU1857" s="14" t="str">
        <f>HYPERLINK("http://www.openstreetmap.org/?mlat=36.1894&amp;mlon=44.0061&amp;zoom=12#map=12/36.1894/44.0061","Maplink1")</f>
        <v>Maplink1</v>
      </c>
      <c r="AV1857" s="14" t="str">
        <f>HYPERLINK("https://www.google.iq/maps/search/+36.1894,44.0061/@36.1894,44.0061,14z?hl=en","Maplink2")</f>
        <v>Maplink2</v>
      </c>
      <c r="AW1857" s="14" t="str">
        <f>HYPERLINK("http://www.bing.com/maps/?lvl=14&amp;sty=h&amp;cp=36.1894~44.0061&amp;sp=point.36.1894_44.0061_Al Qala' (Hay al arab)","Maplink3")</f>
        <v>Maplink3</v>
      </c>
    </row>
    <row r="1858" spans="1:49" ht="15" customHeight="1" x14ac:dyDescent="0.25">
      <c r="A1858" s="21">
        <v>23335</v>
      </c>
      <c r="B1858" s="22" t="s">
        <v>15</v>
      </c>
      <c r="C1858" s="22" t="s">
        <v>15</v>
      </c>
      <c r="D1858" s="22" t="s">
        <v>8773</v>
      </c>
      <c r="E1858" s="22" t="s">
        <v>8020</v>
      </c>
      <c r="F1858" s="22">
        <v>36.185699999999997</v>
      </c>
      <c r="G1858" s="22">
        <v>44.006900000000002</v>
      </c>
      <c r="H1858" s="21" t="s">
        <v>3500</v>
      </c>
      <c r="I1858" s="21" t="s">
        <v>3501</v>
      </c>
      <c r="J1858" s="21" t="s">
        <v>3704</v>
      </c>
      <c r="K1858" s="24">
        <v>40</v>
      </c>
      <c r="L1858" s="24">
        <v>240</v>
      </c>
      <c r="M1858" s="23">
        <v>40</v>
      </c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>
        <v>40</v>
      </c>
      <c r="AH1858" s="23"/>
      <c r="AI1858" s="23"/>
      <c r="AJ1858" s="23"/>
      <c r="AK1858" s="23"/>
      <c r="AL1858" s="23"/>
      <c r="AM1858" s="23"/>
      <c r="AN1858" s="23"/>
      <c r="AO1858" s="23">
        <v>20</v>
      </c>
      <c r="AP1858" s="23"/>
      <c r="AQ1858" s="23"/>
      <c r="AR1858" s="23"/>
      <c r="AS1858" s="23"/>
      <c r="AT1858" s="23">
        <v>20</v>
      </c>
      <c r="AU1858" s="14" t="str">
        <f>HYPERLINK("http://www.openstreetmap.org/?mlat=36.1857&amp;mlon=44.0069&amp;zoom=12#map=12/36.1857/44.0069","Maplink1")</f>
        <v>Maplink1</v>
      </c>
      <c r="AV1858" s="14" t="str">
        <f>HYPERLINK("https://www.google.iq/maps/search/+36.1857,44.0069/@36.1857,44.0069,14z?hl=en","Maplink2")</f>
        <v>Maplink2</v>
      </c>
      <c r="AW1858" s="14" t="str">
        <f>HYPERLINK("http://www.bing.com/maps/?lvl=14&amp;sty=h&amp;cp=36.1857~44.0069&amp;sp=point.36.1857_44.0069_Tajeel","Maplink3")</f>
        <v>Maplink3</v>
      </c>
    </row>
    <row r="1859" spans="1:49" ht="15" customHeight="1" x14ac:dyDescent="0.25">
      <c r="A1859" s="21">
        <v>27333</v>
      </c>
      <c r="B1859" s="22" t="s">
        <v>15</v>
      </c>
      <c r="C1859" s="22" t="s">
        <v>15</v>
      </c>
      <c r="D1859" s="22" t="s">
        <v>3510</v>
      </c>
      <c r="E1859" s="22" t="s">
        <v>3511</v>
      </c>
      <c r="F1859" s="22">
        <v>36.214581600000002</v>
      </c>
      <c r="G1859" s="22">
        <v>44.142831659999999</v>
      </c>
      <c r="H1859" s="21" t="s">
        <v>3500</v>
      </c>
      <c r="I1859" s="21" t="s">
        <v>3501</v>
      </c>
      <c r="J1859" s="21"/>
      <c r="K1859" s="24">
        <v>225</v>
      </c>
      <c r="L1859" s="24">
        <v>1350</v>
      </c>
      <c r="M1859" s="23">
        <v>192</v>
      </c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>
        <v>33</v>
      </c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>
        <v>225</v>
      </c>
      <c r="AL1859" s="23"/>
      <c r="AM1859" s="23"/>
      <c r="AN1859" s="23"/>
      <c r="AO1859" s="23">
        <v>97</v>
      </c>
      <c r="AP1859" s="23">
        <v>33</v>
      </c>
      <c r="AQ1859" s="23"/>
      <c r="AR1859" s="23"/>
      <c r="AS1859" s="23">
        <v>75</v>
      </c>
      <c r="AT1859" s="23">
        <v>20</v>
      </c>
      <c r="AU1859" s="14" t="str">
        <f>HYPERLINK("http://www.openstreetmap.org/?mlat=36.125&amp;mlon=44.0835&amp;zoom=12#map=12/36.125/44.0835","Maplink1")</f>
        <v>Maplink1</v>
      </c>
      <c r="AV1859" s="14" t="str">
        <f>HYPERLINK("https://www.google.iq/maps/search/+36.125,44.0835/@36.125,44.0835,14z?hl=en","Maplink2")</f>
        <v>Maplink2</v>
      </c>
      <c r="AW1859" s="14" t="str">
        <f>HYPERLINK("http://www.bing.com/maps/?lvl=14&amp;sty=h&amp;cp=36.125~44.0835&amp;sp=point.36.125_44.0835_Al Rihab","Maplink3")</f>
        <v>Maplink3</v>
      </c>
    </row>
    <row r="1860" spans="1:49" ht="15" customHeight="1" x14ac:dyDescent="0.25">
      <c r="A1860" s="21">
        <v>29558</v>
      </c>
      <c r="B1860" s="22" t="s">
        <v>15</v>
      </c>
      <c r="C1860" s="22" t="s">
        <v>15</v>
      </c>
      <c r="D1860" s="22" t="s">
        <v>3512</v>
      </c>
      <c r="E1860" s="22" t="s">
        <v>3513</v>
      </c>
      <c r="F1860" s="22">
        <v>36.188200000000002</v>
      </c>
      <c r="G1860" s="22">
        <v>44.013300000000001</v>
      </c>
      <c r="H1860" s="21" t="s">
        <v>3500</v>
      </c>
      <c r="I1860" s="21" t="s">
        <v>3501</v>
      </c>
      <c r="J1860" s="21"/>
      <c r="K1860" s="24">
        <v>72</v>
      </c>
      <c r="L1860" s="24">
        <v>432</v>
      </c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>
        <v>72</v>
      </c>
      <c r="Z1860" s="23"/>
      <c r="AA1860" s="23"/>
      <c r="AB1860" s="23"/>
      <c r="AC1860" s="23"/>
      <c r="AD1860" s="23"/>
      <c r="AE1860" s="23"/>
      <c r="AF1860" s="23"/>
      <c r="AG1860" s="23"/>
      <c r="AH1860" s="23">
        <v>72</v>
      </c>
      <c r="AI1860" s="23"/>
      <c r="AJ1860" s="23"/>
      <c r="AK1860" s="23"/>
      <c r="AL1860" s="23"/>
      <c r="AM1860" s="23"/>
      <c r="AN1860" s="23"/>
      <c r="AO1860" s="23"/>
      <c r="AP1860" s="23"/>
      <c r="AQ1860" s="23">
        <v>72</v>
      </c>
      <c r="AR1860" s="23"/>
      <c r="AS1860" s="23"/>
      <c r="AT1860" s="23"/>
      <c r="AU1860" s="14" t="str">
        <f>HYPERLINK("http://www.openstreetmap.org/?mlat=36.1882&amp;mlon=44.0133&amp;zoom=12#map=12/36.1882/44.0133","Maplink1")</f>
        <v>Maplink1</v>
      </c>
      <c r="AV1860" s="14" t="str">
        <f>HYPERLINK("https://www.google.iq/maps/search/+36.1882,44.0133/@36.1882,44.0133,14z?hl=en","Maplink2")</f>
        <v>Maplink2</v>
      </c>
      <c r="AW1860" s="14" t="str">
        <f>HYPERLINK("http://www.bing.com/maps/?lvl=14&amp;sty=h&amp;cp=36.1882~44.0133&amp;sp=point.36.1882_44.0133","Maplink3")</f>
        <v>Maplink3</v>
      </c>
    </row>
    <row r="1861" spans="1:49" ht="15" customHeight="1" x14ac:dyDescent="0.25">
      <c r="A1861" s="21">
        <v>25732</v>
      </c>
      <c r="B1861" s="22" t="s">
        <v>15</v>
      </c>
      <c r="C1861" s="22" t="s">
        <v>15</v>
      </c>
      <c r="D1861" s="22" t="s">
        <v>8774</v>
      </c>
      <c r="E1861" s="22" t="s">
        <v>261</v>
      </c>
      <c r="F1861" s="22">
        <v>36.216804000000003</v>
      </c>
      <c r="G1861" s="22">
        <v>44.040330009999998</v>
      </c>
      <c r="H1861" s="21" t="s">
        <v>3500</v>
      </c>
      <c r="I1861" s="21" t="s">
        <v>3501</v>
      </c>
      <c r="J1861" s="21"/>
      <c r="K1861" s="24">
        <v>106</v>
      </c>
      <c r="L1861" s="24">
        <v>636</v>
      </c>
      <c r="M1861" s="23">
        <v>39</v>
      </c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>
        <v>67</v>
      </c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>
        <v>106</v>
      </c>
      <c r="AL1861" s="23"/>
      <c r="AM1861" s="23"/>
      <c r="AN1861" s="23"/>
      <c r="AO1861" s="23"/>
      <c r="AP1861" s="23">
        <v>67</v>
      </c>
      <c r="AQ1861" s="23"/>
      <c r="AR1861" s="23"/>
      <c r="AS1861" s="23">
        <v>39</v>
      </c>
      <c r="AT1861" s="23"/>
      <c r="AU1861" s="14" t="str">
        <f>HYPERLINK("http://www.openstreetmap.org/?mlat=36.1954&amp;mlon=44.0377&amp;zoom=12#map=12/36.1954/44.0377","Maplink1")</f>
        <v>Maplink1</v>
      </c>
      <c r="AV1861" s="14" t="str">
        <f>HYPERLINK("https://www.google.iq/maps/search/+36.1954,44.0377/@36.1954,44.0377,14z?hl=en","Maplink2")</f>
        <v>Maplink2</v>
      </c>
      <c r="AW1861" s="14" t="str">
        <f>HYPERLINK("http://www.bing.com/maps/?lvl=14&amp;sty=h&amp;cp=36.1954~44.0377&amp;sp=point.36.1954_44.0377_Erbil-Hay Al-Shurtta","Maplink3")</f>
        <v>Maplink3</v>
      </c>
    </row>
    <row r="1862" spans="1:49" ht="15" customHeight="1" x14ac:dyDescent="0.25">
      <c r="A1862" s="21">
        <v>25731</v>
      </c>
      <c r="B1862" s="22" t="s">
        <v>15</v>
      </c>
      <c r="C1862" s="22" t="s">
        <v>15</v>
      </c>
      <c r="D1862" s="22" t="s">
        <v>8775</v>
      </c>
      <c r="E1862" s="22" t="s">
        <v>3553</v>
      </c>
      <c r="F1862" s="22">
        <v>36.165500000000002</v>
      </c>
      <c r="G1862" s="22">
        <v>44.028199999999998</v>
      </c>
      <c r="H1862" s="21" t="s">
        <v>3500</v>
      </c>
      <c r="I1862" s="21" t="s">
        <v>3501</v>
      </c>
      <c r="J1862" s="21"/>
      <c r="K1862" s="24">
        <v>65</v>
      </c>
      <c r="L1862" s="24">
        <v>390</v>
      </c>
      <c r="M1862" s="23">
        <v>39</v>
      </c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>
        <v>26</v>
      </c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>
        <v>65</v>
      </c>
      <c r="AL1862" s="23"/>
      <c r="AM1862" s="23"/>
      <c r="AN1862" s="23"/>
      <c r="AO1862" s="23"/>
      <c r="AP1862" s="23">
        <v>26</v>
      </c>
      <c r="AQ1862" s="23"/>
      <c r="AR1862" s="23"/>
      <c r="AS1862" s="23">
        <v>39</v>
      </c>
      <c r="AT1862" s="23"/>
      <c r="AU1862" s="14" t="str">
        <f>HYPERLINK("http://www.openstreetmap.org/?mlat=36.1655&amp;mlon=44.0282&amp;zoom=12#map=12/36.1655/44.0282","Maplink1")</f>
        <v>Maplink1</v>
      </c>
      <c r="AV1862" s="14" t="str">
        <f>HYPERLINK("https://www.google.iq/maps/search/+36.1655,44.0282/@36.1655,44.0282,14z?hl=en","Maplink2")</f>
        <v>Maplink2</v>
      </c>
      <c r="AW1862" s="14" t="str">
        <f>HYPERLINK("http://www.bing.com/maps/?lvl=14&amp;sty=h&amp;cp=36.1655~44.0282&amp;sp=point.36.1655_44.0282_Erbil-Hay al-Ziraa","Maplink3")</f>
        <v>Maplink3</v>
      </c>
    </row>
    <row r="1863" spans="1:49" ht="15" customHeight="1" x14ac:dyDescent="0.25">
      <c r="A1863" s="21">
        <v>13685</v>
      </c>
      <c r="B1863" s="22" t="s">
        <v>15</v>
      </c>
      <c r="C1863" s="22" t="s">
        <v>15</v>
      </c>
      <c r="D1863" s="22" t="s">
        <v>3514</v>
      </c>
      <c r="E1863" s="22" t="s">
        <v>3515</v>
      </c>
      <c r="F1863" s="22">
        <v>36.2014</v>
      </c>
      <c r="G1863" s="22">
        <v>44.124600000000001</v>
      </c>
      <c r="H1863" s="21" t="s">
        <v>3500</v>
      </c>
      <c r="I1863" s="21" t="s">
        <v>3501</v>
      </c>
      <c r="J1863" s="21" t="s">
        <v>3516</v>
      </c>
      <c r="K1863" s="24">
        <v>600</v>
      </c>
      <c r="L1863" s="24">
        <v>3600</v>
      </c>
      <c r="M1863" s="23">
        <v>584</v>
      </c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>
        <v>16</v>
      </c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>
        <v>600</v>
      </c>
      <c r="AL1863" s="23"/>
      <c r="AM1863" s="23"/>
      <c r="AN1863" s="23"/>
      <c r="AO1863" s="23">
        <v>584</v>
      </c>
      <c r="AP1863" s="23"/>
      <c r="AQ1863" s="23">
        <v>16</v>
      </c>
      <c r="AR1863" s="23"/>
      <c r="AS1863" s="23"/>
      <c r="AT1863" s="23"/>
      <c r="AU1863" s="14" t="str">
        <f>HYPERLINK("http://www.openstreetmap.org/?mlat=36.2014&amp;mlon=44.1246&amp;zoom=12#map=12/36.2014/44.1246","Maplink1")</f>
        <v>Maplink1</v>
      </c>
      <c r="AV1863" s="14" t="str">
        <f>HYPERLINK("https://www.google.iq/maps/search/+36.2014,44.1246/@36.2014,44.1246,14z?hl=en","Maplink2")</f>
        <v>Maplink2</v>
      </c>
      <c r="AW1863" s="14" t="str">
        <f>HYPERLINK("http://www.bing.com/maps/?lvl=14&amp;sty=h&amp;cp=36.2014~44.1246&amp;sp=point.36.2014_44.1246_Andazyaran","Maplink3")</f>
        <v>Maplink3</v>
      </c>
    </row>
    <row r="1864" spans="1:49" ht="15" customHeight="1" x14ac:dyDescent="0.25">
      <c r="A1864" s="21">
        <v>24664</v>
      </c>
      <c r="B1864" s="22" t="s">
        <v>15</v>
      </c>
      <c r="C1864" s="22" t="s">
        <v>15</v>
      </c>
      <c r="D1864" s="22" t="s">
        <v>8776</v>
      </c>
      <c r="E1864" s="22" t="s">
        <v>3517</v>
      </c>
      <c r="F1864" s="22">
        <v>36.204300000000003</v>
      </c>
      <c r="G1864" s="22">
        <v>44.122900000000001</v>
      </c>
      <c r="H1864" s="21" t="s">
        <v>3500</v>
      </c>
      <c r="I1864" s="21" t="s">
        <v>3501</v>
      </c>
      <c r="J1864" s="21"/>
      <c r="K1864" s="24">
        <v>232</v>
      </c>
      <c r="L1864" s="24">
        <v>1392</v>
      </c>
      <c r="M1864" s="23">
        <v>103</v>
      </c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>
        <v>129</v>
      </c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>
        <v>232</v>
      </c>
      <c r="AL1864" s="23"/>
      <c r="AM1864" s="23"/>
      <c r="AN1864" s="23"/>
      <c r="AO1864" s="23">
        <v>103</v>
      </c>
      <c r="AP1864" s="23">
        <v>129</v>
      </c>
      <c r="AQ1864" s="23"/>
      <c r="AR1864" s="23"/>
      <c r="AS1864" s="23"/>
      <c r="AT1864" s="23"/>
      <c r="AU1864" s="14" t="str">
        <f>HYPERLINK("http://www.openstreetmap.org/?mlat=36.2043&amp;mlon=44.1229&amp;zoom=12#map=12/36.2043/44.1229","Maplink1")</f>
        <v>Maplink1</v>
      </c>
      <c r="AV1864" s="14" t="str">
        <f>HYPERLINK("https://www.google.iq/maps/search/+36.2043,44.1229/@36.2043,44.1229,14z?hl=en","Maplink2")</f>
        <v>Maplink2</v>
      </c>
      <c r="AW1864" s="14" t="str">
        <f>HYPERLINK("http://www.bing.com/maps/?lvl=14&amp;sty=h&amp;cp=36.2043~44.1229&amp;sp=point.36.2043_44.1229_Andzyaran Complex","Maplink3")</f>
        <v>Maplink3</v>
      </c>
    </row>
    <row r="1865" spans="1:49" ht="15" customHeight="1" x14ac:dyDescent="0.25">
      <c r="A1865" s="21">
        <v>27150</v>
      </c>
      <c r="B1865" s="22" t="s">
        <v>15</v>
      </c>
      <c r="C1865" s="22" t="s">
        <v>15</v>
      </c>
      <c r="D1865" s="22" t="s">
        <v>8777</v>
      </c>
      <c r="E1865" s="22" t="s">
        <v>8778</v>
      </c>
      <c r="F1865" s="22">
        <v>36.234499999999997</v>
      </c>
      <c r="G1865" s="22">
        <v>44.00741</v>
      </c>
      <c r="H1865" s="21" t="s">
        <v>3500</v>
      </c>
      <c r="I1865" s="21" t="s">
        <v>3501</v>
      </c>
      <c r="J1865" s="21"/>
      <c r="K1865" s="24">
        <v>1200</v>
      </c>
      <c r="L1865" s="24">
        <v>7200</v>
      </c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>
        <v>1200</v>
      </c>
      <c r="Z1865" s="23"/>
      <c r="AA1865" s="23"/>
      <c r="AB1865" s="23"/>
      <c r="AC1865" s="23"/>
      <c r="AD1865" s="23"/>
      <c r="AE1865" s="23">
        <v>1062</v>
      </c>
      <c r="AF1865" s="23"/>
      <c r="AG1865" s="23"/>
      <c r="AH1865" s="23"/>
      <c r="AI1865" s="23"/>
      <c r="AJ1865" s="23">
        <v>138</v>
      </c>
      <c r="AK1865" s="23"/>
      <c r="AL1865" s="23"/>
      <c r="AM1865" s="23"/>
      <c r="AN1865" s="23"/>
      <c r="AO1865" s="23"/>
      <c r="AP1865" s="23"/>
      <c r="AQ1865" s="23">
        <v>1172</v>
      </c>
      <c r="AR1865" s="23"/>
      <c r="AS1865" s="23">
        <v>13</v>
      </c>
      <c r="AT1865" s="23">
        <v>15</v>
      </c>
      <c r="AU1865" s="14" t="str">
        <f>HYPERLINK("http://www.openstreetmap.org/?mlat=36.2321&amp;mlon=44.0058&amp;zoom=12#map=12/36.2321/44.0058","Maplink1")</f>
        <v>Maplink1</v>
      </c>
      <c r="AV1865" s="14" t="str">
        <f>HYPERLINK("https://www.google.iq/maps/search/+36.2321,44.0058/@36.2321,44.0058,14z?hl=en","Maplink2")</f>
        <v>Maplink2</v>
      </c>
      <c r="AW1865" s="14" t="str">
        <f>HYPERLINK("http://www.bing.com/maps/?lvl=14&amp;sty=h&amp;cp=36.2321~44.0058&amp;sp=point.36.2321_44.0058_Ashti(189)","Maplink3")</f>
        <v>Maplink3</v>
      </c>
    </row>
    <row r="1866" spans="1:49" ht="15" customHeight="1" x14ac:dyDescent="0.25">
      <c r="A1866" s="21">
        <v>27151</v>
      </c>
      <c r="B1866" s="22" t="s">
        <v>15</v>
      </c>
      <c r="C1866" s="22" t="s">
        <v>15</v>
      </c>
      <c r="D1866" s="22" t="s">
        <v>3518</v>
      </c>
      <c r="E1866" s="22" t="s">
        <v>8021</v>
      </c>
      <c r="F1866" s="22">
        <v>36.244199999999999</v>
      </c>
      <c r="G1866" s="22">
        <v>44.000999999999998</v>
      </c>
      <c r="H1866" s="21" t="s">
        <v>3500</v>
      </c>
      <c r="I1866" s="21" t="s">
        <v>3501</v>
      </c>
      <c r="J1866" s="21"/>
      <c r="K1866" s="24">
        <v>144</v>
      </c>
      <c r="L1866" s="24">
        <v>864</v>
      </c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>
        <v>144</v>
      </c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>
        <v>144</v>
      </c>
      <c r="AN1866" s="23"/>
      <c r="AO1866" s="23"/>
      <c r="AP1866" s="23"/>
      <c r="AQ1866" s="23">
        <v>144</v>
      </c>
      <c r="AR1866" s="23"/>
      <c r="AS1866" s="23"/>
      <c r="AT1866" s="23"/>
      <c r="AU1866" s="14" t="str">
        <f>HYPERLINK("http://www.openstreetmap.org/?mlat=36.2442&amp;mlon=44.001&amp;zoom=12#map=12/36.2442/44.001","Maplink1")</f>
        <v>Maplink1</v>
      </c>
      <c r="AV1866" s="14" t="str">
        <f>HYPERLINK("https://www.google.iq/maps/search/+36.2442,44.001/@36.2442,44.001,14z?hl=en","Maplink2")</f>
        <v>Maplink2</v>
      </c>
      <c r="AW1866" s="14" t="str">
        <f>HYPERLINK("http://www.bing.com/maps/?lvl=14&amp;sty=h&amp;cp=36.2442~44.001&amp;sp=point.36.2442_44.001_Ashti(147)","Maplink3")</f>
        <v>Maplink3</v>
      </c>
    </row>
    <row r="1867" spans="1:49" ht="15" customHeight="1" x14ac:dyDescent="0.25">
      <c r="A1867" s="21">
        <v>13687</v>
      </c>
      <c r="B1867" s="22" t="s">
        <v>15</v>
      </c>
      <c r="C1867" s="22" t="s">
        <v>15</v>
      </c>
      <c r="D1867" s="22" t="s">
        <v>3519</v>
      </c>
      <c r="E1867" s="22" t="s">
        <v>3520</v>
      </c>
      <c r="F1867" s="22">
        <v>36.168857000000003</v>
      </c>
      <c r="G1867" s="22">
        <v>44.126190000000001</v>
      </c>
      <c r="H1867" s="21" t="s">
        <v>3500</v>
      </c>
      <c r="I1867" s="21" t="s">
        <v>3501</v>
      </c>
      <c r="J1867" s="21" t="s">
        <v>3521</v>
      </c>
      <c r="K1867" s="24">
        <v>560</v>
      </c>
      <c r="L1867" s="24">
        <v>3360</v>
      </c>
      <c r="M1867" s="23">
        <v>102</v>
      </c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>
        <v>458</v>
      </c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>
        <v>560</v>
      </c>
      <c r="AL1867" s="23"/>
      <c r="AM1867" s="23"/>
      <c r="AN1867" s="23"/>
      <c r="AO1867" s="23">
        <v>90</v>
      </c>
      <c r="AP1867" s="23">
        <v>458</v>
      </c>
      <c r="AQ1867" s="23"/>
      <c r="AR1867" s="23"/>
      <c r="AS1867" s="23">
        <v>12</v>
      </c>
      <c r="AT1867" s="23"/>
      <c r="AU1867" s="14" t="str">
        <f>HYPERLINK("http://www.openstreetmap.org/?mlat=36.1689&amp;mlon=44.1262&amp;zoom=12#map=12/36.1689/44.1262","Maplink1")</f>
        <v>Maplink1</v>
      </c>
      <c r="AV1867" s="14" t="str">
        <f>HYPERLINK("https://www.google.iq/maps/search/+36.1689,44.1262/@36.1689,44.1262,14z?hl=en","Maplink2")</f>
        <v>Maplink2</v>
      </c>
      <c r="AW1867" s="14" t="str">
        <f>HYPERLINK("http://www.bing.com/maps/?lvl=14&amp;sty=h&amp;cp=36.1689~44.1262&amp;sp=point.36.1689_44.1262_Ashty","Maplink3")</f>
        <v>Maplink3</v>
      </c>
    </row>
    <row r="1868" spans="1:49" ht="15" customHeight="1" x14ac:dyDescent="0.25">
      <c r="A1868" s="21">
        <v>27341</v>
      </c>
      <c r="B1868" s="22" t="s">
        <v>15</v>
      </c>
      <c r="C1868" s="22" t="s">
        <v>15</v>
      </c>
      <c r="D1868" s="22" t="s">
        <v>3522</v>
      </c>
      <c r="E1868" s="22" t="s">
        <v>3523</v>
      </c>
      <c r="F1868" s="22">
        <v>36.211190000000002</v>
      </c>
      <c r="G1868" s="22">
        <v>44.12668</v>
      </c>
      <c r="H1868" s="21" t="s">
        <v>3500</v>
      </c>
      <c r="I1868" s="21" t="s">
        <v>3501</v>
      </c>
      <c r="J1868" s="21"/>
      <c r="K1868" s="24">
        <v>177</v>
      </c>
      <c r="L1868" s="24">
        <v>1062</v>
      </c>
      <c r="M1868" s="23">
        <v>177</v>
      </c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>
        <v>177</v>
      </c>
      <c r="AL1868" s="23"/>
      <c r="AM1868" s="23"/>
      <c r="AN1868" s="23"/>
      <c r="AO1868" s="23">
        <v>83</v>
      </c>
      <c r="AP1868" s="23"/>
      <c r="AQ1868" s="23"/>
      <c r="AR1868" s="23"/>
      <c r="AS1868" s="23">
        <v>94</v>
      </c>
      <c r="AT1868" s="23"/>
      <c r="AU1868" s="14" t="str">
        <f>HYPERLINK("http://www.openstreetmap.org/?mlat=36.2112&amp;mlon=44.1267&amp;zoom=12#map=12/36.2112/44.1267","Maplink1")</f>
        <v>Maplink1</v>
      </c>
      <c r="AV1868" s="14" t="str">
        <f>HYPERLINK("https://www.google.iq/maps/search/+36.2112,44.1267/@36.2112,44.1267,14z?hl=en","Maplink2")</f>
        <v>Maplink2</v>
      </c>
      <c r="AW1868" s="14" t="str">
        <f>HYPERLINK("http://www.bing.com/maps/?lvl=14&amp;sty=h&amp;cp=36.2112~44.1267&amp;sp=point.36.2112_44.1267_Ashty 2","Maplink3")</f>
        <v>Maplink3</v>
      </c>
    </row>
    <row r="1869" spans="1:49" ht="15" customHeight="1" x14ac:dyDescent="0.25">
      <c r="A1869" s="21">
        <v>29556</v>
      </c>
      <c r="B1869" s="22" t="s">
        <v>15</v>
      </c>
      <c r="C1869" s="22" t="s">
        <v>15</v>
      </c>
      <c r="D1869" s="22" t="s">
        <v>3524</v>
      </c>
      <c r="E1869" s="22" t="s">
        <v>3525</v>
      </c>
      <c r="F1869" s="22">
        <v>36.2149</v>
      </c>
      <c r="G1869" s="22">
        <v>44.151200000000003</v>
      </c>
      <c r="H1869" s="21" t="s">
        <v>3500</v>
      </c>
      <c r="I1869" s="21" t="s">
        <v>3501</v>
      </c>
      <c r="J1869" s="21"/>
      <c r="K1869" s="24">
        <v>25</v>
      </c>
      <c r="L1869" s="24">
        <v>150</v>
      </c>
      <c r="M1869" s="23">
        <v>15</v>
      </c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>
        <v>10</v>
      </c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>
        <v>25</v>
      </c>
      <c r="AL1869" s="23"/>
      <c r="AM1869" s="23"/>
      <c r="AN1869" s="23"/>
      <c r="AO1869" s="23">
        <v>15</v>
      </c>
      <c r="AP1869" s="23"/>
      <c r="AQ1869" s="23">
        <v>10</v>
      </c>
      <c r="AR1869" s="23"/>
      <c r="AS1869" s="23"/>
      <c r="AT1869" s="23"/>
      <c r="AU1869" s="14" t="str">
        <f>HYPERLINK("http://www.openstreetmap.org/?mlat=36.2149&amp;mlon=44.1512&amp;zoom=12#map=12/36.2149/44.1512","Maplink1")</f>
        <v>Maplink1</v>
      </c>
      <c r="AV1869" s="14" t="str">
        <f>HYPERLINK("https://www.google.iq/maps/search/+36.2149,44.1512/@36.2149,44.1512,14z?hl=en","Maplink2")</f>
        <v>Maplink2</v>
      </c>
      <c r="AW1869" s="14" t="str">
        <f>HYPERLINK("http://www.bing.com/maps/?lvl=14&amp;sty=h&amp;cp=36.2149~44.1512&amp;sp=point.36.2149_44.1512","Maplink3")</f>
        <v>Maplink3</v>
      </c>
    </row>
    <row r="1870" spans="1:49" ht="15" customHeight="1" x14ac:dyDescent="0.25">
      <c r="A1870" s="21">
        <v>25472</v>
      </c>
      <c r="B1870" s="22" t="s">
        <v>15</v>
      </c>
      <c r="C1870" s="22" t="s">
        <v>15</v>
      </c>
      <c r="D1870" s="22" t="s">
        <v>3526</v>
      </c>
      <c r="E1870" s="22" t="s">
        <v>3527</v>
      </c>
      <c r="F1870" s="22">
        <v>36.20116367</v>
      </c>
      <c r="G1870" s="22">
        <v>44.125883340000001</v>
      </c>
      <c r="H1870" s="21" t="s">
        <v>3500</v>
      </c>
      <c r="I1870" s="21" t="s">
        <v>3501</v>
      </c>
      <c r="J1870" s="21"/>
      <c r="K1870" s="24">
        <v>70</v>
      </c>
      <c r="L1870" s="24">
        <v>420</v>
      </c>
      <c r="M1870" s="23">
        <v>30</v>
      </c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>
        <v>35</v>
      </c>
      <c r="Z1870" s="23"/>
      <c r="AA1870" s="23">
        <v>5</v>
      </c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>
        <v>70</v>
      </c>
      <c r="AL1870" s="23"/>
      <c r="AM1870" s="23"/>
      <c r="AN1870" s="23"/>
      <c r="AO1870" s="23">
        <v>15</v>
      </c>
      <c r="AP1870" s="23">
        <v>35</v>
      </c>
      <c r="AQ1870" s="23">
        <v>10</v>
      </c>
      <c r="AR1870" s="23"/>
      <c r="AS1870" s="23">
        <v>10</v>
      </c>
      <c r="AT1870" s="23"/>
      <c r="AU1870" s="14" t="str">
        <f>HYPERLINK("http://www.openstreetmap.org/?mlat=36.1996&amp;mlon=44.1258&amp;zoom=12#map=12/36.1996/44.1258","Maplink1")</f>
        <v>Maplink1</v>
      </c>
      <c r="AV1870" s="14" t="str">
        <f>HYPERLINK("https://www.google.iq/maps/search/+36.1996,44.1258/@36.1996,44.1258,14z?hl=en","Maplink2")</f>
        <v>Maplink2</v>
      </c>
      <c r="AW1870" s="14" t="str">
        <f>HYPERLINK("http://www.bing.com/maps/?lvl=14&amp;sty=h&amp;cp=36.1996~44.1258&amp;sp=point.36.1996_44.1258_Aynda","Maplink3")</f>
        <v>Maplink3</v>
      </c>
    </row>
    <row r="1871" spans="1:49" ht="15" customHeight="1" x14ac:dyDescent="0.25">
      <c r="A1871" s="21">
        <v>27329</v>
      </c>
      <c r="B1871" s="22" t="s">
        <v>15</v>
      </c>
      <c r="C1871" s="22" t="s">
        <v>15</v>
      </c>
      <c r="D1871" s="22" t="s">
        <v>3528</v>
      </c>
      <c r="E1871" s="22" t="s">
        <v>3529</v>
      </c>
      <c r="F1871" s="22">
        <v>36.1846672</v>
      </c>
      <c r="G1871" s="22">
        <v>44.12519417</v>
      </c>
      <c r="H1871" s="21" t="s">
        <v>3500</v>
      </c>
      <c r="I1871" s="21" t="s">
        <v>3501</v>
      </c>
      <c r="J1871" s="21"/>
      <c r="K1871" s="24">
        <v>73</v>
      </c>
      <c r="L1871" s="24">
        <v>438</v>
      </c>
      <c r="M1871" s="23">
        <v>29</v>
      </c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>
        <v>44</v>
      </c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>
        <v>73</v>
      </c>
      <c r="AL1871" s="23"/>
      <c r="AM1871" s="23"/>
      <c r="AN1871" s="23"/>
      <c r="AO1871" s="23">
        <v>15</v>
      </c>
      <c r="AP1871" s="23">
        <v>44</v>
      </c>
      <c r="AQ1871" s="23"/>
      <c r="AR1871" s="23"/>
      <c r="AS1871" s="23">
        <v>14</v>
      </c>
      <c r="AT1871" s="23"/>
      <c r="AU1871" s="14" t="str">
        <f>HYPERLINK("http://www.openstreetmap.org/?mlat=36.1019&amp;mlon=44.0743&amp;zoom=12#map=12/36.1019/44.0743","Maplink1")</f>
        <v>Maplink1</v>
      </c>
      <c r="AV1871" s="14" t="str">
        <f>HYPERLINK("https://www.google.iq/maps/search/+36.1019,44.0743/@36.1019,44.0743,14z?hl=en","Maplink2")</f>
        <v>Maplink2</v>
      </c>
      <c r="AW1871" s="14" t="str">
        <f>HYPERLINK("http://www.bing.com/maps/?lvl=14&amp;sty=h&amp;cp=36.1019~44.0743&amp;sp=point.36.1019_44.0743_Aynda 2","Maplink3")</f>
        <v>Maplink3</v>
      </c>
    </row>
    <row r="1872" spans="1:49" ht="15" customHeight="1" x14ac:dyDescent="0.25">
      <c r="A1872" s="21">
        <v>27148</v>
      </c>
      <c r="B1872" s="22" t="s">
        <v>15</v>
      </c>
      <c r="C1872" s="22" t="s">
        <v>15</v>
      </c>
      <c r="D1872" s="22" t="s">
        <v>3530</v>
      </c>
      <c r="E1872" s="22" t="s">
        <v>3531</v>
      </c>
      <c r="F1872" s="22">
        <v>36.2303</v>
      </c>
      <c r="G1872" s="22">
        <v>43.994999999999997</v>
      </c>
      <c r="H1872" s="21" t="s">
        <v>3500</v>
      </c>
      <c r="I1872" s="21" t="s">
        <v>3501</v>
      </c>
      <c r="J1872" s="21"/>
      <c r="K1872" s="24">
        <v>105</v>
      </c>
      <c r="L1872" s="24">
        <v>630</v>
      </c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>
        <v>105</v>
      </c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>
        <v>105</v>
      </c>
      <c r="AL1872" s="23"/>
      <c r="AM1872" s="23"/>
      <c r="AN1872" s="23"/>
      <c r="AO1872" s="23"/>
      <c r="AP1872" s="23">
        <v>65</v>
      </c>
      <c r="AQ1872" s="23">
        <v>40</v>
      </c>
      <c r="AR1872" s="23"/>
      <c r="AS1872" s="23"/>
      <c r="AT1872" s="23"/>
      <c r="AU1872" s="14" t="str">
        <f>HYPERLINK("http://www.openstreetmap.org/?mlat=36.2303&amp;mlon=43.995&amp;zoom=12#map=12/36.2303/43.995","Maplink1")</f>
        <v>Maplink1</v>
      </c>
      <c r="AV1872" s="14" t="str">
        <f>HYPERLINK("https://www.google.iq/maps/search/+36.2303,43.995/@36.2303,43.995,14z?hl=en","Maplink2")</f>
        <v>Maplink2</v>
      </c>
      <c r="AW1872" s="14" t="str">
        <f>HYPERLINK("http://www.bing.com/maps/?lvl=14&amp;sty=h&amp;cp=36.2303~43.995&amp;sp=point.36.2303_43.995_Bahar","Maplink3")</f>
        <v>Maplink3</v>
      </c>
    </row>
    <row r="1873" spans="1:49" ht="15" customHeight="1" x14ac:dyDescent="0.25">
      <c r="A1873" s="21">
        <v>13230</v>
      </c>
      <c r="B1873" s="22" t="s">
        <v>15</v>
      </c>
      <c r="C1873" s="22" t="s">
        <v>15</v>
      </c>
      <c r="D1873" s="22" t="s">
        <v>7325</v>
      </c>
      <c r="E1873" s="22" t="s">
        <v>8022</v>
      </c>
      <c r="F1873" s="22">
        <v>36.294339999999998</v>
      </c>
      <c r="G1873" s="22">
        <v>43.991990000000001</v>
      </c>
      <c r="H1873" s="21" t="s">
        <v>3500</v>
      </c>
      <c r="I1873" s="21" t="s">
        <v>3501</v>
      </c>
      <c r="J1873" s="21" t="s">
        <v>3535</v>
      </c>
      <c r="K1873" s="24">
        <v>835</v>
      </c>
      <c r="L1873" s="24">
        <v>5010</v>
      </c>
      <c r="M1873" s="23">
        <v>320</v>
      </c>
      <c r="N1873" s="23"/>
      <c r="O1873" s="23"/>
      <c r="P1873" s="23"/>
      <c r="Q1873" s="23"/>
      <c r="R1873" s="23">
        <v>196</v>
      </c>
      <c r="S1873" s="23"/>
      <c r="T1873" s="23"/>
      <c r="U1873" s="23"/>
      <c r="V1873" s="23"/>
      <c r="W1873" s="23"/>
      <c r="X1873" s="23"/>
      <c r="Y1873" s="23">
        <v>87</v>
      </c>
      <c r="Z1873" s="23"/>
      <c r="AA1873" s="23">
        <v>232</v>
      </c>
      <c r="AB1873" s="23"/>
      <c r="AC1873" s="23"/>
      <c r="AD1873" s="23"/>
      <c r="AE1873" s="23">
        <v>835</v>
      </c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>
        <v>212</v>
      </c>
      <c r="AP1873" s="23">
        <v>283</v>
      </c>
      <c r="AQ1873" s="23">
        <v>232</v>
      </c>
      <c r="AR1873" s="23"/>
      <c r="AS1873" s="23">
        <v>108</v>
      </c>
      <c r="AT1873" s="23"/>
      <c r="AU1873" s="14" t="str">
        <f>HYPERLINK("http://www.openstreetmap.org/?mlat=36.3068&amp;mlon=44.0064&amp;zoom=12#map=12/36.3068/44.0064","Maplink1")</f>
        <v>Maplink1</v>
      </c>
      <c r="AV1873" s="14" t="str">
        <f>HYPERLINK("https://www.google.iq/maps/search/+36.3068,44.0064/@36.3068,44.0064,14z?hl=en","Maplink2")</f>
        <v>Maplink2</v>
      </c>
      <c r="AW1873" s="14" t="str">
        <f>HYPERLINK("http://www.bing.com/maps/?lvl=14&amp;sty=h&amp;cp=36.3068~44.0064&amp;sp=point.36.3068_44.0064_Bahrka Collective","Maplink3")</f>
        <v>Maplink3</v>
      </c>
    </row>
    <row r="1874" spans="1:49" ht="15" customHeight="1" x14ac:dyDescent="0.25">
      <c r="A1874" s="21">
        <v>27138</v>
      </c>
      <c r="B1874" s="22" t="s">
        <v>15</v>
      </c>
      <c r="C1874" s="22" t="s">
        <v>15</v>
      </c>
      <c r="D1874" s="22" t="s">
        <v>3533</v>
      </c>
      <c r="E1874" s="22" t="s">
        <v>3534</v>
      </c>
      <c r="F1874" s="22">
        <v>36.302109899999998</v>
      </c>
      <c r="G1874" s="22">
        <v>44.025106809999997</v>
      </c>
      <c r="H1874" s="21" t="s">
        <v>3500</v>
      </c>
      <c r="I1874" s="21" t="s">
        <v>3501</v>
      </c>
      <c r="J1874" s="21"/>
      <c r="K1874" s="24">
        <v>137</v>
      </c>
      <c r="L1874" s="24">
        <v>822</v>
      </c>
      <c r="M1874" s="23">
        <v>87</v>
      </c>
      <c r="N1874" s="23"/>
      <c r="O1874" s="23">
        <v>15</v>
      </c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>
        <v>35</v>
      </c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>
        <v>137</v>
      </c>
      <c r="AL1874" s="23"/>
      <c r="AM1874" s="23"/>
      <c r="AN1874" s="23"/>
      <c r="AO1874" s="23"/>
      <c r="AP1874" s="23"/>
      <c r="AQ1874" s="23">
        <v>35</v>
      </c>
      <c r="AR1874" s="23"/>
      <c r="AS1874" s="23">
        <v>87</v>
      </c>
      <c r="AT1874" s="23">
        <v>15</v>
      </c>
      <c r="AU1874" s="14" t="str">
        <f>HYPERLINK("http://www.openstreetmap.org/?mlat=36.2887&amp;mlon=44.0118&amp;zoom=12#map=12/36.2887/44.0118","Maplink1")</f>
        <v>Maplink1</v>
      </c>
      <c r="AV1874" s="14" t="str">
        <f>HYPERLINK("https://www.google.iq/maps/search/+36.2887,44.0118/@36.2887,44.0118,14z?hl=en","Maplink2")</f>
        <v>Maplink2</v>
      </c>
      <c r="AW1874" s="14" t="str">
        <f>HYPERLINK("http://www.bing.com/maps/?lvl=14&amp;sty=h&amp;cp=36.2887~44.0118&amp;sp=point.36.2887_44.0118_bahrka al jadeda","Maplink3")</f>
        <v>Maplink3</v>
      </c>
    </row>
    <row r="1875" spans="1:49" ht="15" customHeight="1" x14ac:dyDescent="0.25">
      <c r="A1875" s="21">
        <v>12370</v>
      </c>
      <c r="B1875" s="22" t="s">
        <v>15</v>
      </c>
      <c r="C1875" s="22" t="s">
        <v>15</v>
      </c>
      <c r="D1875" s="22" t="s">
        <v>7326</v>
      </c>
      <c r="E1875" s="22" t="s">
        <v>8023</v>
      </c>
      <c r="F1875" s="22">
        <v>35.319800000000001</v>
      </c>
      <c r="G1875" s="22">
        <v>44.035600000000002</v>
      </c>
      <c r="H1875" s="21" t="s">
        <v>3500</v>
      </c>
      <c r="I1875" s="21" t="s">
        <v>3501</v>
      </c>
      <c r="J1875" s="21" t="s">
        <v>3532</v>
      </c>
      <c r="K1875" s="24">
        <v>969</v>
      </c>
      <c r="L1875" s="24">
        <v>5814</v>
      </c>
      <c r="M1875" s="23">
        <v>113</v>
      </c>
      <c r="N1875" s="23"/>
      <c r="O1875" s="23">
        <v>10</v>
      </c>
      <c r="P1875" s="23"/>
      <c r="Q1875" s="23"/>
      <c r="R1875" s="23"/>
      <c r="S1875" s="23"/>
      <c r="T1875" s="23"/>
      <c r="U1875" s="23"/>
      <c r="V1875" s="23"/>
      <c r="W1875" s="23"/>
      <c r="X1875" s="23"/>
      <c r="Y1875" s="23">
        <v>789</v>
      </c>
      <c r="Z1875" s="23"/>
      <c r="AA1875" s="23">
        <v>57</v>
      </c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>
        <v>969</v>
      </c>
      <c r="AL1875" s="23"/>
      <c r="AM1875" s="23"/>
      <c r="AN1875" s="23"/>
      <c r="AO1875" s="23">
        <v>45</v>
      </c>
      <c r="AP1875" s="23">
        <v>789</v>
      </c>
      <c r="AQ1875" s="23">
        <v>57</v>
      </c>
      <c r="AR1875" s="23"/>
      <c r="AS1875" s="23">
        <v>59</v>
      </c>
      <c r="AT1875" s="23">
        <v>19</v>
      </c>
      <c r="AU1875" s="14" t="str">
        <f>HYPERLINK("http://www.openstreetmap.org/?mlat=36.3158&amp;mlon=44.0349&amp;zoom=12#map=12/36.3158/44.0349","Maplink1")</f>
        <v>Maplink1</v>
      </c>
      <c r="AV1875" s="14" t="str">
        <f>HYPERLINK("https://www.google.iq/maps/search/+36.3158,44.0349/@36.3158,44.0349,14z?hl=en","Maplink2")</f>
        <v>Maplink2</v>
      </c>
      <c r="AW1875" s="14" t="str">
        <f>HYPERLINK("http://www.bing.com/maps/?lvl=14&amp;sty=h&amp;cp=36.3158~44.0349&amp;sp=point.36.3158_44.0349_Bahrka","Maplink3")</f>
        <v>Maplink3</v>
      </c>
    </row>
    <row r="1876" spans="1:49" ht="15" customHeight="1" x14ac:dyDescent="0.25">
      <c r="A1876" s="21">
        <v>27137</v>
      </c>
      <c r="B1876" s="22" t="s">
        <v>15</v>
      </c>
      <c r="C1876" s="22" t="s">
        <v>15</v>
      </c>
      <c r="D1876" s="22" t="s">
        <v>3536</v>
      </c>
      <c r="E1876" s="22" t="s">
        <v>3537</v>
      </c>
      <c r="F1876" s="22">
        <v>36.305399999999999</v>
      </c>
      <c r="G1876" s="22">
        <v>44.025799999999997</v>
      </c>
      <c r="H1876" s="21" t="s">
        <v>3500</v>
      </c>
      <c r="I1876" s="21" t="s">
        <v>3501</v>
      </c>
      <c r="J1876" s="21"/>
      <c r="K1876" s="24">
        <v>209</v>
      </c>
      <c r="L1876" s="24">
        <v>1254</v>
      </c>
      <c r="M1876" s="23">
        <v>167</v>
      </c>
      <c r="N1876" s="23"/>
      <c r="O1876" s="23">
        <v>25</v>
      </c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>
        <v>17</v>
      </c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>
        <v>209</v>
      </c>
      <c r="AL1876" s="23"/>
      <c r="AM1876" s="23"/>
      <c r="AN1876" s="23"/>
      <c r="AO1876" s="23"/>
      <c r="AP1876" s="23"/>
      <c r="AQ1876" s="23">
        <v>17</v>
      </c>
      <c r="AR1876" s="23"/>
      <c r="AS1876" s="23">
        <v>145</v>
      </c>
      <c r="AT1876" s="23">
        <v>47</v>
      </c>
      <c r="AU1876" s="14" t="str">
        <f>HYPERLINK("http://www.openstreetmap.org/?mlat=36.834&amp;mlon=44.0092&amp;zoom=12#map=12/36.834/44.0092","Maplink1")</f>
        <v>Maplink1</v>
      </c>
      <c r="AV1876" s="14" t="str">
        <f>HYPERLINK("https://www.google.iq/maps/search/+36.834,44.0092/@36.834,44.0092,14z?hl=en","Maplink2")</f>
        <v>Maplink2</v>
      </c>
      <c r="AW1876" s="14" t="str">
        <f>HYPERLINK("http://www.bing.com/maps/?lvl=14&amp;sty=h&amp;cp=36.834~44.0092&amp;sp=point.36.834_44.0092_Bahrka gulan","Maplink3")</f>
        <v>Maplink3</v>
      </c>
    </row>
    <row r="1877" spans="1:49" ht="15" customHeight="1" x14ac:dyDescent="0.25">
      <c r="A1877" s="21">
        <v>25471</v>
      </c>
      <c r="B1877" s="22" t="s">
        <v>15</v>
      </c>
      <c r="C1877" s="22" t="s">
        <v>15</v>
      </c>
      <c r="D1877" s="22" t="s">
        <v>3539</v>
      </c>
      <c r="E1877" s="22" t="s">
        <v>3540</v>
      </c>
      <c r="F1877" s="22">
        <v>36.2104</v>
      </c>
      <c r="G1877" s="22">
        <v>44.112699999999997</v>
      </c>
      <c r="H1877" s="21" t="s">
        <v>3500</v>
      </c>
      <c r="I1877" s="21" t="s">
        <v>3501</v>
      </c>
      <c r="J1877" s="21"/>
      <c r="K1877" s="24">
        <v>143</v>
      </c>
      <c r="L1877" s="24">
        <v>858</v>
      </c>
      <c r="M1877" s="23">
        <v>113</v>
      </c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>
        <v>25</v>
      </c>
      <c r="Z1877" s="23"/>
      <c r="AA1877" s="23">
        <v>5</v>
      </c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>
        <v>143</v>
      </c>
      <c r="AL1877" s="23"/>
      <c r="AM1877" s="23"/>
      <c r="AN1877" s="23"/>
      <c r="AO1877" s="23">
        <v>113</v>
      </c>
      <c r="AP1877" s="23">
        <v>25</v>
      </c>
      <c r="AQ1877" s="23">
        <v>5</v>
      </c>
      <c r="AR1877" s="23"/>
      <c r="AS1877" s="23"/>
      <c r="AT1877" s="23"/>
      <c r="AU1877" s="14" t="str">
        <f>HYPERLINK("http://www.openstreetmap.org/?mlat=36.2104&amp;mlon=44.1127&amp;zoom=12#map=12/36.2104/44.1127","Maplink1")</f>
        <v>Maplink1</v>
      </c>
      <c r="AV1877" s="14" t="str">
        <f>HYPERLINK("https://www.google.iq/maps/search/+36.2104,44.1127/@36.2104,44.1127,14z?hl=en","Maplink2")</f>
        <v>Maplink2</v>
      </c>
      <c r="AW1877" s="14" t="str">
        <f>HYPERLINK("http://www.bing.com/maps/?lvl=14&amp;sty=h&amp;cp=36.2104~44.1127&amp;sp=point.36.2104_44.1127_Byaban","Maplink3")</f>
        <v>Maplink3</v>
      </c>
    </row>
    <row r="1878" spans="1:49" ht="15" customHeight="1" x14ac:dyDescent="0.25">
      <c r="A1878" s="21">
        <v>27153</v>
      </c>
      <c r="B1878" s="22" t="s">
        <v>15</v>
      </c>
      <c r="C1878" s="22" t="s">
        <v>15</v>
      </c>
      <c r="D1878" s="22" t="s">
        <v>3541</v>
      </c>
      <c r="E1878" s="22" t="s">
        <v>3542</v>
      </c>
      <c r="F1878" s="22">
        <v>36.260800000000003</v>
      </c>
      <c r="G1878" s="22">
        <v>43.993200000000002</v>
      </c>
      <c r="H1878" s="21" t="s">
        <v>3500</v>
      </c>
      <c r="I1878" s="21" t="s">
        <v>3501</v>
      </c>
      <c r="J1878" s="21"/>
      <c r="K1878" s="24">
        <v>57</v>
      </c>
      <c r="L1878" s="24">
        <v>342</v>
      </c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>
        <v>57</v>
      </c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>
        <v>57</v>
      </c>
      <c r="AL1878" s="23"/>
      <c r="AM1878" s="23"/>
      <c r="AN1878" s="23"/>
      <c r="AO1878" s="23"/>
      <c r="AP1878" s="23">
        <v>57</v>
      </c>
      <c r="AQ1878" s="23"/>
      <c r="AR1878" s="23"/>
      <c r="AS1878" s="23"/>
      <c r="AT1878" s="23"/>
      <c r="AU1878" s="14" t="str">
        <f>HYPERLINK("http://www.openstreetmap.org/?mlat=36.2608&amp;mlon=43.9932&amp;zoom=12#map=12/36.2608/43.9932","Maplink1")</f>
        <v>Maplink1</v>
      </c>
      <c r="AV1878" s="14" t="str">
        <f>HYPERLINK("https://www.google.iq/maps/search/+36.2608,43.9932/@36.2608,43.9932,14z?hl=en","Maplink2")</f>
        <v>Maplink2</v>
      </c>
      <c r="AW1878" s="14" t="str">
        <f>HYPERLINK("http://www.bing.com/maps/?lvl=14&amp;sty=h&amp;cp=36.2608~43.9932&amp;sp=point.36.2608_43.9932_Byaban Village","Maplink3")</f>
        <v>Maplink3</v>
      </c>
    </row>
    <row r="1879" spans="1:49" ht="15" customHeight="1" x14ac:dyDescent="0.25">
      <c r="A1879" s="21">
        <v>25726</v>
      </c>
      <c r="B1879" s="22" t="s">
        <v>15</v>
      </c>
      <c r="C1879" s="22" t="s">
        <v>15</v>
      </c>
      <c r="D1879" s="22" t="s">
        <v>8779</v>
      </c>
      <c r="E1879" s="22" t="s">
        <v>8024</v>
      </c>
      <c r="F1879" s="22">
        <v>36.153500000000001</v>
      </c>
      <c r="G1879" s="22">
        <v>44.097799999999999</v>
      </c>
      <c r="H1879" s="21" t="s">
        <v>3500</v>
      </c>
      <c r="I1879" s="21" t="s">
        <v>3501</v>
      </c>
      <c r="J1879" s="21"/>
      <c r="K1879" s="24">
        <v>60</v>
      </c>
      <c r="L1879" s="24">
        <v>360</v>
      </c>
      <c r="M1879" s="23">
        <v>38</v>
      </c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>
        <v>22</v>
      </c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>
        <v>60</v>
      </c>
      <c r="AL1879" s="23"/>
      <c r="AM1879" s="23"/>
      <c r="AN1879" s="23"/>
      <c r="AO1879" s="23">
        <v>38</v>
      </c>
      <c r="AP1879" s="23">
        <v>22</v>
      </c>
      <c r="AQ1879" s="23"/>
      <c r="AR1879" s="23"/>
      <c r="AS1879" s="23"/>
      <c r="AT1879" s="23"/>
      <c r="AU1879" s="14" t="str">
        <f>HYPERLINK("http://www.openstreetmap.org/?mlat=36.1535&amp;mlon=44.0978&amp;zoom=12#map=12/36.1535/44.0978","Maplink1")</f>
        <v>Maplink1</v>
      </c>
      <c r="AV1879" s="14" t="str">
        <f>HYPERLINK("https://www.google.iq/maps/search/+36.1535,44.0978/@36.1535,44.0978,14z?hl=en","Maplink2")</f>
        <v>Maplink2</v>
      </c>
      <c r="AW1879" s="14" t="str">
        <f>HYPERLINK("http://www.bing.com/maps/?lvl=14&amp;sty=h&amp;cp=36.1535~44.0978&amp;sp=point.36.1535_44.0978_Chwarchra-Banislawa","Maplink3")</f>
        <v>Maplink3</v>
      </c>
    </row>
    <row r="1880" spans="1:49" ht="15" customHeight="1" x14ac:dyDescent="0.25">
      <c r="A1880" s="21">
        <v>27145</v>
      </c>
      <c r="B1880" s="22" t="s">
        <v>15</v>
      </c>
      <c r="C1880" s="22" t="s">
        <v>15</v>
      </c>
      <c r="D1880" s="22" t="s">
        <v>3543</v>
      </c>
      <c r="E1880" s="22" t="s">
        <v>3544</v>
      </c>
      <c r="F1880" s="22">
        <v>36.125877869999997</v>
      </c>
      <c r="G1880" s="22">
        <v>44.048913829999996</v>
      </c>
      <c r="H1880" s="21" t="s">
        <v>3500</v>
      </c>
      <c r="I1880" s="21" t="s">
        <v>3501</v>
      </c>
      <c r="J1880" s="21"/>
      <c r="K1880" s="24">
        <v>150</v>
      </c>
      <c r="L1880" s="24">
        <v>900</v>
      </c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>
        <v>138</v>
      </c>
      <c r="Z1880" s="23"/>
      <c r="AA1880" s="23">
        <v>12</v>
      </c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150</v>
      </c>
      <c r="AL1880" s="23"/>
      <c r="AM1880" s="23"/>
      <c r="AN1880" s="23"/>
      <c r="AO1880" s="23"/>
      <c r="AP1880" s="23">
        <v>138</v>
      </c>
      <c r="AQ1880" s="23">
        <v>12</v>
      </c>
      <c r="AR1880" s="23"/>
      <c r="AS1880" s="23"/>
      <c r="AT1880" s="23"/>
      <c r="AU1880" s="14" t="str">
        <f>HYPERLINK("http://www.openstreetmap.org/?mlat=36.1187&amp;mlon=44.0572&amp;zoom=12#map=12/36.1187/44.0572","Maplink1")</f>
        <v>Maplink1</v>
      </c>
      <c r="AV1880" s="14" t="str">
        <f>HYPERLINK("https://www.google.iq/maps/search/+36.1187,44.0572/@36.1187,44.0572,14z?hl=en","Maplink2")</f>
        <v>Maplink2</v>
      </c>
      <c r="AW1880" s="14" t="str">
        <f>HYPERLINK("http://www.bing.com/maps/?lvl=14&amp;sty=h&amp;cp=36.1187~44.0572&amp;sp=point.36.1187_44.0572_Daratu-Brayati","Maplink3")</f>
        <v>Maplink3</v>
      </c>
    </row>
    <row r="1881" spans="1:49" ht="15" customHeight="1" x14ac:dyDescent="0.25">
      <c r="A1881" s="21">
        <v>27140</v>
      </c>
      <c r="B1881" s="22" t="s">
        <v>15</v>
      </c>
      <c r="C1881" s="22" t="s">
        <v>15</v>
      </c>
      <c r="D1881" s="22" t="s">
        <v>3545</v>
      </c>
      <c r="E1881" s="22" t="s">
        <v>3546</v>
      </c>
      <c r="F1881" s="22">
        <v>36.118686140000001</v>
      </c>
      <c r="G1881" s="22">
        <v>44.067335409999998</v>
      </c>
      <c r="H1881" s="21" t="s">
        <v>3500</v>
      </c>
      <c r="I1881" s="21" t="s">
        <v>3501</v>
      </c>
      <c r="J1881" s="21"/>
      <c r="K1881" s="24">
        <v>200</v>
      </c>
      <c r="L1881" s="24">
        <v>1200</v>
      </c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>
        <v>126</v>
      </c>
      <c r="Z1881" s="23"/>
      <c r="AA1881" s="23">
        <v>74</v>
      </c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200</v>
      </c>
      <c r="AL1881" s="23"/>
      <c r="AM1881" s="23"/>
      <c r="AN1881" s="23"/>
      <c r="AO1881" s="23"/>
      <c r="AP1881" s="23">
        <v>126</v>
      </c>
      <c r="AQ1881" s="23">
        <v>74</v>
      </c>
      <c r="AR1881" s="23"/>
      <c r="AS1881" s="23"/>
      <c r="AT1881" s="23"/>
      <c r="AU1881" s="14" t="str">
        <f>HYPERLINK("http://www.openstreetmap.org/?mlat=36.1194&amp;mlon=44.0633&amp;zoom=12#map=12/36.1194/44.0633","Maplink1")</f>
        <v>Maplink1</v>
      </c>
      <c r="AV1881" s="14" t="str">
        <f>HYPERLINK("https://www.google.iq/maps/search/+36.1194,44.0633/@36.1194,44.0633,14z?hl=en","Maplink2")</f>
        <v>Maplink2</v>
      </c>
      <c r="AW1881" s="14" t="str">
        <f>HYPERLINK("http://www.bing.com/maps/?lvl=14&amp;sty=h&amp;cp=36.1194~44.0633&amp;sp=point.36.1194_44.0633_Daratu-Nishtiman","Maplink3")</f>
        <v>Maplink3</v>
      </c>
    </row>
    <row r="1882" spans="1:49" ht="15" customHeight="1" x14ac:dyDescent="0.25">
      <c r="A1882" s="21">
        <v>21669</v>
      </c>
      <c r="B1882" s="22" t="s">
        <v>15</v>
      </c>
      <c r="C1882" s="22" t="s">
        <v>15</v>
      </c>
      <c r="D1882" s="22" t="s">
        <v>8780</v>
      </c>
      <c r="E1882" s="22" t="s">
        <v>3547</v>
      </c>
      <c r="F1882" s="22">
        <v>36.115699999999997</v>
      </c>
      <c r="G1882" s="22">
        <v>44.075360000000003</v>
      </c>
      <c r="H1882" s="21" t="s">
        <v>3500</v>
      </c>
      <c r="I1882" s="21" t="s">
        <v>3501</v>
      </c>
      <c r="J1882" s="21" t="s">
        <v>3548</v>
      </c>
      <c r="K1882" s="24">
        <v>290</v>
      </c>
      <c r="L1882" s="24">
        <v>1740</v>
      </c>
      <c r="M1882" s="23">
        <v>134</v>
      </c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>
        <v>156</v>
      </c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>
        <v>290</v>
      </c>
      <c r="AL1882" s="23"/>
      <c r="AM1882" s="23"/>
      <c r="AN1882" s="23"/>
      <c r="AO1882" s="23">
        <v>29</v>
      </c>
      <c r="AP1882" s="23"/>
      <c r="AQ1882" s="23">
        <v>156</v>
      </c>
      <c r="AR1882" s="23"/>
      <c r="AS1882" s="23">
        <v>105</v>
      </c>
      <c r="AT1882" s="23"/>
      <c r="AU1882" s="14" t="str">
        <f>HYPERLINK("http://www.openstreetmap.org/?mlat=36.1157&amp;mlon=44.0754&amp;zoom=12#map=12/36.1157/44.0754","Maplink1")</f>
        <v>Maplink1</v>
      </c>
      <c r="AV1882" s="14" t="str">
        <f>HYPERLINK("https://www.google.iq/maps/search/+36.1157,44.0754/@36.1157,44.0754,14z?hl=en","Maplink2")</f>
        <v>Maplink2</v>
      </c>
      <c r="AW1882" s="14" t="str">
        <f>HYPERLINK("http://www.bing.com/maps/?lvl=14&amp;sty=h&amp;cp=36.1157~44.0754&amp;sp=point.36.1157_44.0754_Dartu Nwa","Maplink3")</f>
        <v>Maplink3</v>
      </c>
    </row>
    <row r="1883" spans="1:49" ht="15" customHeight="1" x14ac:dyDescent="0.25">
      <c r="A1883" s="21">
        <v>13203</v>
      </c>
      <c r="B1883" s="22" t="s">
        <v>15</v>
      </c>
      <c r="C1883" s="22" t="s">
        <v>15</v>
      </c>
      <c r="D1883" s="22" t="s">
        <v>3549</v>
      </c>
      <c r="E1883" s="22" t="s">
        <v>3550</v>
      </c>
      <c r="F1883" s="22">
        <v>36.021944599999998</v>
      </c>
      <c r="G1883" s="22">
        <v>43.913266849999999</v>
      </c>
      <c r="H1883" s="21" t="s">
        <v>3500</v>
      </c>
      <c r="I1883" s="21" t="s">
        <v>3501</v>
      </c>
      <c r="J1883" s="21" t="s">
        <v>3551</v>
      </c>
      <c r="K1883" s="24">
        <v>268</v>
      </c>
      <c r="L1883" s="24">
        <v>1608</v>
      </c>
      <c r="M1883" s="23">
        <v>241</v>
      </c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>
        <v>12</v>
      </c>
      <c r="Z1883" s="23"/>
      <c r="AA1883" s="23">
        <v>15</v>
      </c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>
        <v>268</v>
      </c>
      <c r="AL1883" s="23"/>
      <c r="AM1883" s="23"/>
      <c r="AN1883" s="23"/>
      <c r="AO1883" s="23">
        <v>150</v>
      </c>
      <c r="AP1883" s="23">
        <v>12</v>
      </c>
      <c r="AQ1883" s="23">
        <v>15</v>
      </c>
      <c r="AR1883" s="23"/>
      <c r="AS1883" s="23">
        <v>74</v>
      </c>
      <c r="AT1883" s="23">
        <v>17</v>
      </c>
      <c r="AU1883" s="14" t="str">
        <f>HYPERLINK("http://www.openstreetmap.org/?mlat=36.0764&amp;mlon=43.9476&amp;zoom=12#map=12/36.0764/43.9476","Maplink1")</f>
        <v>Maplink1</v>
      </c>
      <c r="AV1883" s="14" t="str">
        <f>HYPERLINK("https://www.google.iq/maps/search/+36.0764,43.9476/@36.0764,43.9476,14z?hl=en","Maplink2")</f>
        <v>Maplink2</v>
      </c>
      <c r="AW1883" s="14" t="str">
        <f>HYPERLINK("http://www.bing.com/maps/?lvl=14&amp;sty=h&amp;cp=36.0764~43.9476&amp;sp=point.36.0764_43.9476","Maplink3")</f>
        <v>Maplink3</v>
      </c>
    </row>
    <row r="1884" spans="1:49" ht="15" customHeight="1" x14ac:dyDescent="0.25">
      <c r="A1884" s="21">
        <v>25900</v>
      </c>
      <c r="B1884" s="22" t="s">
        <v>15</v>
      </c>
      <c r="C1884" s="22" t="s">
        <v>15</v>
      </c>
      <c r="D1884" s="22" t="s">
        <v>8781</v>
      </c>
      <c r="E1884" s="22" t="s">
        <v>3552</v>
      </c>
      <c r="F1884" s="22">
        <v>36.254600000000003</v>
      </c>
      <c r="G1884" s="22">
        <v>44.078099999999999</v>
      </c>
      <c r="H1884" s="21" t="s">
        <v>3500</v>
      </c>
      <c r="I1884" s="21" t="s">
        <v>3501</v>
      </c>
      <c r="J1884" s="21"/>
      <c r="K1884" s="24">
        <v>256</v>
      </c>
      <c r="L1884" s="24">
        <v>1536</v>
      </c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>
        <v>256</v>
      </c>
      <c r="Z1884" s="23"/>
      <c r="AA1884" s="23"/>
      <c r="AB1884" s="23"/>
      <c r="AC1884" s="23"/>
      <c r="AD1884" s="23"/>
      <c r="AE1884" s="23"/>
      <c r="AF1884" s="23"/>
      <c r="AG1884" s="23"/>
      <c r="AH1884" s="23">
        <v>256</v>
      </c>
      <c r="AI1884" s="23"/>
      <c r="AJ1884" s="23"/>
      <c r="AK1884" s="23"/>
      <c r="AL1884" s="23"/>
      <c r="AM1884" s="23"/>
      <c r="AN1884" s="23"/>
      <c r="AO1884" s="23"/>
      <c r="AP1884" s="23"/>
      <c r="AQ1884" s="23">
        <v>256</v>
      </c>
      <c r="AR1884" s="23"/>
      <c r="AS1884" s="23"/>
      <c r="AT1884" s="23"/>
      <c r="AU1884" s="14" t="str">
        <f>HYPERLINK("http://www.openstreetmap.org/?mlat=36.2546&amp;mlon=44.0781&amp;zoom=12#map=12/36.2546/44.0781","Maplink1")</f>
        <v>Maplink1</v>
      </c>
      <c r="AV1884" s="14" t="str">
        <f>HYPERLINK("https://www.google.iq/maps/search/+36.2546,44.0781/@36.2546,44.0781,14z?hl=en","Maplink2")</f>
        <v>Maplink2</v>
      </c>
      <c r="AW1884" s="14" t="str">
        <f>HYPERLINK("http://www.bing.com/maps/?lvl=14&amp;sty=h&amp;cp=36.2546~44.0781&amp;sp=point.36.2546_44.0781_Erbil Gate Complex","Maplink3")</f>
        <v>Maplink3</v>
      </c>
    </row>
    <row r="1885" spans="1:49" ht="15" customHeight="1" x14ac:dyDescent="0.25">
      <c r="A1885" s="21">
        <v>25728</v>
      </c>
      <c r="B1885" s="22" t="s">
        <v>15</v>
      </c>
      <c r="C1885" s="22" t="s">
        <v>15</v>
      </c>
      <c r="D1885" s="22" t="s">
        <v>3554</v>
      </c>
      <c r="E1885" s="22" t="s">
        <v>8025</v>
      </c>
      <c r="F1885" s="22">
        <v>35.996499999999997</v>
      </c>
      <c r="G1885" s="22">
        <v>44.0381</v>
      </c>
      <c r="H1885" s="21" t="s">
        <v>3500</v>
      </c>
      <c r="I1885" s="21" t="s">
        <v>3501</v>
      </c>
      <c r="J1885" s="21"/>
      <c r="K1885" s="24">
        <v>816</v>
      </c>
      <c r="L1885" s="24">
        <v>4896</v>
      </c>
      <c r="M1885" s="23">
        <v>621</v>
      </c>
      <c r="N1885" s="23"/>
      <c r="O1885" s="23">
        <v>9</v>
      </c>
      <c r="P1885" s="23"/>
      <c r="Q1885" s="23"/>
      <c r="R1885" s="23"/>
      <c r="S1885" s="23">
        <v>28</v>
      </c>
      <c r="T1885" s="23"/>
      <c r="U1885" s="23"/>
      <c r="V1885" s="23"/>
      <c r="W1885" s="23"/>
      <c r="X1885" s="23"/>
      <c r="Y1885" s="23">
        <v>158</v>
      </c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816</v>
      </c>
      <c r="AL1885" s="23"/>
      <c r="AM1885" s="23"/>
      <c r="AN1885" s="23"/>
      <c r="AO1885" s="23">
        <v>472</v>
      </c>
      <c r="AP1885" s="23">
        <v>158</v>
      </c>
      <c r="AQ1885" s="23">
        <v>28</v>
      </c>
      <c r="AR1885" s="23">
        <v>9</v>
      </c>
      <c r="AS1885" s="23">
        <v>149</v>
      </c>
      <c r="AT1885" s="23"/>
      <c r="AU1885" s="14" t="str">
        <f>HYPERLINK("http://www.openstreetmap.org/?mlat=35.9965&amp;mlon=44.0381&amp;zoom=12#map=12/35.9965/44.0381","Maplink1")</f>
        <v>Maplink1</v>
      </c>
      <c r="AV1885" s="14" t="str">
        <f>HYPERLINK("https://www.google.iq/maps/search/+35.9965,44.0381/@35.9965,44.0381,14z?hl=en","Maplink2")</f>
        <v>Maplink2</v>
      </c>
      <c r="AW1885" s="14" t="str">
        <f>HYPERLINK("http://www.bing.com/maps/?lvl=14&amp;sty=h&amp;cp=35.9965~44.0381&amp;sp=point.35.9965_44.0381_Erbil-Qushtappa","Maplink3")</f>
        <v>Maplink3</v>
      </c>
    </row>
    <row r="1886" spans="1:49" ht="15" customHeight="1" x14ac:dyDescent="0.25">
      <c r="A1886" s="21">
        <v>24419</v>
      </c>
      <c r="B1886" s="22" t="s">
        <v>15</v>
      </c>
      <c r="C1886" s="22" t="s">
        <v>15</v>
      </c>
      <c r="D1886" s="22" t="s">
        <v>8782</v>
      </c>
      <c r="E1886" s="22" t="s">
        <v>3556</v>
      </c>
      <c r="F1886" s="22">
        <v>36.295879999999997</v>
      </c>
      <c r="G1886" s="22">
        <v>44.039679999999997</v>
      </c>
      <c r="H1886" s="21" t="s">
        <v>3500</v>
      </c>
      <c r="I1886" s="21" t="s">
        <v>3501</v>
      </c>
      <c r="J1886" s="21"/>
      <c r="K1886" s="24">
        <v>813</v>
      </c>
      <c r="L1886" s="24">
        <v>4878</v>
      </c>
      <c r="M1886" s="23">
        <v>128</v>
      </c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>
        <v>650</v>
      </c>
      <c r="Z1886" s="23"/>
      <c r="AA1886" s="23">
        <v>35</v>
      </c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813</v>
      </c>
      <c r="AL1886" s="23"/>
      <c r="AM1886" s="23"/>
      <c r="AN1886" s="23"/>
      <c r="AO1886" s="23">
        <v>70</v>
      </c>
      <c r="AP1886" s="23">
        <v>650</v>
      </c>
      <c r="AQ1886" s="23">
        <v>35</v>
      </c>
      <c r="AR1886" s="23"/>
      <c r="AS1886" s="23">
        <v>45</v>
      </c>
      <c r="AT1886" s="23">
        <v>13</v>
      </c>
      <c r="AU1886" s="14" t="str">
        <f>HYPERLINK("http://www.openstreetmap.org/?mlat=36.2959&amp;mlon=44.0397&amp;zoom=12#map=12/36.2959/44.0397","Maplink1")</f>
        <v>Maplink1</v>
      </c>
      <c r="AV1886" s="14" t="str">
        <f>HYPERLINK("https://www.google.iq/maps/search/+36.2959,44.0397/@36.2959,44.0397,14z?hl=en","Maplink2")</f>
        <v>Maplink2</v>
      </c>
      <c r="AW1886" s="14" t="str">
        <f>HYPERLINK("http://www.bing.com/maps/?lvl=14&amp;sty=h&amp;cp=36.2959~44.0397&amp;sp=point.36.2959_44.0397_Ginjan","Maplink3")</f>
        <v>Maplink3</v>
      </c>
    </row>
    <row r="1887" spans="1:49" ht="15" customHeight="1" x14ac:dyDescent="0.25">
      <c r="A1887" s="21">
        <v>24909</v>
      </c>
      <c r="B1887" s="22" t="s">
        <v>15</v>
      </c>
      <c r="C1887" s="22" t="s">
        <v>15</v>
      </c>
      <c r="D1887" s="22" t="s">
        <v>8783</v>
      </c>
      <c r="E1887" s="22" t="s">
        <v>3555</v>
      </c>
      <c r="F1887" s="22">
        <v>36.280299999999997</v>
      </c>
      <c r="G1887" s="22">
        <v>43.936399999999999</v>
      </c>
      <c r="H1887" s="21" t="s">
        <v>3500</v>
      </c>
      <c r="I1887" s="21" t="s">
        <v>3501</v>
      </c>
      <c r="J1887" s="21"/>
      <c r="K1887" s="24">
        <v>213</v>
      </c>
      <c r="L1887" s="24">
        <v>1278</v>
      </c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>
        <v>213</v>
      </c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>
        <v>213</v>
      </c>
      <c r="AL1887" s="23"/>
      <c r="AM1887" s="23"/>
      <c r="AN1887" s="23"/>
      <c r="AO1887" s="23"/>
      <c r="AP1887" s="23">
        <v>208</v>
      </c>
      <c r="AQ1887" s="23"/>
      <c r="AR1887" s="23"/>
      <c r="AS1887" s="23"/>
      <c r="AT1887" s="23">
        <v>5</v>
      </c>
      <c r="AU1887" s="14" t="str">
        <f>HYPERLINK("http://www.openstreetmap.org/?mlat=36.2803&amp;mlon=43.9364&amp;zoom=12#map=12/36.2803/43.9364","Maplink1")</f>
        <v>Maplink1</v>
      </c>
      <c r="AV1887" s="14" t="str">
        <f>HYPERLINK("https://www.google.iq/maps/search/+36.2803,43.9364/@36.2803,43.9364,14z?hl=en","Maplink2")</f>
        <v>Maplink2</v>
      </c>
      <c r="AW1887" s="14" t="str">
        <f>HYPERLINK("http://www.bing.com/maps/?lvl=14&amp;sty=h&amp;cp=36.2803~43.9364&amp;sp=point.36.2803_43.9364_Gaznah","Maplink3")</f>
        <v>Maplink3</v>
      </c>
    </row>
    <row r="1888" spans="1:49" ht="15" customHeight="1" x14ac:dyDescent="0.25">
      <c r="A1888" s="21">
        <v>13677</v>
      </c>
      <c r="B1888" s="22" t="s">
        <v>15</v>
      </c>
      <c r="C1888" s="22" t="s">
        <v>15</v>
      </c>
      <c r="D1888" s="22" t="s">
        <v>3557</v>
      </c>
      <c r="E1888" s="22" t="s">
        <v>3558</v>
      </c>
      <c r="F1888" s="22">
        <v>36.231000000000002</v>
      </c>
      <c r="G1888" s="22">
        <v>43.991900000000001</v>
      </c>
      <c r="H1888" s="21" t="s">
        <v>3500</v>
      </c>
      <c r="I1888" s="21" t="s">
        <v>3501</v>
      </c>
      <c r="J1888" s="21" t="s">
        <v>3559</v>
      </c>
      <c r="K1888" s="24">
        <v>302</v>
      </c>
      <c r="L1888" s="24">
        <v>1812</v>
      </c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>
        <v>302</v>
      </c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302</v>
      </c>
      <c r="AL1888" s="23"/>
      <c r="AM1888" s="23"/>
      <c r="AN1888" s="23"/>
      <c r="AO1888" s="23"/>
      <c r="AP1888" s="23">
        <v>169</v>
      </c>
      <c r="AQ1888" s="23">
        <v>133</v>
      </c>
      <c r="AR1888" s="23"/>
      <c r="AS1888" s="23"/>
      <c r="AT1888" s="23"/>
      <c r="AU1888" s="14" t="str">
        <f>HYPERLINK("http://www.openstreetmap.org/?mlat=36.231&amp;mlon=43.9919&amp;zoom=12#map=12/36.231/43.9919","Maplink1")</f>
        <v>Maplink1</v>
      </c>
      <c r="AV1888" s="14" t="str">
        <f>HYPERLINK("https://www.google.iq/maps/search/+36.231,43.9919/@36.231,43.9919,14z?hl=en","Maplink2")</f>
        <v>Maplink2</v>
      </c>
      <c r="AW1888" s="14" t="str">
        <f>HYPERLINK("http://www.bing.com/maps/?lvl=14&amp;sty=h&amp;cp=36.231~43.9919&amp;sp=point.36.231_43.9919_Hadiab","Maplink3")</f>
        <v>Maplink3</v>
      </c>
    </row>
    <row r="1889" spans="1:49" ht="15" customHeight="1" x14ac:dyDescent="0.25">
      <c r="A1889" s="21">
        <v>25973</v>
      </c>
      <c r="B1889" s="22" t="s">
        <v>15</v>
      </c>
      <c r="C1889" s="22" t="s">
        <v>15</v>
      </c>
      <c r="D1889" s="22" t="s">
        <v>3560</v>
      </c>
      <c r="E1889" s="22" t="s">
        <v>3561</v>
      </c>
      <c r="F1889" s="22">
        <v>36.119372599999998</v>
      </c>
      <c r="G1889" s="22">
        <v>44.062047919999998</v>
      </c>
      <c r="H1889" s="21" t="s">
        <v>3500</v>
      </c>
      <c r="I1889" s="21" t="s">
        <v>3501</v>
      </c>
      <c r="J1889" s="21"/>
      <c r="K1889" s="24">
        <v>228</v>
      </c>
      <c r="L1889" s="24">
        <v>1368</v>
      </c>
      <c r="M1889" s="23">
        <v>172</v>
      </c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>
        <v>56</v>
      </c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228</v>
      </c>
      <c r="AL1889" s="23"/>
      <c r="AM1889" s="23"/>
      <c r="AN1889" s="23"/>
      <c r="AO1889" s="23"/>
      <c r="AP1889" s="23">
        <v>56</v>
      </c>
      <c r="AQ1889" s="23"/>
      <c r="AR1889" s="23"/>
      <c r="AS1889" s="23">
        <v>172</v>
      </c>
      <c r="AT1889" s="23"/>
      <c r="AU1889" s="14" t="str">
        <f>HYPERLINK("http://www.openstreetmap.org/?mlat=36.1172&amp;mlon=44.0554&amp;zoom=12#map=12/36.1172/44.0554","Maplink1")</f>
        <v>Maplink1</v>
      </c>
      <c r="AV1889" s="14" t="str">
        <f>HYPERLINK("https://www.google.iq/maps/search/+36.1172,44.0554/@36.1172,44.0554,14z?hl=en","Maplink2")</f>
        <v>Maplink2</v>
      </c>
      <c r="AW1889" s="14" t="str">
        <f>HYPERLINK("http://www.bing.com/maps/?lvl=14&amp;sty=h&amp;cp=36.1172~44.0554&amp;sp=point.36.1172_44.0554_Harem","Maplink3")</f>
        <v>Maplink3</v>
      </c>
    </row>
    <row r="1890" spans="1:49" ht="15" customHeight="1" x14ac:dyDescent="0.25">
      <c r="A1890" s="21">
        <v>24608</v>
      </c>
      <c r="B1890" s="22" t="s">
        <v>15</v>
      </c>
      <c r="C1890" s="22" t="s">
        <v>15</v>
      </c>
      <c r="D1890" s="22" t="s">
        <v>3562</v>
      </c>
      <c r="E1890" s="22" t="s">
        <v>3563</v>
      </c>
      <c r="F1890" s="22">
        <v>36.258693299999997</v>
      </c>
      <c r="G1890" s="22">
        <v>43.99399142</v>
      </c>
      <c r="H1890" s="21" t="s">
        <v>3500</v>
      </c>
      <c r="I1890" s="21" t="s">
        <v>3501</v>
      </c>
      <c r="J1890" s="21"/>
      <c r="K1890" s="24">
        <v>147</v>
      </c>
      <c r="L1890" s="24">
        <v>882</v>
      </c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>
        <v>147</v>
      </c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147</v>
      </c>
      <c r="AL1890" s="23"/>
      <c r="AM1890" s="23"/>
      <c r="AN1890" s="23"/>
      <c r="AO1890" s="23"/>
      <c r="AP1890" s="23"/>
      <c r="AQ1890" s="23">
        <v>147</v>
      </c>
      <c r="AR1890" s="23"/>
      <c r="AS1890" s="23"/>
      <c r="AT1890" s="23"/>
      <c r="AU1890" s="14" t="str">
        <f>HYPERLINK("http://www.openstreetmap.org/?mlat=36.2951&amp;mlon=43.9945&amp;zoom=12#map=12/36.2951/43.9945","Maplink1")</f>
        <v>Maplink1</v>
      </c>
      <c r="AV1890" s="14" t="str">
        <f>HYPERLINK("https://www.google.iq/maps/search/+36.2951,43.9945/@36.2951,43.9945,14z?hl=en","Maplink2")</f>
        <v>Maplink2</v>
      </c>
      <c r="AW1890" s="14" t="str">
        <f>HYPERLINK("http://www.bing.com/maps/?lvl=14&amp;sty=h&amp;cp=36.2951~43.9945&amp;sp=point.36.2951_43.9945_Harhsam 1","Maplink3")</f>
        <v>Maplink3</v>
      </c>
    </row>
    <row r="1891" spans="1:49" ht="15" customHeight="1" x14ac:dyDescent="0.25">
      <c r="A1891" s="21">
        <v>24417</v>
      </c>
      <c r="B1891" s="22" t="s">
        <v>15</v>
      </c>
      <c r="C1891" s="22" t="s">
        <v>15</v>
      </c>
      <c r="D1891" s="22" t="s">
        <v>3564</v>
      </c>
      <c r="E1891" s="22" t="s">
        <v>3565</v>
      </c>
      <c r="F1891" s="22">
        <v>36.298115189999997</v>
      </c>
      <c r="G1891" s="22">
        <v>44.020570720000002</v>
      </c>
      <c r="H1891" s="21" t="s">
        <v>3500</v>
      </c>
      <c r="I1891" s="21" t="s">
        <v>3501</v>
      </c>
      <c r="J1891" s="21"/>
      <c r="K1891" s="24">
        <v>182</v>
      </c>
      <c r="L1891" s="24">
        <v>1092</v>
      </c>
      <c r="M1891" s="23">
        <v>93</v>
      </c>
      <c r="N1891" s="23"/>
      <c r="O1891" s="23">
        <v>20</v>
      </c>
      <c r="P1891" s="23"/>
      <c r="Q1891" s="23"/>
      <c r="R1891" s="23"/>
      <c r="S1891" s="23"/>
      <c r="T1891" s="23"/>
      <c r="U1891" s="23"/>
      <c r="V1891" s="23"/>
      <c r="W1891" s="23"/>
      <c r="X1891" s="23"/>
      <c r="Y1891" s="23">
        <v>39</v>
      </c>
      <c r="Z1891" s="23"/>
      <c r="AA1891" s="23">
        <v>30</v>
      </c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182</v>
      </c>
      <c r="AL1891" s="23"/>
      <c r="AM1891" s="23"/>
      <c r="AN1891" s="23"/>
      <c r="AO1891" s="23">
        <v>93</v>
      </c>
      <c r="AP1891" s="23">
        <v>39</v>
      </c>
      <c r="AQ1891" s="23">
        <v>30</v>
      </c>
      <c r="AR1891" s="23"/>
      <c r="AS1891" s="23"/>
      <c r="AT1891" s="23">
        <v>20</v>
      </c>
      <c r="AU1891" s="14" t="str">
        <f>HYPERLINK("http://www.openstreetmap.org/?mlat=36.302&amp;mlon=44.0292&amp;zoom=12#map=12/36.302/44.0292","Maplink1")</f>
        <v>Maplink1</v>
      </c>
      <c r="AV1891" s="14" t="str">
        <f>HYPERLINK("https://www.google.iq/maps/search/+36.302,44.0292/@36.302,44.0292,14z?hl=en","Maplink2")</f>
        <v>Maplink2</v>
      </c>
      <c r="AW1891" s="14" t="str">
        <f>HYPERLINK("http://www.bing.com/maps/?lvl=14&amp;sty=h&amp;cp=36.302~44.0292&amp;sp=point.36.302_44.0292_Harhsam 2","Maplink3")</f>
        <v>Maplink3</v>
      </c>
    </row>
    <row r="1892" spans="1:49" ht="15" customHeight="1" x14ac:dyDescent="0.25">
      <c r="A1892" s="21">
        <v>24418</v>
      </c>
      <c r="B1892" s="22" t="s">
        <v>15</v>
      </c>
      <c r="C1892" s="22" t="s">
        <v>15</v>
      </c>
      <c r="D1892" s="22" t="s">
        <v>3566</v>
      </c>
      <c r="E1892" s="22" t="s">
        <v>3567</v>
      </c>
      <c r="F1892" s="22">
        <v>36.294026700000003</v>
      </c>
      <c r="G1892" s="22">
        <v>44.020325839999998</v>
      </c>
      <c r="H1892" s="21" t="s">
        <v>3500</v>
      </c>
      <c r="I1892" s="21" t="s">
        <v>3501</v>
      </c>
      <c r="J1892" s="21"/>
      <c r="K1892" s="24">
        <v>215</v>
      </c>
      <c r="L1892" s="24">
        <v>1290</v>
      </c>
      <c r="M1892" s="23">
        <v>78</v>
      </c>
      <c r="N1892" s="23"/>
      <c r="O1892" s="23">
        <v>35</v>
      </c>
      <c r="P1892" s="23"/>
      <c r="Q1892" s="23"/>
      <c r="R1892" s="23"/>
      <c r="S1892" s="23"/>
      <c r="T1892" s="23"/>
      <c r="U1892" s="23"/>
      <c r="V1892" s="23"/>
      <c r="W1892" s="23"/>
      <c r="X1892" s="23"/>
      <c r="Y1892" s="23">
        <v>82</v>
      </c>
      <c r="Z1892" s="23"/>
      <c r="AA1892" s="23">
        <v>20</v>
      </c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>
        <v>215</v>
      </c>
      <c r="AL1892" s="23"/>
      <c r="AM1892" s="23"/>
      <c r="AN1892" s="23"/>
      <c r="AO1892" s="23">
        <v>17</v>
      </c>
      <c r="AP1892" s="23">
        <v>82</v>
      </c>
      <c r="AQ1892" s="23">
        <v>20</v>
      </c>
      <c r="AR1892" s="23"/>
      <c r="AS1892" s="23">
        <v>35</v>
      </c>
      <c r="AT1892" s="23">
        <v>61</v>
      </c>
      <c r="AU1892" s="14" t="str">
        <f>HYPERLINK("http://www.openstreetmap.org/?mlat=36.2983&amp;mlon=44.0307&amp;zoom=12#map=12/36.2983/44.0307","Maplink1")</f>
        <v>Maplink1</v>
      </c>
      <c r="AV1892" s="14" t="str">
        <f>HYPERLINK("https://www.google.iq/maps/search/+36.2983,44.0307/@36.2983,44.0307,14z?hl=en","Maplink2")</f>
        <v>Maplink2</v>
      </c>
      <c r="AW1892" s="14" t="str">
        <f>HYPERLINK("http://www.bing.com/maps/?lvl=14&amp;sty=h&amp;cp=36.2983~44.0307&amp;sp=point.36.2983_44.0307_Harhsam 3","Maplink3")</f>
        <v>Maplink3</v>
      </c>
    </row>
    <row r="1893" spans="1:49" ht="15" customHeight="1" x14ac:dyDescent="0.25">
      <c r="A1893" s="21">
        <v>24606</v>
      </c>
      <c r="B1893" s="22" t="s">
        <v>15</v>
      </c>
      <c r="C1893" s="22" t="s">
        <v>15</v>
      </c>
      <c r="D1893" s="22" t="s">
        <v>7327</v>
      </c>
      <c r="E1893" s="22" t="s">
        <v>8026</v>
      </c>
      <c r="F1893" s="22">
        <v>36.256399999999999</v>
      </c>
      <c r="G1893" s="22">
        <v>43.9953</v>
      </c>
      <c r="H1893" s="21" t="s">
        <v>3500</v>
      </c>
      <c r="I1893" s="21" t="s">
        <v>3501</v>
      </c>
      <c r="J1893" s="21"/>
      <c r="K1893" s="24">
        <v>294</v>
      </c>
      <c r="L1893" s="24">
        <v>1764</v>
      </c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>
        <v>294</v>
      </c>
      <c r="Z1893" s="23"/>
      <c r="AA1893" s="23"/>
      <c r="AB1893" s="23"/>
      <c r="AC1893" s="23"/>
      <c r="AD1893" s="23"/>
      <c r="AE1893" s="23">
        <v>294</v>
      </c>
      <c r="AF1893" s="23"/>
      <c r="AG1893" s="23"/>
      <c r="AH1893" s="23"/>
      <c r="AI1893" s="23"/>
      <c r="AJ1893" s="23"/>
      <c r="AK1893" s="23"/>
      <c r="AL1893" s="23"/>
      <c r="AM1893" s="23"/>
      <c r="AN1893" s="23"/>
      <c r="AO1893" s="23"/>
      <c r="AP1893" s="23"/>
      <c r="AQ1893" s="23">
        <v>294</v>
      </c>
      <c r="AR1893" s="23"/>
      <c r="AS1893" s="23"/>
      <c r="AT1893" s="23"/>
      <c r="AU1893" s="14" t="str">
        <f>HYPERLINK("http://www.openstreetmap.org/?mlat=36.2564&amp;mlon=43.9953&amp;zoom=12#map=12/36.2564/43.9953","Maplink1")</f>
        <v>Maplink1</v>
      </c>
      <c r="AV1893" s="14" t="str">
        <f>HYPERLINK("https://www.google.iq/maps/search/+36.2564,43.9953/@36.2564,43.9953,14z?hl=en","Maplink2")</f>
        <v>Maplink2</v>
      </c>
      <c r="AW1893" s="14" t="str">
        <f>HYPERLINK("http://www.bing.com/maps/?lvl=14&amp;sty=h&amp;cp=36.2564~43.9953&amp;sp=point.36.2564_43.9953_Harsham Camp (Al Bohoth Al zirayah old camp )","Maplink3")</f>
        <v>Maplink3</v>
      </c>
    </row>
    <row r="1894" spans="1:49" ht="15" customHeight="1" x14ac:dyDescent="0.25">
      <c r="A1894" s="21">
        <v>20790</v>
      </c>
      <c r="B1894" s="22" t="s">
        <v>15</v>
      </c>
      <c r="C1894" s="22" t="s">
        <v>15</v>
      </c>
      <c r="D1894" s="22" t="s">
        <v>3568</v>
      </c>
      <c r="E1894" s="22" t="s">
        <v>3569</v>
      </c>
      <c r="F1894" s="22">
        <v>36.192599999999999</v>
      </c>
      <c r="G1894" s="22">
        <v>44.044499999999999</v>
      </c>
      <c r="H1894" s="21" t="s">
        <v>3500</v>
      </c>
      <c r="I1894" s="21" t="s">
        <v>3501</v>
      </c>
      <c r="J1894" s="21" t="s">
        <v>3570</v>
      </c>
      <c r="K1894" s="24">
        <v>500</v>
      </c>
      <c r="L1894" s="24">
        <v>3000</v>
      </c>
      <c r="M1894" s="23">
        <v>387</v>
      </c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>
        <v>70</v>
      </c>
      <c r="Z1894" s="23"/>
      <c r="AA1894" s="23">
        <v>43</v>
      </c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>
        <v>500</v>
      </c>
      <c r="AL1894" s="23"/>
      <c r="AM1894" s="23"/>
      <c r="AN1894" s="23"/>
      <c r="AO1894" s="23">
        <v>260</v>
      </c>
      <c r="AP1894" s="23">
        <v>113</v>
      </c>
      <c r="AQ1894" s="23"/>
      <c r="AR1894" s="23"/>
      <c r="AS1894" s="23">
        <v>122</v>
      </c>
      <c r="AT1894" s="23">
        <v>5</v>
      </c>
      <c r="AU1894" s="14" t="str">
        <f>HYPERLINK("http://www.openstreetmap.org/?mlat=36.1926&amp;mlon=44.0445&amp;zoom=12#map=12/36.1926/44.0445","Maplink1")</f>
        <v>Maplink1</v>
      </c>
      <c r="AV1894" s="14" t="str">
        <f>HYPERLINK("https://www.google.iq/maps/search/+36.1926,44.0445/@36.1926,44.0445,14z?hl=en","Maplink2")</f>
        <v>Maplink2</v>
      </c>
      <c r="AW1894" s="14" t="str">
        <f>HYPERLINK("http://www.bing.com/maps/?lvl=14&amp;sty=h&amp;cp=36.1926~44.0445&amp;sp=point.36.1926_44.0445_Havalan","Maplink3")</f>
        <v>Maplink3</v>
      </c>
    </row>
    <row r="1895" spans="1:49" ht="15" customHeight="1" x14ac:dyDescent="0.25">
      <c r="A1895" s="21">
        <v>25473</v>
      </c>
      <c r="B1895" s="22" t="s">
        <v>15</v>
      </c>
      <c r="C1895" s="22" t="s">
        <v>15</v>
      </c>
      <c r="D1895" s="22" t="s">
        <v>3571</v>
      </c>
      <c r="E1895" s="22" t="s">
        <v>3572</v>
      </c>
      <c r="F1895" s="22">
        <v>36.185000000000002</v>
      </c>
      <c r="G1895" s="22">
        <v>44.126199999999997</v>
      </c>
      <c r="H1895" s="21" t="s">
        <v>3500</v>
      </c>
      <c r="I1895" s="21" t="s">
        <v>3501</v>
      </c>
      <c r="J1895" s="21"/>
      <c r="K1895" s="24">
        <v>61</v>
      </c>
      <c r="L1895" s="24">
        <v>366</v>
      </c>
      <c r="M1895" s="23">
        <v>37</v>
      </c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>
        <v>24</v>
      </c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>
        <v>61</v>
      </c>
      <c r="AL1895" s="23"/>
      <c r="AM1895" s="23"/>
      <c r="AN1895" s="23"/>
      <c r="AO1895" s="23">
        <v>17</v>
      </c>
      <c r="AP1895" s="23">
        <v>24</v>
      </c>
      <c r="AQ1895" s="23"/>
      <c r="AR1895" s="23"/>
      <c r="AS1895" s="23">
        <v>20</v>
      </c>
      <c r="AT1895" s="23"/>
      <c r="AU1895" s="14" t="str">
        <f>HYPERLINK("http://www.openstreetmap.org/?mlat=36.185&amp;mlon=44.1262&amp;zoom=12#map=12/36.185/44.1262","Maplink1")</f>
        <v>Maplink1</v>
      </c>
      <c r="AV1895" s="14" t="str">
        <f>HYPERLINK("https://www.google.iq/maps/search/+36.185,44.1262/@36.185,44.1262,14z?hl=en","Maplink2")</f>
        <v>Maplink2</v>
      </c>
      <c r="AW1895" s="14" t="str">
        <f>HYPERLINK("http://www.bing.com/maps/?lvl=14&amp;sty=h&amp;cp=36.185~44.1262&amp;sp=point.36.185_44.1262_Hawler city","Maplink3")</f>
        <v>Maplink3</v>
      </c>
    </row>
    <row r="1896" spans="1:49" ht="15" customHeight="1" x14ac:dyDescent="0.25">
      <c r="A1896" s="21">
        <v>27419</v>
      </c>
      <c r="B1896" s="22" t="s">
        <v>15</v>
      </c>
      <c r="C1896" s="22" t="s">
        <v>15</v>
      </c>
      <c r="D1896" s="22" t="s">
        <v>8784</v>
      </c>
      <c r="E1896" s="22" t="s">
        <v>3573</v>
      </c>
      <c r="F1896" s="22">
        <v>36.207999999999998</v>
      </c>
      <c r="G1896" s="22">
        <v>44.0762</v>
      </c>
      <c r="H1896" s="21" t="s">
        <v>3500</v>
      </c>
      <c r="I1896" s="21" t="s">
        <v>3501</v>
      </c>
      <c r="J1896" s="21"/>
      <c r="K1896" s="24">
        <v>510</v>
      </c>
      <c r="L1896" s="24">
        <v>3060</v>
      </c>
      <c r="M1896" s="23">
        <v>305</v>
      </c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>
        <v>187</v>
      </c>
      <c r="Z1896" s="23"/>
      <c r="AA1896" s="23">
        <v>18</v>
      </c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>
        <v>510</v>
      </c>
      <c r="AL1896" s="23"/>
      <c r="AM1896" s="23"/>
      <c r="AN1896" s="23"/>
      <c r="AO1896" s="23">
        <v>120</v>
      </c>
      <c r="AP1896" s="23">
        <v>187</v>
      </c>
      <c r="AQ1896" s="23">
        <v>18</v>
      </c>
      <c r="AR1896" s="23"/>
      <c r="AS1896" s="23">
        <v>185</v>
      </c>
      <c r="AT1896" s="23"/>
      <c r="AU1896" s="14" t="str">
        <f>HYPERLINK("http://www.openstreetmap.org/?mlat=36.208&amp;mlon=44.0762&amp;zoom=12#map=12/36.208/44.0762","Maplink1")</f>
        <v>Maplink1</v>
      </c>
      <c r="AV1896" s="14" t="str">
        <f>HYPERLINK("https://www.google.iq/maps/search/+36.208,44.0762/@36.208,44.0762,14z?hl=en","Maplink2")</f>
        <v>Maplink2</v>
      </c>
      <c r="AW1896" s="14" t="str">
        <f>HYPERLINK("http://www.bing.com/maps/?lvl=14&amp;sty=h&amp;cp=36.208~44.0762&amp;sp=point.36.208_44.0762_Hawler Nwi","Maplink3")</f>
        <v>Maplink3</v>
      </c>
    </row>
    <row r="1897" spans="1:49" ht="15" customHeight="1" x14ac:dyDescent="0.25">
      <c r="A1897" s="21">
        <v>13668</v>
      </c>
      <c r="B1897" s="22" t="s">
        <v>15</v>
      </c>
      <c r="C1897" s="22" t="s">
        <v>15</v>
      </c>
      <c r="D1897" s="22" t="s">
        <v>3574</v>
      </c>
      <c r="E1897" s="22" t="s">
        <v>3418</v>
      </c>
      <c r="F1897" s="22">
        <v>36.1661</v>
      </c>
      <c r="G1897" s="22">
        <v>43.964030000000001</v>
      </c>
      <c r="H1897" s="21" t="s">
        <v>3500</v>
      </c>
      <c r="I1897" s="21" t="s">
        <v>3501</v>
      </c>
      <c r="J1897" s="21" t="s">
        <v>3575</v>
      </c>
      <c r="K1897" s="24">
        <v>1100</v>
      </c>
      <c r="L1897" s="24">
        <v>6600</v>
      </c>
      <c r="M1897" s="23">
        <v>695</v>
      </c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>
        <v>405</v>
      </c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>
        <v>1100</v>
      </c>
      <c r="AL1897" s="23"/>
      <c r="AM1897" s="23"/>
      <c r="AN1897" s="23"/>
      <c r="AO1897" s="23">
        <v>417</v>
      </c>
      <c r="AP1897" s="23">
        <v>400</v>
      </c>
      <c r="AQ1897" s="23"/>
      <c r="AR1897" s="23"/>
      <c r="AS1897" s="23">
        <v>225</v>
      </c>
      <c r="AT1897" s="23">
        <v>58</v>
      </c>
      <c r="AU1897" s="14" t="str">
        <f>HYPERLINK("http://www.openstreetmap.org/?mlat=36.1661&amp;mlon=43.964&amp;zoom=12#map=12/36.1661/43.964","Maplink1")</f>
        <v>Maplink1</v>
      </c>
      <c r="AV1897" s="14" t="str">
        <f>HYPERLINK("https://www.google.iq/maps/search/+36.1661,43.964/@36.1661,43.964,14z?hl=en","Maplink2")</f>
        <v>Maplink2</v>
      </c>
      <c r="AW1897" s="14" t="str">
        <f>HYPERLINK("http://www.bing.com/maps/?lvl=14&amp;sty=h&amp;cp=36.1661~43.964&amp;sp=point.36.1661_43.964_Hay Askary","Maplink3")</f>
        <v>Maplink3</v>
      </c>
    </row>
    <row r="1898" spans="1:49" ht="15" customHeight="1" x14ac:dyDescent="0.25">
      <c r="A1898" s="21">
        <v>25470</v>
      </c>
      <c r="B1898" s="22" t="s">
        <v>15</v>
      </c>
      <c r="C1898" s="22" t="s">
        <v>15</v>
      </c>
      <c r="D1898" s="22" t="s">
        <v>8785</v>
      </c>
      <c r="E1898" s="22" t="s">
        <v>3576</v>
      </c>
      <c r="F1898" s="22">
        <v>36.166499999999999</v>
      </c>
      <c r="G1898" s="22">
        <v>44.126199999999997</v>
      </c>
      <c r="H1898" s="21" t="s">
        <v>3500</v>
      </c>
      <c r="I1898" s="21" t="s">
        <v>3501</v>
      </c>
      <c r="J1898" s="21"/>
      <c r="K1898" s="24">
        <v>250</v>
      </c>
      <c r="L1898" s="24">
        <v>1500</v>
      </c>
      <c r="M1898" s="23">
        <v>120</v>
      </c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>
        <v>70</v>
      </c>
      <c r="Z1898" s="23"/>
      <c r="AA1898" s="23">
        <v>60</v>
      </c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>
        <v>250</v>
      </c>
      <c r="AL1898" s="23"/>
      <c r="AM1898" s="23"/>
      <c r="AN1898" s="23"/>
      <c r="AO1898" s="23">
        <v>120</v>
      </c>
      <c r="AP1898" s="23">
        <v>70</v>
      </c>
      <c r="AQ1898" s="23">
        <v>60</v>
      </c>
      <c r="AR1898" s="23"/>
      <c r="AS1898" s="23"/>
      <c r="AT1898" s="23"/>
      <c r="AU1898" s="14" t="str">
        <f>HYPERLINK("http://www.openstreetmap.org/?mlat=36.1665&amp;mlon=44.1262&amp;zoom=12#map=12/36.1665/44.1262","Maplink1")</f>
        <v>Maplink1</v>
      </c>
      <c r="AV1898" s="14" t="str">
        <f>HYPERLINK("https://www.google.iq/maps/search/+36.1665,44.1262/@36.1665,44.1262,14z?hl=en","Maplink2")</f>
        <v>Maplink2</v>
      </c>
      <c r="AW1898" s="14" t="str">
        <f>HYPERLINK("http://www.bing.com/maps/?lvl=14&amp;sty=h&amp;cp=36.1665~44.1262&amp;sp=point.36.1665_44.1262_Hiran City","Maplink3")</f>
        <v>Maplink3</v>
      </c>
    </row>
    <row r="1899" spans="1:49" ht="15" customHeight="1" x14ac:dyDescent="0.25">
      <c r="A1899" s="21">
        <v>13686</v>
      </c>
      <c r="B1899" s="22" t="s">
        <v>15</v>
      </c>
      <c r="C1899" s="22" t="s">
        <v>15</v>
      </c>
      <c r="D1899" s="22" t="s">
        <v>3577</v>
      </c>
      <c r="E1899" s="22" t="s">
        <v>3578</v>
      </c>
      <c r="F1899" s="22">
        <v>36.227899999999998</v>
      </c>
      <c r="G1899" s="22">
        <v>43.988599999999998</v>
      </c>
      <c r="H1899" s="21" t="s">
        <v>3500</v>
      </c>
      <c r="I1899" s="21" t="s">
        <v>3501</v>
      </c>
      <c r="J1899" s="21" t="s">
        <v>3579</v>
      </c>
      <c r="K1899" s="24">
        <v>72</v>
      </c>
      <c r="L1899" s="24">
        <v>432</v>
      </c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>
        <v>72</v>
      </c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72</v>
      </c>
      <c r="AL1899" s="23"/>
      <c r="AM1899" s="23"/>
      <c r="AN1899" s="23"/>
      <c r="AO1899" s="23"/>
      <c r="AP1899" s="23">
        <v>57</v>
      </c>
      <c r="AQ1899" s="23">
        <v>15</v>
      </c>
      <c r="AR1899" s="23"/>
      <c r="AS1899" s="23"/>
      <c r="AT1899" s="23"/>
      <c r="AU1899" s="14" t="str">
        <f>HYPERLINK("http://www.openstreetmap.org/?mlat=36.2279&amp;mlon=43.9886&amp;zoom=12#map=12/36.2279/43.9886","Maplink1")</f>
        <v>Maplink1</v>
      </c>
      <c r="AV1899" s="14" t="str">
        <f>HYPERLINK("https://www.google.iq/maps/search/+36.2279,43.9886/@36.2279,43.9886,14z?hl=en","Maplink2")</f>
        <v>Maplink2</v>
      </c>
      <c r="AW1899" s="14" t="str">
        <f>HYPERLINK("http://www.bing.com/maps/?lvl=14&amp;sty=h&amp;cp=36.2279~43.9886&amp;sp=point.36.2279_43.9886_Ishtar","Maplink3")</f>
        <v>Maplink3</v>
      </c>
    </row>
    <row r="1900" spans="1:49" ht="15" customHeight="1" x14ac:dyDescent="0.25">
      <c r="A1900" s="21">
        <v>27131</v>
      </c>
      <c r="B1900" s="22" t="s">
        <v>15</v>
      </c>
      <c r="C1900" s="22" t="s">
        <v>15</v>
      </c>
      <c r="D1900" s="22" t="s">
        <v>3580</v>
      </c>
      <c r="E1900" s="22" t="s">
        <v>3581</v>
      </c>
      <c r="F1900" s="22">
        <v>36.222299999999997</v>
      </c>
      <c r="G1900" s="22">
        <v>43.991900000000001</v>
      </c>
      <c r="H1900" s="21" t="s">
        <v>3500</v>
      </c>
      <c r="I1900" s="21" t="s">
        <v>3501</v>
      </c>
      <c r="J1900" s="21"/>
      <c r="K1900" s="24">
        <v>48</v>
      </c>
      <c r="L1900" s="24">
        <v>288</v>
      </c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>
        <v>48</v>
      </c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/>
      <c r="AL1900" s="23">
        <v>48</v>
      </c>
      <c r="AM1900" s="23"/>
      <c r="AN1900" s="23"/>
      <c r="AO1900" s="23"/>
      <c r="AP1900" s="23"/>
      <c r="AQ1900" s="23">
        <v>48</v>
      </c>
      <c r="AR1900" s="23"/>
      <c r="AS1900" s="23"/>
      <c r="AT1900" s="23"/>
      <c r="AU1900" s="14" t="str">
        <f>HYPERLINK("http://www.openstreetmap.org/?mlat=36.2223&amp;mlon=43.9919&amp;zoom=12#map=12/36.2223/43.9919","Maplink1")</f>
        <v>Maplink1</v>
      </c>
      <c r="AV1900" s="14" t="str">
        <f>HYPERLINK("https://www.google.iq/maps/search/+36.2223,43.9919/@36.2223,43.9919,14z?hl=en","Maplink2")</f>
        <v>Maplink2</v>
      </c>
      <c r="AW1900" s="14" t="str">
        <f>HYPERLINK("http://www.bing.com/maps/?lvl=14&amp;sty=h&amp;cp=36.2223~43.9919&amp;sp=point.36.2223_43.9919_Ishtar School","Maplink3")</f>
        <v>Maplink3</v>
      </c>
    </row>
    <row r="1901" spans="1:49" ht="15" customHeight="1" x14ac:dyDescent="0.25">
      <c r="A1901" s="21">
        <v>25727</v>
      </c>
      <c r="B1901" s="22" t="s">
        <v>15</v>
      </c>
      <c r="C1901" s="22" t="s">
        <v>15</v>
      </c>
      <c r="D1901" s="22" t="s">
        <v>3582</v>
      </c>
      <c r="E1901" s="22" t="s">
        <v>3583</v>
      </c>
      <c r="F1901" s="22">
        <v>36.206000000000003</v>
      </c>
      <c r="G1901" s="22">
        <v>43.859000000000002</v>
      </c>
      <c r="H1901" s="21" t="s">
        <v>3500</v>
      </c>
      <c r="I1901" s="21" t="s">
        <v>3501</v>
      </c>
      <c r="J1901" s="21"/>
      <c r="K1901" s="24">
        <v>215</v>
      </c>
      <c r="L1901" s="24">
        <v>1290</v>
      </c>
      <c r="M1901" s="23">
        <v>21</v>
      </c>
      <c r="N1901" s="23"/>
      <c r="O1901" s="23"/>
      <c r="P1901" s="23"/>
      <c r="Q1901" s="23"/>
      <c r="R1901" s="23"/>
      <c r="S1901" s="23">
        <v>85</v>
      </c>
      <c r="T1901" s="23"/>
      <c r="U1901" s="23"/>
      <c r="V1901" s="23"/>
      <c r="W1901" s="23"/>
      <c r="X1901" s="23"/>
      <c r="Y1901" s="23">
        <v>109</v>
      </c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215</v>
      </c>
      <c r="AL1901" s="23"/>
      <c r="AM1901" s="23"/>
      <c r="AN1901" s="23"/>
      <c r="AO1901" s="23"/>
      <c r="AP1901" s="23">
        <v>109</v>
      </c>
      <c r="AQ1901" s="23"/>
      <c r="AR1901" s="23"/>
      <c r="AS1901" s="23">
        <v>21</v>
      </c>
      <c r="AT1901" s="23">
        <v>85</v>
      </c>
      <c r="AU1901" s="14" t="str">
        <f>HYPERLINK("http://www.openstreetmap.org/?mlat=36.206&amp;mlon=43.859&amp;zoom=12#map=12/36.206/43.859","Maplink1")</f>
        <v>Maplink1</v>
      </c>
      <c r="AV1901" s="14" t="str">
        <f>HYPERLINK("https://www.google.iq/maps/search/+36.206,43.859/@36.206,43.859,14z?hl=en","Maplink2")</f>
        <v>Maplink2</v>
      </c>
      <c r="AW1901" s="14" t="str">
        <f>HYPERLINK("http://www.bing.com/maps/?lvl=14&amp;sty=h&amp;cp=36.206~43.859&amp;sp=point.36.206_43.859_Kani Qarzhala","Maplink3")</f>
        <v>Maplink3</v>
      </c>
    </row>
    <row r="1902" spans="1:49" ht="15" customHeight="1" x14ac:dyDescent="0.25">
      <c r="A1902" s="21">
        <v>29557</v>
      </c>
      <c r="B1902" s="22" t="s">
        <v>15</v>
      </c>
      <c r="C1902" s="22" t="s">
        <v>15</v>
      </c>
      <c r="D1902" s="22" t="s">
        <v>3584</v>
      </c>
      <c r="E1902" s="22" t="s">
        <v>3585</v>
      </c>
      <c r="F1902" s="22">
        <v>36.183300000000003</v>
      </c>
      <c r="G1902" s="22">
        <v>44.1648</v>
      </c>
      <c r="H1902" s="21" t="s">
        <v>3500</v>
      </c>
      <c r="I1902" s="21" t="s">
        <v>3501</v>
      </c>
      <c r="J1902" s="21"/>
      <c r="K1902" s="24">
        <v>51</v>
      </c>
      <c r="L1902" s="24">
        <v>306</v>
      </c>
      <c r="M1902" s="23">
        <v>34</v>
      </c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>
        <v>17</v>
      </c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51</v>
      </c>
      <c r="AL1902" s="23"/>
      <c r="AM1902" s="23"/>
      <c r="AN1902" s="23"/>
      <c r="AO1902" s="23">
        <v>33</v>
      </c>
      <c r="AP1902" s="23"/>
      <c r="AQ1902" s="23">
        <v>18</v>
      </c>
      <c r="AR1902" s="23"/>
      <c r="AS1902" s="23"/>
      <c r="AT1902" s="23"/>
      <c r="AU1902" s="14" t="str">
        <f>HYPERLINK("http://www.openstreetmap.org/?mlat=36.1833&amp;mlon=44.1648&amp;zoom=12#map=12/36.1833/44.1648","Maplink1")</f>
        <v>Maplink1</v>
      </c>
      <c r="AV1902" s="14" t="str">
        <f>HYPERLINK("https://www.google.iq/maps/search/+36.1833,44.1648/@36.1833,44.1648,14z?hl=en","Maplink2")</f>
        <v>Maplink2</v>
      </c>
      <c r="AW1902" s="14" t="str">
        <f>HYPERLINK("http://www.bing.com/maps/?lvl=14&amp;sty=h&amp;cp=36.1833~44.1648&amp;sp=point.36.1833_44.1648","Maplink3")</f>
        <v>Maplink3</v>
      </c>
    </row>
    <row r="1903" spans="1:49" ht="15" customHeight="1" x14ac:dyDescent="0.25">
      <c r="A1903" s="21">
        <v>27152</v>
      </c>
      <c r="B1903" s="22" t="s">
        <v>15</v>
      </c>
      <c r="C1903" s="22" t="s">
        <v>15</v>
      </c>
      <c r="D1903" s="22" t="s">
        <v>3586</v>
      </c>
      <c r="E1903" s="22" t="s">
        <v>3587</v>
      </c>
      <c r="F1903" s="22">
        <v>36.226399999999998</v>
      </c>
      <c r="G1903" s="22">
        <v>43.996600000000001</v>
      </c>
      <c r="H1903" s="21" t="s">
        <v>3500</v>
      </c>
      <c r="I1903" s="21" t="s">
        <v>3501</v>
      </c>
      <c r="J1903" s="21"/>
      <c r="K1903" s="24">
        <v>480</v>
      </c>
      <c r="L1903" s="24">
        <v>2880</v>
      </c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>
        <v>480</v>
      </c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480</v>
      </c>
      <c r="AL1903" s="23"/>
      <c r="AM1903" s="23"/>
      <c r="AN1903" s="23"/>
      <c r="AO1903" s="23"/>
      <c r="AP1903" s="23">
        <v>480</v>
      </c>
      <c r="AQ1903" s="23"/>
      <c r="AR1903" s="23"/>
      <c r="AS1903" s="23"/>
      <c r="AT1903" s="23"/>
      <c r="AU1903" s="14" t="str">
        <f>HYPERLINK("http://www.openstreetmap.org/?mlat=36.2264&amp;mlon=43.9966&amp;zoom=12#map=12/36.2264/43.9966","Maplink1")</f>
        <v>Maplink1</v>
      </c>
      <c r="AV1903" s="14" t="str">
        <f>HYPERLINK("https://www.google.iq/maps/search/+36.2264,43.9966/@36.2264,43.9966,14z?hl=en","Maplink2")</f>
        <v>Maplink2</v>
      </c>
      <c r="AW1903" s="14" t="str">
        <f>HYPERLINK("http://www.bing.com/maps/?lvl=14&amp;sty=h&amp;cp=36.2264~43.9966&amp;sp=point.36.2264_43.9966_Karez","Maplink3")</f>
        <v>Maplink3</v>
      </c>
    </row>
    <row r="1904" spans="1:49" ht="15" customHeight="1" x14ac:dyDescent="0.25">
      <c r="A1904" s="21">
        <v>27421</v>
      </c>
      <c r="B1904" s="22" t="s">
        <v>15</v>
      </c>
      <c r="C1904" s="22" t="s">
        <v>15</v>
      </c>
      <c r="D1904" s="22" t="s">
        <v>3588</v>
      </c>
      <c r="E1904" s="22" t="s">
        <v>3589</v>
      </c>
      <c r="F1904" s="22">
        <v>36.17</v>
      </c>
      <c r="G1904" s="22">
        <v>44.054099999999998</v>
      </c>
      <c r="H1904" s="21" t="s">
        <v>3500</v>
      </c>
      <c r="I1904" s="21" t="s">
        <v>3501</v>
      </c>
      <c r="J1904" s="21"/>
      <c r="K1904" s="24">
        <v>164</v>
      </c>
      <c r="L1904" s="24">
        <v>984</v>
      </c>
      <c r="M1904" s="23">
        <v>77</v>
      </c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>
        <v>87</v>
      </c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164</v>
      </c>
      <c r="AL1904" s="23"/>
      <c r="AM1904" s="23"/>
      <c r="AN1904" s="23"/>
      <c r="AO1904" s="23">
        <v>37</v>
      </c>
      <c r="AP1904" s="23">
        <v>87</v>
      </c>
      <c r="AQ1904" s="23"/>
      <c r="AR1904" s="23"/>
      <c r="AS1904" s="23">
        <v>40</v>
      </c>
      <c r="AT1904" s="23"/>
      <c r="AU1904" s="14" t="str">
        <f>HYPERLINK("http://www.openstreetmap.org/?mlat=36.17&amp;mlon=44.0541&amp;zoom=12#map=12/36.17/44.0541","Maplink1")</f>
        <v>Maplink1</v>
      </c>
      <c r="AV1904" s="14" t="str">
        <f>HYPERLINK("https://www.google.iq/maps/search/+36.17,44.0541/@36.17,44.0541,14z?hl=en","Maplink2")</f>
        <v>Maplink2</v>
      </c>
      <c r="AW1904" s="14" t="str">
        <f>HYPERLINK("http://www.bing.com/maps/?lvl=14&amp;sty=h&amp;cp=36.17~44.0541&amp;sp=point.36.17_44.0541_Karizan","Maplink3")</f>
        <v>Maplink3</v>
      </c>
    </row>
    <row r="1905" spans="1:49" ht="15" customHeight="1" x14ac:dyDescent="0.25">
      <c r="A1905" s="21">
        <v>25840</v>
      </c>
      <c r="B1905" s="22" t="s">
        <v>15</v>
      </c>
      <c r="C1905" s="22" t="s">
        <v>15</v>
      </c>
      <c r="D1905" s="22" t="s">
        <v>3590</v>
      </c>
      <c r="E1905" s="22" t="s">
        <v>8786</v>
      </c>
      <c r="F1905" s="22">
        <v>36.208100000000002</v>
      </c>
      <c r="G1905" s="22">
        <v>44.149099999999997</v>
      </c>
      <c r="H1905" s="21" t="s">
        <v>3500</v>
      </c>
      <c r="I1905" s="21" t="s">
        <v>3501</v>
      </c>
      <c r="J1905" s="21"/>
      <c r="K1905" s="24">
        <v>120</v>
      </c>
      <c r="L1905" s="24">
        <v>720</v>
      </c>
      <c r="M1905" s="23">
        <v>120</v>
      </c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>
        <v>120</v>
      </c>
      <c r="AL1905" s="23"/>
      <c r="AM1905" s="23"/>
      <c r="AN1905" s="23"/>
      <c r="AO1905" s="23"/>
      <c r="AP1905" s="23"/>
      <c r="AQ1905" s="23"/>
      <c r="AR1905" s="23"/>
      <c r="AS1905" s="23">
        <v>120</v>
      </c>
      <c r="AT1905" s="23"/>
      <c r="AU1905" s="14" t="str">
        <f>HYPERLINK("http://www.openstreetmap.org/?mlat=36.2081&amp;mlon=44.1491&amp;zoom=12#map=12/36.2081/44.1491","Maplink1")</f>
        <v>Maplink1</v>
      </c>
      <c r="AV1905" s="14" t="str">
        <f>HYPERLINK("https://www.google.iq/maps/search/+36.2081,44.1491/@36.2081,44.1491,14z?hl=en","Maplink2")</f>
        <v>Maplink2</v>
      </c>
      <c r="AW1905" s="14" t="str">
        <f>HYPERLINK("http://www.bing.com/maps/?lvl=14&amp;sty=h&amp;cp=36.2081~44.1491&amp;sp=point.36.2081_44.1491_Kasnazan-1 Shubat","Maplink3")</f>
        <v>Maplink3</v>
      </c>
    </row>
    <row r="1906" spans="1:49" ht="15" customHeight="1" x14ac:dyDescent="0.25">
      <c r="A1906" s="21">
        <v>25630</v>
      </c>
      <c r="B1906" s="22" t="s">
        <v>15</v>
      </c>
      <c r="C1906" s="22" t="s">
        <v>15</v>
      </c>
      <c r="D1906" s="22" t="s">
        <v>3591</v>
      </c>
      <c r="E1906" s="22" t="s">
        <v>3592</v>
      </c>
      <c r="F1906" s="22">
        <v>35.979157600000001</v>
      </c>
      <c r="G1906" s="22">
        <v>44.038927919999999</v>
      </c>
      <c r="H1906" s="21" t="s">
        <v>3500</v>
      </c>
      <c r="I1906" s="21" t="s">
        <v>3501</v>
      </c>
      <c r="J1906" s="21"/>
      <c r="K1906" s="24">
        <v>363</v>
      </c>
      <c r="L1906" s="24">
        <v>2178</v>
      </c>
      <c r="M1906" s="23">
        <v>363</v>
      </c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363</v>
      </c>
      <c r="AL1906" s="23"/>
      <c r="AM1906" s="23"/>
      <c r="AN1906" s="23"/>
      <c r="AO1906" s="23"/>
      <c r="AP1906" s="23"/>
      <c r="AQ1906" s="23"/>
      <c r="AR1906" s="23"/>
      <c r="AS1906" s="23">
        <v>363</v>
      </c>
      <c r="AT1906" s="23"/>
      <c r="AU1906" s="14" t="str">
        <f>HYPERLINK("http://www.openstreetmap.org/?mlat=36.0037&amp;mlon=44.0328&amp;zoom=12#map=12/36.0037/44.0328","Maplink1")</f>
        <v>Maplink1</v>
      </c>
      <c r="AV1906" s="14" t="str">
        <f>HYPERLINK("https://www.google.iq/maps/search/+36.0037,44.0328/@36.0037,44.0328,14z?hl=en","Maplink2")</f>
        <v>Maplink2</v>
      </c>
      <c r="AW1906" s="14" t="str">
        <f>HYPERLINK("http://www.bing.com/maps/?lvl=14&amp;sty=h&amp;cp=36.0037~44.0328&amp;sp=point.36.0037_44.0328_Kawa Collective","Maplink3")</f>
        <v>Maplink3</v>
      </c>
    </row>
    <row r="1907" spans="1:49" ht="15" customHeight="1" x14ac:dyDescent="0.25">
      <c r="A1907" s="21">
        <v>13472</v>
      </c>
      <c r="B1907" s="22" t="s">
        <v>15</v>
      </c>
      <c r="C1907" s="22" t="s">
        <v>15</v>
      </c>
      <c r="D1907" s="22" t="s">
        <v>8787</v>
      </c>
      <c r="E1907" s="22" t="s">
        <v>8788</v>
      </c>
      <c r="F1907" s="22">
        <v>36.340000000000003</v>
      </c>
      <c r="G1907" s="22">
        <v>43.78</v>
      </c>
      <c r="H1907" s="21" t="s">
        <v>3500</v>
      </c>
      <c r="I1907" s="21" t="s">
        <v>3501</v>
      </c>
      <c r="J1907" s="21" t="s">
        <v>3593</v>
      </c>
      <c r="K1907" s="24">
        <v>277</v>
      </c>
      <c r="L1907" s="24">
        <v>1662</v>
      </c>
      <c r="M1907" s="23"/>
      <c r="N1907" s="23"/>
      <c r="O1907" s="23">
        <v>18</v>
      </c>
      <c r="P1907" s="23"/>
      <c r="Q1907" s="23"/>
      <c r="R1907" s="23"/>
      <c r="S1907" s="23">
        <v>4</v>
      </c>
      <c r="T1907" s="23"/>
      <c r="U1907" s="23"/>
      <c r="V1907" s="23"/>
      <c r="W1907" s="23"/>
      <c r="X1907" s="23"/>
      <c r="Y1907" s="23">
        <v>130</v>
      </c>
      <c r="Z1907" s="23"/>
      <c r="AA1907" s="23">
        <v>125</v>
      </c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>
        <v>277</v>
      </c>
      <c r="AL1907" s="23"/>
      <c r="AM1907" s="23"/>
      <c r="AN1907" s="23"/>
      <c r="AO1907" s="23"/>
      <c r="AP1907" s="23">
        <v>255</v>
      </c>
      <c r="AQ1907" s="23">
        <v>22</v>
      </c>
      <c r="AR1907" s="23"/>
      <c r="AS1907" s="23"/>
      <c r="AT1907" s="23"/>
      <c r="AU1907" s="14" t="str">
        <f>HYPERLINK("http://www.openstreetmap.org/?mlat=36.34&amp;mlon=43.78&amp;zoom=12#map=12/36.34/43.78","Maplink1")</f>
        <v>Maplink1</v>
      </c>
      <c r="AV1907" s="14" t="str">
        <f>HYPERLINK("https://www.google.iq/maps/search/+36.34,43.78/@36.34,43.78,14z?hl=en","Maplink2")</f>
        <v>Maplink2</v>
      </c>
      <c r="AW1907" s="14" t="str">
        <f>HYPERLINK("http://www.bing.com/maps/?lvl=14&amp;sty=h&amp;cp=36.34~43.78&amp;sp=point.36.34_43.78_Kawr Gosk collective","Maplink3")</f>
        <v>Maplink3</v>
      </c>
    </row>
    <row r="1908" spans="1:49" ht="15" customHeight="1" x14ac:dyDescent="0.25">
      <c r="A1908" s="21">
        <v>25730</v>
      </c>
      <c r="B1908" s="22" t="s">
        <v>15</v>
      </c>
      <c r="C1908" s="22" t="s">
        <v>15</v>
      </c>
      <c r="D1908" s="22" t="s">
        <v>8789</v>
      </c>
      <c r="E1908" s="22" t="s">
        <v>8790</v>
      </c>
      <c r="F1908" s="22">
        <v>36.3322</v>
      </c>
      <c r="G1908" s="22">
        <v>44.162100000000002</v>
      </c>
      <c r="H1908" s="21" t="s">
        <v>3500</v>
      </c>
      <c r="I1908" s="21" t="s">
        <v>3501</v>
      </c>
      <c r="J1908" s="21"/>
      <c r="K1908" s="24">
        <v>40</v>
      </c>
      <c r="L1908" s="24">
        <v>240</v>
      </c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>
        <v>40</v>
      </c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40</v>
      </c>
      <c r="AL1908" s="23"/>
      <c r="AM1908" s="23"/>
      <c r="AN1908" s="23"/>
      <c r="AO1908" s="23"/>
      <c r="AP1908" s="23"/>
      <c r="AQ1908" s="23">
        <v>40</v>
      </c>
      <c r="AR1908" s="23"/>
      <c r="AS1908" s="23"/>
      <c r="AT1908" s="23"/>
      <c r="AU1908" s="14" t="str">
        <f>HYPERLINK("http://www.openstreetmap.org/?mlat=36.3322&amp;mlon=44.1621&amp;zoom=12#map=12/36.3322/44.1621","Maplink1")</f>
        <v>Maplink1</v>
      </c>
      <c r="AV1908" s="14" t="str">
        <f>HYPERLINK("https://www.google.iq/maps/search/+36.3322,44.1621/@36.3322,44.1621,14z?hl=en","Maplink2")</f>
        <v>Maplink2</v>
      </c>
      <c r="AW1908" s="14" t="str">
        <f>HYPERLINK("http://www.bing.com/maps/?lvl=14&amp;sty=h&amp;cp=36.3322~44.1621&amp;sp=point.36.3322_44.1621_Kawergosik-Bastora","Maplink3")</f>
        <v>Maplink3</v>
      </c>
    </row>
    <row r="1909" spans="1:49" ht="15" customHeight="1" x14ac:dyDescent="0.25">
      <c r="A1909" s="21">
        <v>25729</v>
      </c>
      <c r="B1909" s="22" t="s">
        <v>15</v>
      </c>
      <c r="C1909" s="22" t="s">
        <v>15</v>
      </c>
      <c r="D1909" s="22" t="s">
        <v>8791</v>
      </c>
      <c r="E1909" s="22" t="s">
        <v>8792</v>
      </c>
      <c r="F1909" s="22">
        <v>36.4193</v>
      </c>
      <c r="G1909" s="22">
        <v>43.962600000000002</v>
      </c>
      <c r="H1909" s="21" t="s">
        <v>3500</v>
      </c>
      <c r="I1909" s="21" t="s">
        <v>3501</v>
      </c>
      <c r="J1909" s="21"/>
      <c r="K1909" s="24">
        <v>42</v>
      </c>
      <c r="L1909" s="24">
        <v>252</v>
      </c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>
        <v>42</v>
      </c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42</v>
      </c>
      <c r="AL1909" s="23"/>
      <c r="AM1909" s="23"/>
      <c r="AN1909" s="23"/>
      <c r="AO1909" s="23"/>
      <c r="AP1909" s="23"/>
      <c r="AQ1909" s="23">
        <v>42</v>
      </c>
      <c r="AR1909" s="23"/>
      <c r="AS1909" s="23"/>
      <c r="AT1909" s="23"/>
      <c r="AU1909" s="14" t="str">
        <f>HYPERLINK("http://www.openstreetmap.org/?mlat=36.4193&amp;mlon=43.9626&amp;zoom=12#map=12/36.4193/43.9626","Maplink1")</f>
        <v>Maplink1</v>
      </c>
      <c r="AV1909" s="14" t="str">
        <f>HYPERLINK("https://www.google.iq/maps/search/+36.4193,43.9626/@36.4193,43.9626,14z?hl=en","Maplink2")</f>
        <v>Maplink2</v>
      </c>
      <c r="AW1909" s="14" t="str">
        <f>HYPERLINK("http://www.bing.com/maps/?lvl=14&amp;sty=h&amp;cp=36.4193~43.9626&amp;sp=point.36.4193_43.9626_Kawergosik-Darashakran","Maplink3")</f>
        <v>Maplink3</v>
      </c>
    </row>
    <row r="1910" spans="1:49" ht="15" customHeight="1" x14ac:dyDescent="0.25">
      <c r="A1910" s="21">
        <v>27227</v>
      </c>
      <c r="B1910" s="22" t="s">
        <v>15</v>
      </c>
      <c r="C1910" s="22" t="s">
        <v>15</v>
      </c>
      <c r="D1910" s="22" t="s">
        <v>3594</v>
      </c>
      <c r="E1910" s="22" t="s">
        <v>3595</v>
      </c>
      <c r="F1910" s="22">
        <v>36.184103800000003</v>
      </c>
      <c r="G1910" s="22">
        <v>44.035230900000002</v>
      </c>
      <c r="H1910" s="21"/>
      <c r="I1910" s="21"/>
      <c r="J1910" s="21"/>
      <c r="K1910" s="24">
        <v>73</v>
      </c>
      <c r="L1910" s="24">
        <v>438</v>
      </c>
      <c r="M1910" s="23">
        <v>26</v>
      </c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>
        <v>47</v>
      </c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73</v>
      </c>
      <c r="AL1910" s="23"/>
      <c r="AM1910" s="23"/>
      <c r="AN1910" s="23"/>
      <c r="AO1910" s="23"/>
      <c r="AP1910" s="23">
        <v>47</v>
      </c>
      <c r="AQ1910" s="23"/>
      <c r="AR1910" s="23"/>
      <c r="AS1910" s="23">
        <v>26</v>
      </c>
      <c r="AT1910" s="23"/>
      <c r="AU1910" s="14" t="str">
        <f>HYPERLINK("http://www.openstreetmap.org/?mlat=36.16&amp;mlon=43.4&amp;zoom=12#map=12/36.16/43.4","Maplink1")</f>
        <v>Maplink1</v>
      </c>
      <c r="AV1910" s="14" t="str">
        <f>HYPERLINK("https://www.google.iq/maps/search/+36.16,43.4/@36.16,43.4,14z?hl=en","Maplink2")</f>
        <v>Maplink2</v>
      </c>
      <c r="AW1910" s="14" t="str">
        <f>HYPERLINK("http://www.bing.com/maps/?lvl=14&amp;sty=h&amp;cp=36.16~43.4&amp;sp=point.36.16_43.4_Khabat","Maplink3")</f>
        <v>Maplink3</v>
      </c>
    </row>
    <row r="1911" spans="1:49" ht="15" customHeight="1" x14ac:dyDescent="0.25">
      <c r="A1911" s="21">
        <v>12821</v>
      </c>
      <c r="B1911" s="22" t="s">
        <v>15</v>
      </c>
      <c r="C1911" s="22" t="s">
        <v>15</v>
      </c>
      <c r="D1911" s="22" t="s">
        <v>3594</v>
      </c>
      <c r="E1911" s="22" t="s">
        <v>3595</v>
      </c>
      <c r="F1911" s="22">
        <v>36.26</v>
      </c>
      <c r="G1911" s="22">
        <v>43.66</v>
      </c>
      <c r="H1911" s="21" t="s">
        <v>3500</v>
      </c>
      <c r="I1911" s="21" t="s">
        <v>3501</v>
      </c>
      <c r="J1911" s="21" t="s">
        <v>3596</v>
      </c>
      <c r="K1911" s="24">
        <v>4800</v>
      </c>
      <c r="L1911" s="24">
        <v>28800</v>
      </c>
      <c r="M1911" s="23">
        <v>1374</v>
      </c>
      <c r="N1911" s="23"/>
      <c r="O1911" s="23">
        <v>47</v>
      </c>
      <c r="P1911" s="23"/>
      <c r="Q1911" s="23"/>
      <c r="R1911" s="23"/>
      <c r="S1911" s="23">
        <v>305</v>
      </c>
      <c r="T1911" s="23"/>
      <c r="U1911" s="23">
        <v>25</v>
      </c>
      <c r="V1911" s="23"/>
      <c r="W1911" s="23"/>
      <c r="X1911" s="23"/>
      <c r="Y1911" s="23">
        <v>3049</v>
      </c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4800</v>
      </c>
      <c r="AL1911" s="23"/>
      <c r="AM1911" s="23"/>
      <c r="AN1911" s="23"/>
      <c r="AO1911" s="23">
        <v>553</v>
      </c>
      <c r="AP1911" s="23">
        <v>3049</v>
      </c>
      <c r="AQ1911" s="23">
        <v>377</v>
      </c>
      <c r="AR1911" s="23"/>
      <c r="AS1911" s="23">
        <v>821</v>
      </c>
      <c r="AT1911" s="23"/>
      <c r="AU1911" s="14" t="str">
        <f>HYPERLINK("http://www.openstreetmap.org/?mlat=36.26&amp;mlon=43.66&amp;zoom=12#map=12/36.26/43.66","Maplink1")</f>
        <v>Maplink1</v>
      </c>
      <c r="AV1911" s="14" t="str">
        <f>HYPERLINK("https://www.google.iq/maps/search/+36.26,43.66/@36.26,43.66,14z?hl=en","Maplink2")</f>
        <v>Maplink2</v>
      </c>
      <c r="AW1911" s="14" t="str">
        <f>HYPERLINK("http://www.bing.com/maps/?lvl=14&amp;sty=h&amp;cp=36.26~43.66&amp;sp=point.36.26_43.66_Khabat","Maplink3")</f>
        <v>Maplink3</v>
      </c>
    </row>
    <row r="1912" spans="1:49" ht="15" customHeight="1" x14ac:dyDescent="0.25">
      <c r="A1912" s="21">
        <v>21549</v>
      </c>
      <c r="B1912" s="22" t="s">
        <v>15</v>
      </c>
      <c r="C1912" s="22" t="s">
        <v>15</v>
      </c>
      <c r="D1912" s="22" t="s">
        <v>3598</v>
      </c>
      <c r="E1912" s="22" t="s">
        <v>3599</v>
      </c>
      <c r="F1912" s="22">
        <v>36.208199999999998</v>
      </c>
      <c r="G1912" s="22">
        <v>44.145479999999999</v>
      </c>
      <c r="H1912" s="21" t="s">
        <v>3500</v>
      </c>
      <c r="I1912" s="21" t="s">
        <v>3501</v>
      </c>
      <c r="J1912" s="21" t="s">
        <v>3600</v>
      </c>
      <c r="K1912" s="24">
        <v>153</v>
      </c>
      <c r="L1912" s="24">
        <v>918</v>
      </c>
      <c r="M1912" s="23">
        <v>100</v>
      </c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>
        <v>53</v>
      </c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>
        <v>153</v>
      </c>
      <c r="AL1912" s="23"/>
      <c r="AM1912" s="23"/>
      <c r="AN1912" s="23"/>
      <c r="AO1912" s="23">
        <v>100</v>
      </c>
      <c r="AP1912" s="23">
        <v>53</v>
      </c>
      <c r="AQ1912" s="23"/>
      <c r="AR1912" s="23"/>
      <c r="AS1912" s="23"/>
      <c r="AT1912" s="23"/>
      <c r="AU1912" s="14" t="str">
        <f>HYPERLINK("http://www.openstreetmap.org/?mlat=36.2082&amp;mlon=44.1455&amp;zoom=12#map=12/36.2082/44.1455","Maplink1")</f>
        <v>Maplink1</v>
      </c>
      <c r="AV1912" s="14" t="str">
        <f>HYPERLINK("https://www.google.iq/maps/search/+36.2082,44.1455/@36.2082,44.1455,14z?hl=en","Maplink2")</f>
        <v>Maplink2</v>
      </c>
      <c r="AW1912" s="14" t="str">
        <f>HYPERLINK("http://www.bing.com/maps/?lvl=14&amp;sty=h&amp;cp=36.2082~44.1455&amp;sp=point.36.2082_44.1455_Khoragr","Maplink3")</f>
        <v>Maplink3</v>
      </c>
    </row>
    <row r="1913" spans="1:49" ht="15" customHeight="1" x14ac:dyDescent="0.25">
      <c r="A1913" s="21">
        <v>21671</v>
      </c>
      <c r="B1913" s="22" t="s">
        <v>15</v>
      </c>
      <c r="C1913" s="22" t="s">
        <v>15</v>
      </c>
      <c r="D1913" s="22" t="s">
        <v>3601</v>
      </c>
      <c r="E1913" s="22" t="s">
        <v>3810</v>
      </c>
      <c r="F1913" s="22">
        <v>36.497277609999998</v>
      </c>
      <c r="G1913" s="22">
        <v>44.354628740000003</v>
      </c>
      <c r="H1913" s="21" t="s">
        <v>3500</v>
      </c>
      <c r="I1913" s="21" t="s">
        <v>3501</v>
      </c>
      <c r="J1913" s="21" t="s">
        <v>3602</v>
      </c>
      <c r="K1913" s="24">
        <v>166</v>
      </c>
      <c r="L1913" s="24">
        <v>996</v>
      </c>
      <c r="M1913" s="23">
        <v>106</v>
      </c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>
        <v>60</v>
      </c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>
        <v>166</v>
      </c>
      <c r="AL1913" s="23"/>
      <c r="AM1913" s="23"/>
      <c r="AN1913" s="23"/>
      <c r="AO1913" s="23">
        <v>80</v>
      </c>
      <c r="AP1913" s="23">
        <v>60</v>
      </c>
      <c r="AQ1913" s="23"/>
      <c r="AR1913" s="23"/>
      <c r="AS1913" s="23">
        <v>26</v>
      </c>
      <c r="AT1913" s="23"/>
      <c r="AU1913" s="14" t="str">
        <f>HYPERLINK("http://www.openstreetmap.org/?mlat=36.1243&amp;mlon=44.0547&amp;zoom=12#map=12/36.1243/44.0547","Maplink1")</f>
        <v>Maplink1</v>
      </c>
      <c r="AV1913" s="14" t="str">
        <f>HYPERLINK("https://www.google.iq/maps/search/+36.1243,44.0547/@36.1243,44.0547,14z?hl=en","Maplink2")</f>
        <v>Maplink2</v>
      </c>
      <c r="AW1913" s="14" t="str">
        <f>HYPERLINK("http://www.bing.com/maps/?lvl=14&amp;sty=h&amp;cp=36.1243~44.0547&amp;sp=point.36.1243_44.0547_Kurd Stan","Maplink3")</f>
        <v>Maplink3</v>
      </c>
    </row>
    <row r="1914" spans="1:49" ht="15" customHeight="1" x14ac:dyDescent="0.25">
      <c r="A1914" s="21">
        <v>23931</v>
      </c>
      <c r="B1914" s="22" t="s">
        <v>15</v>
      </c>
      <c r="C1914" s="22" t="s">
        <v>15</v>
      </c>
      <c r="D1914" s="22" t="s">
        <v>3603</v>
      </c>
      <c r="E1914" s="22" t="s">
        <v>3604</v>
      </c>
      <c r="F1914" s="22">
        <v>36.186137000000002</v>
      </c>
      <c r="G1914" s="22">
        <v>44.123479529999997</v>
      </c>
      <c r="H1914" s="21" t="s">
        <v>3500</v>
      </c>
      <c r="I1914" s="21" t="s">
        <v>3501</v>
      </c>
      <c r="J1914" s="21" t="s">
        <v>3605</v>
      </c>
      <c r="K1914" s="24">
        <v>382</v>
      </c>
      <c r="L1914" s="24">
        <v>2292</v>
      </c>
      <c r="M1914" s="23">
        <v>217</v>
      </c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>
        <v>101</v>
      </c>
      <c r="Z1914" s="23"/>
      <c r="AA1914" s="23">
        <v>64</v>
      </c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382</v>
      </c>
      <c r="AL1914" s="23"/>
      <c r="AM1914" s="23"/>
      <c r="AN1914" s="23"/>
      <c r="AO1914" s="23">
        <v>217</v>
      </c>
      <c r="AP1914" s="23">
        <v>101</v>
      </c>
      <c r="AQ1914" s="23">
        <v>64</v>
      </c>
      <c r="AR1914" s="23"/>
      <c r="AS1914" s="23"/>
      <c r="AT1914" s="23"/>
      <c r="AU1914" s="14" t="str">
        <f>HYPERLINK("http://www.openstreetmap.org/?mlat=36.1812&amp;mlon=44.1365&amp;zoom=12#map=12/36.1812/44.1365","Maplink1")</f>
        <v>Maplink1</v>
      </c>
      <c r="AV1914" s="14" t="str">
        <f>HYPERLINK("https://www.google.iq/maps/search/+36.1812,44.1365/@36.1812,44.1365,14z?hl=en","Maplink2")</f>
        <v>Maplink2</v>
      </c>
      <c r="AW1914" s="14" t="str">
        <f>HYPERLINK("http://www.bing.com/maps/?lvl=14&amp;sty=h&amp;cp=36.1812~44.1365&amp;sp=point.36.1812_44.1365_Lawan city","Maplink3")</f>
        <v>Maplink3</v>
      </c>
    </row>
    <row r="1915" spans="1:49" ht="15" customHeight="1" x14ac:dyDescent="0.25">
      <c r="A1915" s="21">
        <v>27136</v>
      </c>
      <c r="B1915" s="22" t="s">
        <v>15</v>
      </c>
      <c r="C1915" s="22" t="s">
        <v>15</v>
      </c>
      <c r="D1915" s="22" t="s">
        <v>3606</v>
      </c>
      <c r="E1915" s="22" t="s">
        <v>3607</v>
      </c>
      <c r="F1915" s="22">
        <v>36.259705400000001</v>
      </c>
      <c r="G1915" s="22">
        <v>44.011749000000002</v>
      </c>
      <c r="H1915" s="21" t="s">
        <v>3500</v>
      </c>
      <c r="I1915" s="21" t="s">
        <v>3501</v>
      </c>
      <c r="J1915" s="21"/>
      <c r="K1915" s="24">
        <v>67</v>
      </c>
      <c r="L1915" s="24">
        <v>402</v>
      </c>
      <c r="M1915" s="23">
        <v>8</v>
      </c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>
        <v>59</v>
      </c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67</v>
      </c>
      <c r="AL1915" s="23"/>
      <c r="AM1915" s="23"/>
      <c r="AN1915" s="23"/>
      <c r="AO1915" s="23"/>
      <c r="AP1915" s="23">
        <v>59</v>
      </c>
      <c r="AQ1915" s="23"/>
      <c r="AR1915" s="23"/>
      <c r="AS1915" s="23"/>
      <c r="AT1915" s="23">
        <v>8</v>
      </c>
      <c r="AU1915" s="14" t="str">
        <f>HYPERLINK("http://www.openstreetmap.org/?mlat=36.2621&amp;mlon=43.997&amp;zoom=12#map=12/36.2621/43.997","Maplink1")</f>
        <v>Maplink1</v>
      </c>
      <c r="AV1915" s="14" t="str">
        <f>HYPERLINK("https://www.google.iq/maps/search/+36.2621,43.997/@36.2621,43.997,14z?hl=en","Maplink2")</f>
        <v>Maplink2</v>
      </c>
      <c r="AW1915" s="14" t="str">
        <f>HYPERLINK("http://www.bing.com/maps/?lvl=14&amp;sty=h&amp;cp=36.2621~43.997&amp;sp=point.36.2621_43.997_Lebanon Village","Maplink3")</f>
        <v>Maplink3</v>
      </c>
    </row>
    <row r="1916" spans="1:49" ht="15" customHeight="1" x14ac:dyDescent="0.25">
      <c r="A1916" s="21">
        <v>12825</v>
      </c>
      <c r="B1916" s="22" t="s">
        <v>15</v>
      </c>
      <c r="C1916" s="22" t="s">
        <v>15</v>
      </c>
      <c r="D1916" s="22" t="s">
        <v>3608</v>
      </c>
      <c r="E1916" s="22" t="s">
        <v>3609</v>
      </c>
      <c r="F1916" s="22">
        <v>36.30014912</v>
      </c>
      <c r="G1916" s="22">
        <v>44.135655559999996</v>
      </c>
      <c r="H1916" s="21" t="s">
        <v>3500</v>
      </c>
      <c r="I1916" s="21" t="s">
        <v>3501</v>
      </c>
      <c r="J1916" s="21" t="s">
        <v>3610</v>
      </c>
      <c r="K1916" s="24">
        <v>562</v>
      </c>
      <c r="L1916" s="24">
        <v>3372</v>
      </c>
      <c r="M1916" s="23">
        <v>231</v>
      </c>
      <c r="N1916" s="23"/>
      <c r="O1916" s="23"/>
      <c r="P1916" s="23"/>
      <c r="Q1916" s="23"/>
      <c r="R1916" s="23"/>
      <c r="S1916" s="23">
        <v>45</v>
      </c>
      <c r="T1916" s="23"/>
      <c r="U1916" s="23"/>
      <c r="V1916" s="23"/>
      <c r="W1916" s="23"/>
      <c r="X1916" s="23"/>
      <c r="Y1916" s="23">
        <v>123</v>
      </c>
      <c r="Z1916" s="23"/>
      <c r="AA1916" s="23">
        <v>163</v>
      </c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562</v>
      </c>
      <c r="AL1916" s="23"/>
      <c r="AM1916" s="23"/>
      <c r="AN1916" s="23"/>
      <c r="AO1916" s="23">
        <v>118</v>
      </c>
      <c r="AP1916" s="23">
        <v>123</v>
      </c>
      <c r="AQ1916" s="23">
        <v>163</v>
      </c>
      <c r="AR1916" s="23">
        <v>45</v>
      </c>
      <c r="AS1916" s="23">
        <v>113</v>
      </c>
      <c r="AT1916" s="23"/>
      <c r="AU1916" s="14" t="str">
        <f>HYPERLINK("http://www.openstreetmap.org/?mlat=36.29&amp;mlon=44.13&amp;zoom=12#map=12/36.29/44.13","Maplink1")</f>
        <v>Maplink1</v>
      </c>
      <c r="AV1916" s="14" t="str">
        <f>HYPERLINK("https://www.google.iq/maps/search/+36.29,44.13/@36.29,44.13,14z?hl=en","Maplink2")</f>
        <v>Maplink2</v>
      </c>
      <c r="AW1916" s="14" t="str">
        <f>HYPERLINK("http://www.bing.com/maps/?lvl=14&amp;sty=h&amp;cp=36.29~44.13&amp;sp=point.36.29_44.13_Mala Omar","Maplink3")</f>
        <v>Maplink3</v>
      </c>
    </row>
    <row r="1917" spans="1:49" ht="15" customHeight="1" x14ac:dyDescent="0.25">
      <c r="A1917" s="21">
        <v>21247</v>
      </c>
      <c r="B1917" s="22" t="s">
        <v>15</v>
      </c>
      <c r="C1917" s="22" t="s">
        <v>15</v>
      </c>
      <c r="D1917" s="22" t="s">
        <v>3611</v>
      </c>
      <c r="E1917" s="22" t="s">
        <v>3485</v>
      </c>
      <c r="F1917" s="22">
        <v>36.149308699999999</v>
      </c>
      <c r="G1917" s="22">
        <v>44.034713719999999</v>
      </c>
      <c r="H1917" s="21" t="s">
        <v>3500</v>
      </c>
      <c r="I1917" s="21" t="s">
        <v>3501</v>
      </c>
      <c r="J1917" s="21" t="s">
        <v>3612</v>
      </c>
      <c r="K1917" s="24">
        <v>580</v>
      </c>
      <c r="L1917" s="24">
        <v>3480</v>
      </c>
      <c r="M1917" s="23">
        <v>345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>
        <v>137</v>
      </c>
      <c r="Z1917" s="23"/>
      <c r="AA1917" s="23">
        <v>98</v>
      </c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580</v>
      </c>
      <c r="AL1917" s="23"/>
      <c r="AM1917" s="23"/>
      <c r="AN1917" s="23"/>
      <c r="AO1917" s="23">
        <v>185</v>
      </c>
      <c r="AP1917" s="23">
        <v>235</v>
      </c>
      <c r="AQ1917" s="23"/>
      <c r="AR1917" s="23"/>
      <c r="AS1917" s="23">
        <v>160</v>
      </c>
      <c r="AT1917" s="23"/>
      <c r="AU1917" s="14" t="str">
        <f>HYPERLINK("http://www.openstreetmap.org/?mlat=36.1872&amp;mlon=44.0486&amp;zoom=12#map=12/36.1872/44.0486","Maplink1")</f>
        <v>Maplink1</v>
      </c>
      <c r="AV1917" s="14" t="str">
        <f>HYPERLINK("https://www.google.iq/maps/search/+36.1872,44.0486/@36.1872,44.0486,14z?hl=en","Maplink2")</f>
        <v>Maplink2</v>
      </c>
      <c r="AW1917" s="14" t="str">
        <f>HYPERLINK("http://www.bing.com/maps/?lvl=14&amp;sty=h&amp;cp=36.1872~44.0486&amp;sp=point.36.1872_44.0486_Mamostayan","Maplink3")</f>
        <v>Maplink3</v>
      </c>
    </row>
    <row r="1918" spans="1:49" ht="15" customHeight="1" x14ac:dyDescent="0.25">
      <c r="A1918" s="21">
        <v>12826</v>
      </c>
      <c r="B1918" s="22" t="s">
        <v>15</v>
      </c>
      <c r="C1918" s="22" t="s">
        <v>15</v>
      </c>
      <c r="D1918" s="22" t="s">
        <v>3613</v>
      </c>
      <c r="E1918" s="22" t="s">
        <v>3614</v>
      </c>
      <c r="F1918" s="22">
        <v>36.119092369999997</v>
      </c>
      <c r="G1918" s="22">
        <v>43.968822320000001</v>
      </c>
      <c r="H1918" s="21" t="s">
        <v>3500</v>
      </c>
      <c r="I1918" s="21" t="s">
        <v>3501</v>
      </c>
      <c r="J1918" s="21" t="s">
        <v>3615</v>
      </c>
      <c r="K1918" s="24">
        <v>1285</v>
      </c>
      <c r="L1918" s="24">
        <v>7710</v>
      </c>
      <c r="M1918" s="23">
        <v>391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>
        <v>832</v>
      </c>
      <c r="Z1918" s="23"/>
      <c r="AA1918" s="23">
        <v>62</v>
      </c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1285</v>
      </c>
      <c r="AL1918" s="23"/>
      <c r="AM1918" s="23"/>
      <c r="AN1918" s="23"/>
      <c r="AO1918" s="23">
        <v>168</v>
      </c>
      <c r="AP1918" s="23">
        <v>832</v>
      </c>
      <c r="AQ1918" s="23">
        <v>62</v>
      </c>
      <c r="AR1918" s="23"/>
      <c r="AS1918" s="23">
        <v>148</v>
      </c>
      <c r="AT1918" s="23">
        <v>75</v>
      </c>
      <c r="AU1918" s="14" t="str">
        <f>HYPERLINK("http://www.openstreetmap.org/?mlat=36.11&amp;mlon=43.96&amp;zoom=12#map=12/36.11/43.96","Maplink1")</f>
        <v>Maplink1</v>
      </c>
      <c r="AV1918" s="14" t="str">
        <f>HYPERLINK("https://www.google.iq/maps/search/+36.11,43.96/@36.11,43.96,14z?hl=en","Maplink2")</f>
        <v>Maplink2</v>
      </c>
      <c r="AW1918" s="14" t="str">
        <f>HYPERLINK("http://www.bing.com/maps/?lvl=14&amp;sty=h&amp;cp=36.11~43.96&amp;sp=point.36.11_43.96_Mamzawa","Maplink3")</f>
        <v>Maplink3</v>
      </c>
    </row>
    <row r="1919" spans="1:49" ht="15" customHeight="1" x14ac:dyDescent="0.25">
      <c r="A1919" s="21">
        <v>11832</v>
      </c>
      <c r="B1919" s="22" t="s">
        <v>15</v>
      </c>
      <c r="C1919" s="22" t="s">
        <v>15</v>
      </c>
      <c r="D1919" s="22" t="s">
        <v>3616</v>
      </c>
      <c r="E1919" s="22" t="s">
        <v>3617</v>
      </c>
      <c r="F1919" s="22">
        <v>36.195</v>
      </c>
      <c r="G1919" s="22">
        <v>43.998800000000003</v>
      </c>
      <c r="H1919" s="21"/>
      <c r="I1919" s="21"/>
      <c r="J1919" s="21" t="s">
        <v>3618</v>
      </c>
      <c r="K1919" s="24">
        <v>432</v>
      </c>
      <c r="L1919" s="24">
        <v>2592</v>
      </c>
      <c r="M1919" s="23">
        <v>257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>
        <v>68</v>
      </c>
      <c r="Z1919" s="23"/>
      <c r="AA1919" s="23">
        <v>107</v>
      </c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432</v>
      </c>
      <c r="AL1919" s="23"/>
      <c r="AM1919" s="23"/>
      <c r="AN1919" s="23"/>
      <c r="AO1919" s="23">
        <v>110</v>
      </c>
      <c r="AP1919" s="23">
        <v>175</v>
      </c>
      <c r="AQ1919" s="23"/>
      <c r="AR1919" s="23"/>
      <c r="AS1919" s="23">
        <v>144</v>
      </c>
      <c r="AT1919" s="23">
        <v>3</v>
      </c>
      <c r="AU1919" s="14" t="str">
        <f>HYPERLINK("http://www.openstreetmap.org/?mlat=36.195&amp;mlon=43.9988&amp;zoom=12#map=12/36.195/43.9988","Maplink1")</f>
        <v>Maplink1</v>
      </c>
      <c r="AV1919" s="14" t="str">
        <f>HYPERLINK("https://www.google.iq/maps/search/+36.195,43.9988/@36.195,43.9988,14z?hl=en","Maplink2")</f>
        <v>Maplink2</v>
      </c>
      <c r="AW1919" s="14" t="str">
        <f>HYPERLINK("http://www.bing.com/maps/?lvl=14&amp;sty=h&amp;cp=36.195~43.9988&amp;sp=point.36.195_43.9988_Manara","Maplink3")</f>
        <v>Maplink3</v>
      </c>
    </row>
    <row r="1920" spans="1:49" ht="15" customHeight="1" x14ac:dyDescent="0.25">
      <c r="A1920" s="21">
        <v>27420</v>
      </c>
      <c r="B1920" s="22" t="s">
        <v>15</v>
      </c>
      <c r="C1920" s="22" t="s">
        <v>15</v>
      </c>
      <c r="D1920" s="22" t="s">
        <v>8793</v>
      </c>
      <c r="E1920" s="22" t="s">
        <v>3622</v>
      </c>
      <c r="F1920" s="22">
        <v>36.172400000000003</v>
      </c>
      <c r="G1920" s="22">
        <v>44.058199999999999</v>
      </c>
      <c r="H1920" s="21" t="s">
        <v>3500</v>
      </c>
      <c r="I1920" s="21" t="s">
        <v>3501</v>
      </c>
      <c r="J1920" s="21"/>
      <c r="K1920" s="24">
        <v>360</v>
      </c>
      <c r="L1920" s="24">
        <v>2160</v>
      </c>
      <c r="M1920" s="23">
        <v>196</v>
      </c>
      <c r="N1920" s="23"/>
      <c r="O1920" s="23">
        <v>40</v>
      </c>
      <c r="P1920" s="23"/>
      <c r="Q1920" s="23"/>
      <c r="R1920" s="23"/>
      <c r="S1920" s="23"/>
      <c r="T1920" s="23"/>
      <c r="U1920" s="23"/>
      <c r="V1920" s="23"/>
      <c r="W1920" s="23"/>
      <c r="X1920" s="23"/>
      <c r="Y1920" s="23">
        <v>90</v>
      </c>
      <c r="Z1920" s="23"/>
      <c r="AA1920" s="23">
        <v>34</v>
      </c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>
        <v>360</v>
      </c>
      <c r="AL1920" s="23"/>
      <c r="AM1920" s="23"/>
      <c r="AN1920" s="23"/>
      <c r="AO1920" s="23">
        <v>71</v>
      </c>
      <c r="AP1920" s="23">
        <v>90</v>
      </c>
      <c r="AQ1920" s="23">
        <v>34</v>
      </c>
      <c r="AR1920" s="23"/>
      <c r="AS1920" s="23">
        <v>125</v>
      </c>
      <c r="AT1920" s="23">
        <v>40</v>
      </c>
      <c r="AU1920" s="14" t="str">
        <f>HYPERLINK("http://www.openstreetmap.org/?mlat=36.1724&amp;mlon=44.0582&amp;zoom=12#map=12/36.1724/44.0582","Maplink1")</f>
        <v>Maplink1</v>
      </c>
      <c r="AV1920" s="14" t="str">
        <f>HYPERLINK("https://www.google.iq/maps/search/+36.1724,44.0582/@36.1724,44.0582,14z?hl=en","Maplink2")</f>
        <v>Maplink2</v>
      </c>
      <c r="AW1920" s="14" t="str">
        <f>HYPERLINK("http://www.bing.com/maps/?lvl=14&amp;sty=h&amp;cp=36.1724~44.0582&amp;sp=point.36.1724_44.0582_Minara City","Maplink3")</f>
        <v>Maplink3</v>
      </c>
    </row>
    <row r="1921" spans="1:49" ht="15" customHeight="1" x14ac:dyDescent="0.25">
      <c r="A1921" s="21">
        <v>20986</v>
      </c>
      <c r="B1921" s="22" t="s">
        <v>15</v>
      </c>
      <c r="C1921" s="22" t="s">
        <v>15</v>
      </c>
      <c r="D1921" s="22" t="s">
        <v>3619</v>
      </c>
      <c r="E1921" s="22" t="s">
        <v>3620</v>
      </c>
      <c r="F1921" s="22">
        <v>36.234999999999999</v>
      </c>
      <c r="G1921" s="22">
        <v>43.987000000000002</v>
      </c>
      <c r="H1921" s="21" t="s">
        <v>3500</v>
      </c>
      <c r="I1921" s="21" t="s">
        <v>3501</v>
      </c>
      <c r="J1921" s="21" t="s">
        <v>3621</v>
      </c>
      <c r="K1921" s="24">
        <v>452</v>
      </c>
      <c r="L1921" s="24">
        <v>2712</v>
      </c>
      <c r="M1921" s="23">
        <v>52</v>
      </c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>
        <v>400</v>
      </c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452</v>
      </c>
      <c r="AL1921" s="23"/>
      <c r="AM1921" s="23"/>
      <c r="AN1921" s="23"/>
      <c r="AO1921" s="23">
        <v>19</v>
      </c>
      <c r="AP1921" s="23">
        <v>400</v>
      </c>
      <c r="AQ1921" s="23"/>
      <c r="AR1921" s="23"/>
      <c r="AS1921" s="23">
        <v>33</v>
      </c>
      <c r="AT1921" s="23"/>
      <c r="AU1921" s="14" t="str">
        <f>HYPERLINK("http://www.openstreetmap.org/?mlat=36.235&amp;mlon=43.987&amp;zoom=12#map=12/36.235/43.987","Maplink1")</f>
        <v>Maplink1</v>
      </c>
      <c r="AV1921" s="14" t="str">
        <f>HYPERLINK("https://www.google.iq/maps/search/+36.235,43.987/@36.235,43.987,14z?hl=en","Maplink2")</f>
        <v>Maplink2</v>
      </c>
      <c r="AW1921" s="14" t="str">
        <f>HYPERLINK("http://www.bing.com/maps/?lvl=14&amp;sty=h&amp;cp=36.235~43.987&amp;sp=point.36.235_43.987_Martshmony","Maplink3")</f>
        <v>Maplink3</v>
      </c>
    </row>
    <row r="1922" spans="1:49" ht="15" customHeight="1" x14ac:dyDescent="0.25">
      <c r="A1922" s="21">
        <v>23766</v>
      </c>
      <c r="B1922" s="22" t="s">
        <v>15</v>
      </c>
      <c r="C1922" s="22" t="s">
        <v>15</v>
      </c>
      <c r="D1922" s="22" t="s">
        <v>3623</v>
      </c>
      <c r="E1922" s="22" t="s">
        <v>3624</v>
      </c>
      <c r="F1922" s="22">
        <v>36.195050000000002</v>
      </c>
      <c r="G1922" s="22">
        <v>44.007739999999998</v>
      </c>
      <c r="H1922" s="21" t="s">
        <v>3500</v>
      </c>
      <c r="I1922" s="21" t="s">
        <v>3501</v>
      </c>
      <c r="J1922" s="21" t="s">
        <v>3625</v>
      </c>
      <c r="K1922" s="24">
        <v>571</v>
      </c>
      <c r="L1922" s="24">
        <v>3426</v>
      </c>
      <c r="M1922" s="23">
        <v>532</v>
      </c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>
        <v>39</v>
      </c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571</v>
      </c>
      <c r="AL1922" s="23"/>
      <c r="AM1922" s="23"/>
      <c r="AN1922" s="23"/>
      <c r="AO1922" s="23">
        <v>360</v>
      </c>
      <c r="AP1922" s="23">
        <v>39</v>
      </c>
      <c r="AQ1922" s="23"/>
      <c r="AR1922" s="23"/>
      <c r="AS1922" s="23">
        <v>149</v>
      </c>
      <c r="AT1922" s="23">
        <v>23</v>
      </c>
      <c r="AU1922" s="14" t="str">
        <f>HYPERLINK("http://www.openstreetmap.org/?mlat=36.1951&amp;mlon=44.0077&amp;zoom=12#map=12/36.1951/44.0077","Maplink1")</f>
        <v>Maplink1</v>
      </c>
      <c r="AV1922" s="14" t="str">
        <f>HYPERLINK("https://www.google.iq/maps/search/+36.1951,44.0077/@36.1951,44.0077,14z?hl=en","Maplink2")</f>
        <v>Maplink2</v>
      </c>
      <c r="AW1922" s="14" t="str">
        <f>HYPERLINK("http://www.bing.com/maps/?lvl=14&amp;sty=h&amp;cp=36.1951~44.0077&amp;sp=point.36.1951_44.0077_Mustawfi","Maplink3")</f>
        <v>Maplink3</v>
      </c>
    </row>
    <row r="1923" spans="1:49" ht="15" customHeight="1" x14ac:dyDescent="0.25">
      <c r="A1923" s="21">
        <v>22825</v>
      </c>
      <c r="B1923" s="22" t="s">
        <v>15</v>
      </c>
      <c r="C1923" s="22" t="s">
        <v>15</v>
      </c>
      <c r="D1923" s="22" t="s">
        <v>8794</v>
      </c>
      <c r="E1923" s="22" t="s">
        <v>8027</v>
      </c>
      <c r="F1923" s="22">
        <v>36.154800000000002</v>
      </c>
      <c r="G1923" s="22">
        <v>44.119799999999998</v>
      </c>
      <c r="H1923" s="21" t="s">
        <v>3500</v>
      </c>
      <c r="I1923" s="21" t="s">
        <v>3501</v>
      </c>
      <c r="J1923" s="21" t="s">
        <v>3626</v>
      </c>
      <c r="K1923" s="24">
        <v>83</v>
      </c>
      <c r="L1923" s="24">
        <v>498</v>
      </c>
      <c r="M1923" s="23">
        <v>33</v>
      </c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>
        <v>42</v>
      </c>
      <c r="Z1923" s="23"/>
      <c r="AA1923" s="23">
        <v>8</v>
      </c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83</v>
      </c>
      <c r="AL1923" s="23"/>
      <c r="AM1923" s="23"/>
      <c r="AN1923" s="23"/>
      <c r="AO1923" s="23">
        <v>20</v>
      </c>
      <c r="AP1923" s="23">
        <v>42</v>
      </c>
      <c r="AQ1923" s="23">
        <v>8</v>
      </c>
      <c r="AR1923" s="23"/>
      <c r="AS1923" s="23">
        <v>13</v>
      </c>
      <c r="AT1923" s="23"/>
      <c r="AU1923" s="14" t="str">
        <f>HYPERLINK("http://www.openstreetmap.org/?mlat=36.1548&amp;mlon=44.1198&amp;zoom=12#map=12/36.1548/44.1198","Maplink1")</f>
        <v>Maplink1</v>
      </c>
      <c r="AV1923" s="14" t="str">
        <f>HYPERLINK("https://www.google.iq/maps/search/+36.1548,44.1198/@36.1548,44.1198,14z?hl=en","Maplink2")</f>
        <v>Maplink2</v>
      </c>
      <c r="AW1923" s="14" t="str">
        <f>HYPERLINK("http://www.bing.com/maps/?lvl=14&amp;sty=h&amp;cp=36.1548~44.1198&amp;sp=point.36.1548_44.1198_Nawroz-Banislawa","Maplink3")</f>
        <v>Maplink3</v>
      </c>
    </row>
    <row r="1924" spans="1:49" ht="15" customHeight="1" x14ac:dyDescent="0.25">
      <c r="A1924" s="21">
        <v>24507</v>
      </c>
      <c r="B1924" s="22" t="s">
        <v>15</v>
      </c>
      <c r="C1924" s="22" t="s">
        <v>15</v>
      </c>
      <c r="D1924" s="22" t="s">
        <v>3627</v>
      </c>
      <c r="E1924" s="22" t="s">
        <v>3628</v>
      </c>
      <c r="F1924" s="22">
        <v>36.187399999999997</v>
      </c>
      <c r="G1924" s="22">
        <v>44.011400000000002</v>
      </c>
      <c r="H1924" s="21" t="s">
        <v>3500</v>
      </c>
      <c r="I1924" s="21" t="s">
        <v>3501</v>
      </c>
      <c r="J1924" s="21"/>
      <c r="K1924" s="24">
        <v>202</v>
      </c>
      <c r="L1924" s="24">
        <v>1212</v>
      </c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>
        <v>202</v>
      </c>
      <c r="Z1924" s="23"/>
      <c r="AA1924" s="23"/>
      <c r="AB1924" s="23"/>
      <c r="AC1924" s="23"/>
      <c r="AD1924" s="23"/>
      <c r="AE1924" s="23"/>
      <c r="AF1924" s="23"/>
      <c r="AG1924" s="23"/>
      <c r="AH1924" s="23">
        <v>202</v>
      </c>
      <c r="AI1924" s="23"/>
      <c r="AJ1924" s="23"/>
      <c r="AK1924" s="23"/>
      <c r="AL1924" s="23"/>
      <c r="AM1924" s="23"/>
      <c r="AN1924" s="23"/>
      <c r="AO1924" s="23"/>
      <c r="AP1924" s="23"/>
      <c r="AQ1924" s="23">
        <v>202</v>
      </c>
      <c r="AR1924" s="23"/>
      <c r="AS1924" s="23"/>
      <c r="AT1924" s="23"/>
      <c r="AU1924" s="14" t="str">
        <f>HYPERLINK("http://www.openstreetmap.org/?mlat=36.1874&amp;mlon=44.0114&amp;zoom=12#map=12/36.1874/44.0114","Maplink1")</f>
        <v>Maplink1</v>
      </c>
      <c r="AV1924" s="14" t="str">
        <f>HYPERLINK("https://www.google.iq/maps/search/+36.1874,44.0114/@36.1874,44.0114,14z?hl=en","Maplink2")</f>
        <v>Maplink2</v>
      </c>
      <c r="AW1924" s="14" t="str">
        <f>HYPERLINK("http://www.bing.com/maps/?lvl=14&amp;sty=h&amp;cp=36.1874~44.0114&amp;sp=point.36.1874_44.0114_Nisthtiman Comercial Complex","Maplink3")</f>
        <v>Maplink3</v>
      </c>
    </row>
    <row r="1925" spans="1:49" ht="15" customHeight="1" x14ac:dyDescent="0.25">
      <c r="A1925" s="21">
        <v>24607</v>
      </c>
      <c r="B1925" s="22" t="s">
        <v>15</v>
      </c>
      <c r="C1925" s="22" t="s">
        <v>15</v>
      </c>
      <c r="D1925" s="22" t="s">
        <v>3629</v>
      </c>
      <c r="E1925" s="22" t="s">
        <v>3630</v>
      </c>
      <c r="F1925" s="22">
        <v>36.262300000000003</v>
      </c>
      <c r="G1925" s="22">
        <v>43.999200000000002</v>
      </c>
      <c r="H1925" s="21" t="s">
        <v>3500</v>
      </c>
      <c r="I1925" s="21" t="s">
        <v>3501</v>
      </c>
      <c r="J1925" s="21"/>
      <c r="K1925" s="24">
        <v>77</v>
      </c>
      <c r="L1925" s="24">
        <v>462</v>
      </c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77</v>
      </c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>
        <v>77</v>
      </c>
      <c r="AL1925" s="23"/>
      <c r="AM1925" s="23"/>
      <c r="AN1925" s="23"/>
      <c r="AO1925" s="23"/>
      <c r="AP1925" s="23"/>
      <c r="AQ1925" s="23">
        <v>77</v>
      </c>
      <c r="AR1925" s="23"/>
      <c r="AS1925" s="23"/>
      <c r="AT1925" s="23"/>
      <c r="AU1925" s="14" t="str">
        <f>HYPERLINK("http://www.openstreetmap.org/?mlat=36.2623&amp;mlon=43.9992&amp;zoom=12#map=12/36.2623/43.9992","Maplink1")</f>
        <v>Maplink1</v>
      </c>
      <c r="AV1925" s="14" t="str">
        <f>HYPERLINK("https://www.google.iq/maps/search/+36.2623,43.9992/@36.2623,43.9992,14z?hl=en","Maplink2")</f>
        <v>Maplink2</v>
      </c>
      <c r="AW1925" s="14" t="str">
        <f>HYPERLINK("http://www.bing.com/maps/?lvl=14&amp;sty=h&amp;cp=36.2623~43.9992&amp;sp=point.36.2623_43.9992_Nobel","Maplink3")</f>
        <v>Maplink3</v>
      </c>
    </row>
    <row r="1926" spans="1:49" ht="15" customHeight="1" x14ac:dyDescent="0.25">
      <c r="A1926" s="21">
        <v>24665</v>
      </c>
      <c r="B1926" s="22" t="s">
        <v>15</v>
      </c>
      <c r="C1926" s="22" t="s">
        <v>15</v>
      </c>
      <c r="D1926" s="22" t="s">
        <v>3631</v>
      </c>
      <c r="E1926" s="22" t="s">
        <v>8795</v>
      </c>
      <c r="F1926" s="22">
        <v>36.228114699999999</v>
      </c>
      <c r="G1926" s="22">
        <v>44.144933039999998</v>
      </c>
      <c r="H1926" s="21" t="s">
        <v>3500</v>
      </c>
      <c r="I1926" s="21" t="s">
        <v>3501</v>
      </c>
      <c r="J1926" s="21"/>
      <c r="K1926" s="24">
        <v>1220</v>
      </c>
      <c r="L1926" s="24">
        <v>7320</v>
      </c>
      <c r="M1926" s="23">
        <v>405</v>
      </c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>
        <v>815</v>
      </c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1220</v>
      </c>
      <c r="AL1926" s="23"/>
      <c r="AM1926" s="23"/>
      <c r="AN1926" s="23"/>
      <c r="AO1926" s="23">
        <v>233</v>
      </c>
      <c r="AP1926" s="23">
        <v>815</v>
      </c>
      <c r="AQ1926" s="23"/>
      <c r="AR1926" s="23"/>
      <c r="AS1926" s="23">
        <v>172</v>
      </c>
      <c r="AT1926" s="23"/>
      <c r="AU1926" s="14" t="str">
        <f>HYPERLINK("http://www.openstreetmap.org/?mlat=36.2345&amp;mlon=44.1409&amp;zoom=12#map=12/36.2345/44.1409","Maplink1")</f>
        <v>Maplink1</v>
      </c>
      <c r="AV1926" s="14" t="str">
        <f>HYPERLINK("https://www.google.iq/maps/search/+36.2345,44.1409/@36.2345,44.1409,14z?hl=en","Maplink2")</f>
        <v>Maplink2</v>
      </c>
      <c r="AW1926" s="14" t="str">
        <f>HYPERLINK("http://www.bing.com/maps/?lvl=14&amp;sty=h&amp;cp=36.2345~44.1409&amp;sp=point.36.2345_44.1409_Ozal city","Maplink3")</f>
        <v>Maplink3</v>
      </c>
    </row>
    <row r="1927" spans="1:49" ht="15" customHeight="1" x14ac:dyDescent="0.25">
      <c r="A1927" s="21">
        <v>27135</v>
      </c>
      <c r="B1927" s="22" t="s">
        <v>15</v>
      </c>
      <c r="C1927" s="22" t="s">
        <v>15</v>
      </c>
      <c r="D1927" s="22" t="s">
        <v>3632</v>
      </c>
      <c r="E1927" s="22" t="s">
        <v>3633</v>
      </c>
      <c r="F1927" s="22">
        <v>36.261153499999999</v>
      </c>
      <c r="G1927" s="22">
        <v>43.999333270000001</v>
      </c>
      <c r="H1927" s="21" t="s">
        <v>3500</v>
      </c>
      <c r="I1927" s="21" t="s">
        <v>3501</v>
      </c>
      <c r="J1927" s="21"/>
      <c r="K1927" s="24">
        <v>18</v>
      </c>
      <c r="L1927" s="24">
        <v>108</v>
      </c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>
        <v>18</v>
      </c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18</v>
      </c>
      <c r="AL1927" s="23"/>
      <c r="AM1927" s="23"/>
      <c r="AN1927" s="23"/>
      <c r="AO1927" s="23"/>
      <c r="AP1927" s="23">
        <v>18</v>
      </c>
      <c r="AQ1927" s="23"/>
      <c r="AR1927" s="23"/>
      <c r="AS1927" s="23"/>
      <c r="AT1927" s="23"/>
      <c r="AU1927" s="14" t="str">
        <f>HYPERLINK("http://www.openstreetmap.org/?mlat=36.2595&amp;mlon=43.9923&amp;zoom=12#map=12/36.2595/43.9923","Maplink1")</f>
        <v>Maplink1</v>
      </c>
      <c r="AV1927" s="14" t="str">
        <f>HYPERLINK("https://www.google.iq/maps/search/+36.2595,43.9923/@36.2595,43.9923,14z?hl=en","Maplink2")</f>
        <v>Maplink2</v>
      </c>
      <c r="AW1927" s="14" t="str">
        <f>HYPERLINK("http://www.bing.com/maps/?lvl=14&amp;sty=h&amp;cp=36.2595~43.9923&amp;sp=point.36.2595_43.9923_Pank Village","Maplink3")</f>
        <v>Maplink3</v>
      </c>
    </row>
    <row r="1928" spans="1:49" ht="15" customHeight="1" x14ac:dyDescent="0.25">
      <c r="A1928" s="21">
        <v>11778</v>
      </c>
      <c r="B1928" s="22" t="s">
        <v>15</v>
      </c>
      <c r="C1928" s="22" t="s">
        <v>15</v>
      </c>
      <c r="D1928" s="22" t="s">
        <v>3634</v>
      </c>
      <c r="E1928" s="22" t="s">
        <v>3635</v>
      </c>
      <c r="F1928" s="22">
        <v>36.231699999999996</v>
      </c>
      <c r="G1928" s="22">
        <v>44.138739999999999</v>
      </c>
      <c r="H1928" s="21" t="s">
        <v>3500</v>
      </c>
      <c r="I1928" s="21" t="s">
        <v>3501</v>
      </c>
      <c r="J1928" s="21" t="s">
        <v>3636</v>
      </c>
      <c r="K1928" s="24">
        <v>53</v>
      </c>
      <c r="L1928" s="24">
        <v>318</v>
      </c>
      <c r="M1928" s="23">
        <v>33</v>
      </c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20</v>
      </c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53</v>
      </c>
      <c r="AL1928" s="23"/>
      <c r="AM1928" s="23"/>
      <c r="AN1928" s="23"/>
      <c r="AO1928" s="23">
        <v>8</v>
      </c>
      <c r="AP1928" s="23">
        <v>14</v>
      </c>
      <c r="AQ1928" s="23"/>
      <c r="AR1928" s="23"/>
      <c r="AS1928" s="23">
        <v>10</v>
      </c>
      <c r="AT1928" s="23">
        <v>21</v>
      </c>
      <c r="AU1928" s="14" t="str">
        <f>HYPERLINK("http://www.openstreetmap.org/?mlat=36.1338&amp;mlon=44.0826&amp;zoom=12#map=12/36.1338/44.0826","Maplink1")</f>
        <v>Maplink1</v>
      </c>
      <c r="AV1928" s="14" t="str">
        <f>HYPERLINK("https://www.google.iq/maps/search/+36.1338,44.0826/@36.1338,44.0826,14z?hl=en","Maplink2")</f>
        <v>Maplink2</v>
      </c>
      <c r="AW1928" s="14" t="str">
        <f>HYPERLINK("http://www.bing.com/maps/?lvl=14&amp;sty=h&amp;cp=36.1338~44.0826&amp;sp=point.36.1338_44.0826_Perash","Maplink3")</f>
        <v>Maplink3</v>
      </c>
    </row>
    <row r="1929" spans="1:49" ht="15" customHeight="1" x14ac:dyDescent="0.25">
      <c r="A1929" s="21">
        <v>25974</v>
      </c>
      <c r="B1929" s="22" t="s">
        <v>15</v>
      </c>
      <c r="C1929" s="22" t="s">
        <v>15</v>
      </c>
      <c r="D1929" s="22" t="s">
        <v>8796</v>
      </c>
      <c r="E1929" s="22" t="s">
        <v>3538</v>
      </c>
      <c r="F1929" s="22">
        <v>36.0212</v>
      </c>
      <c r="G1929" s="22">
        <v>43.924199999999999</v>
      </c>
      <c r="H1929" s="21" t="s">
        <v>3500</v>
      </c>
      <c r="I1929" s="21" t="s">
        <v>3501</v>
      </c>
      <c r="J1929" s="21"/>
      <c r="K1929" s="24">
        <v>105</v>
      </c>
      <c r="L1929" s="24">
        <v>630</v>
      </c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>
        <v>105</v>
      </c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105</v>
      </c>
      <c r="AL1929" s="23"/>
      <c r="AM1929" s="23"/>
      <c r="AN1929" s="23"/>
      <c r="AO1929" s="23"/>
      <c r="AP1929" s="23">
        <v>105</v>
      </c>
      <c r="AQ1929" s="23"/>
      <c r="AR1929" s="23"/>
      <c r="AS1929" s="23"/>
      <c r="AT1929" s="23"/>
      <c r="AU1929" s="14" t="str">
        <f>HYPERLINK("http://www.openstreetmap.org/?mlat=36.0212&amp;mlon=43.9242&amp;zoom=12#map=12/36.0212/43.9242","Maplink1")</f>
        <v>Maplink1</v>
      </c>
      <c r="AV1929" s="14" t="str">
        <f>HYPERLINK("https://www.google.iq/maps/search/+36.0212,43.9242/@36.0212,43.9242,14z?hl=en","Maplink2")</f>
        <v>Maplink2</v>
      </c>
      <c r="AW1929" s="14" t="str">
        <f>HYPERLINK("http://www.bing.com/maps/?lvl=14&amp;sty=h&amp;cp=36.0212~43.9242&amp;sp=point.36.0212_43.9242_Berdawod","Maplink3")</f>
        <v>Maplink3</v>
      </c>
    </row>
    <row r="1930" spans="1:49" ht="15" customHeight="1" x14ac:dyDescent="0.25">
      <c r="A1930" s="21">
        <v>13199</v>
      </c>
      <c r="B1930" s="22" t="s">
        <v>15</v>
      </c>
      <c r="C1930" s="22" t="s">
        <v>15</v>
      </c>
      <c r="D1930" s="22" t="s">
        <v>3637</v>
      </c>
      <c r="E1930" s="22" t="s">
        <v>3638</v>
      </c>
      <c r="F1930" s="22">
        <v>36.26717799</v>
      </c>
      <c r="G1930" s="22">
        <v>44.076948049999999</v>
      </c>
      <c r="H1930" s="21" t="s">
        <v>3500</v>
      </c>
      <c r="I1930" s="21" t="s">
        <v>3501</v>
      </c>
      <c r="J1930" s="21" t="s">
        <v>3639</v>
      </c>
      <c r="K1930" s="24">
        <v>693</v>
      </c>
      <c r="L1930" s="24">
        <v>4158</v>
      </c>
      <c r="M1930" s="23">
        <v>420</v>
      </c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>
        <v>68</v>
      </c>
      <c r="Z1930" s="23"/>
      <c r="AA1930" s="23">
        <v>205</v>
      </c>
      <c r="AB1930" s="23"/>
      <c r="AC1930" s="23"/>
      <c r="AD1930" s="23"/>
      <c r="AE1930" s="23"/>
      <c r="AF1930" s="23"/>
      <c r="AG1930" s="23"/>
      <c r="AH1930" s="23"/>
      <c r="AI1930" s="23">
        <v>25</v>
      </c>
      <c r="AJ1930" s="23"/>
      <c r="AK1930" s="23">
        <v>668</v>
      </c>
      <c r="AL1930" s="23"/>
      <c r="AM1930" s="23"/>
      <c r="AN1930" s="23"/>
      <c r="AO1930" s="23">
        <v>205</v>
      </c>
      <c r="AP1930" s="23">
        <v>68</v>
      </c>
      <c r="AQ1930" s="23">
        <v>205</v>
      </c>
      <c r="AR1930" s="23"/>
      <c r="AS1930" s="23">
        <v>215</v>
      </c>
      <c r="AT1930" s="23"/>
      <c r="AU1930" s="14" t="str">
        <f>HYPERLINK("http://www.openstreetmap.org/?mlat=36.26&amp;mlon=44.06&amp;zoom=12#map=12/36.26/44.06","Maplink1")</f>
        <v>Maplink1</v>
      </c>
      <c r="AV1930" s="14" t="str">
        <f>HYPERLINK("https://www.google.iq/maps/search/+36.26,44.06/@36.26,44.06,14z?hl=en","Maplink2")</f>
        <v>Maplink2</v>
      </c>
      <c r="AW1930" s="14" t="str">
        <f>HYPERLINK("http://www.bing.com/maps/?lvl=14&amp;sty=h&amp;cp=36.26~44.06&amp;sp=point.36.26_44.06_Pirzeen","Maplink3")</f>
        <v>Maplink3</v>
      </c>
    </row>
    <row r="1931" spans="1:49" ht="15" customHeight="1" x14ac:dyDescent="0.25">
      <c r="A1931" s="21">
        <v>27332</v>
      </c>
      <c r="B1931" s="22" t="s">
        <v>15</v>
      </c>
      <c r="C1931" s="22" t="s">
        <v>15</v>
      </c>
      <c r="D1931" s="22" t="s">
        <v>3640</v>
      </c>
      <c r="E1931" s="22" t="s">
        <v>3641</v>
      </c>
      <c r="F1931" s="22">
        <v>36.193344799999998</v>
      </c>
      <c r="G1931" s="22">
        <v>44.123127889999999</v>
      </c>
      <c r="H1931" s="21" t="s">
        <v>3500</v>
      </c>
      <c r="I1931" s="21" t="s">
        <v>3501</v>
      </c>
      <c r="J1931" s="21"/>
      <c r="K1931" s="24">
        <v>480</v>
      </c>
      <c r="L1931" s="24">
        <v>2880</v>
      </c>
      <c r="M1931" s="23">
        <v>370</v>
      </c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110</v>
      </c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>
        <v>480</v>
      </c>
      <c r="AL1931" s="23"/>
      <c r="AM1931" s="23"/>
      <c r="AN1931" s="23"/>
      <c r="AO1931" s="23">
        <v>265</v>
      </c>
      <c r="AP1931" s="23">
        <v>110</v>
      </c>
      <c r="AQ1931" s="23"/>
      <c r="AR1931" s="23"/>
      <c r="AS1931" s="23">
        <v>105</v>
      </c>
      <c r="AT1931" s="23"/>
      <c r="AU1931" s="14" t="str">
        <f>HYPERLINK("http://www.openstreetmap.org/?mlat=36.12&amp;mlon=44.0741&amp;zoom=12#map=12/36.12/44.0741","Maplink1")</f>
        <v>Maplink1</v>
      </c>
      <c r="AV1931" s="14" t="str">
        <f>HYPERLINK("https://www.google.iq/maps/search/+36.12,44.0741/@36.12,44.0741,14z?hl=en","Maplink2")</f>
        <v>Maplink2</v>
      </c>
      <c r="AW1931" s="14" t="str">
        <f>HYPERLINK("http://www.bing.com/maps/?lvl=14&amp;sty=h&amp;cp=36.12~44.0741&amp;sp=point.36.12_44.0741_Qarabu","Maplink3")</f>
        <v>Maplink3</v>
      </c>
    </row>
    <row r="1932" spans="1:49" ht="15" customHeight="1" x14ac:dyDescent="0.25">
      <c r="A1932" s="21">
        <v>21318</v>
      </c>
      <c r="B1932" s="22" t="s">
        <v>15</v>
      </c>
      <c r="C1932" s="22" t="s">
        <v>15</v>
      </c>
      <c r="D1932" s="22" t="s">
        <v>3642</v>
      </c>
      <c r="E1932" s="22" t="s">
        <v>3643</v>
      </c>
      <c r="F1932" s="22">
        <v>36.078670000000002</v>
      </c>
      <c r="G1932" s="22">
        <v>43.947612999999997</v>
      </c>
      <c r="H1932" s="21" t="s">
        <v>3500</v>
      </c>
      <c r="I1932" s="21" t="s">
        <v>3501</v>
      </c>
      <c r="J1932" s="21" t="s">
        <v>3644</v>
      </c>
      <c r="K1932" s="24">
        <v>73</v>
      </c>
      <c r="L1932" s="24">
        <v>438</v>
      </c>
      <c r="M1932" s="23">
        <v>50</v>
      </c>
      <c r="N1932" s="23"/>
      <c r="O1932" s="23"/>
      <c r="P1932" s="23"/>
      <c r="Q1932" s="23"/>
      <c r="R1932" s="23"/>
      <c r="S1932" s="23">
        <v>15</v>
      </c>
      <c r="T1932" s="23"/>
      <c r="U1932" s="23"/>
      <c r="V1932" s="23"/>
      <c r="W1932" s="23"/>
      <c r="X1932" s="23"/>
      <c r="Y1932" s="23">
        <v>8</v>
      </c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73</v>
      </c>
      <c r="AL1932" s="23"/>
      <c r="AM1932" s="23"/>
      <c r="AN1932" s="23"/>
      <c r="AO1932" s="23">
        <v>18</v>
      </c>
      <c r="AP1932" s="23">
        <v>15</v>
      </c>
      <c r="AQ1932" s="23">
        <v>8</v>
      </c>
      <c r="AR1932" s="23"/>
      <c r="AS1932" s="23">
        <v>13</v>
      </c>
      <c r="AT1932" s="23">
        <v>19</v>
      </c>
      <c r="AU1932" s="14" t="str">
        <f>HYPERLINK("http://www.openstreetmap.org/?mlat=36.0787&amp;mlon=43.9476&amp;zoom=12#map=12/36.0787/43.9476","Maplink1")</f>
        <v>Maplink1</v>
      </c>
      <c r="AV1932" s="14" t="str">
        <f>HYPERLINK("https://www.google.iq/maps/search/+36.0787,43.9476/@36.0787,43.9476,14z?hl=en","Maplink2")</f>
        <v>Maplink2</v>
      </c>
      <c r="AW1932" s="14" t="str">
        <f>HYPERLINK("http://www.bing.com/maps/?lvl=14&amp;sty=h&amp;cp=36.0787~43.9476&amp;sp=point.36.0787_43.9476","Maplink3")</f>
        <v>Maplink3</v>
      </c>
    </row>
    <row r="1933" spans="1:49" ht="15" customHeight="1" x14ac:dyDescent="0.25">
      <c r="A1933" s="21">
        <v>13400</v>
      </c>
      <c r="B1933" s="22" t="s">
        <v>15</v>
      </c>
      <c r="C1933" s="22" t="s">
        <v>15</v>
      </c>
      <c r="D1933" s="22" t="s">
        <v>8797</v>
      </c>
      <c r="E1933" s="22" t="s">
        <v>3645</v>
      </c>
      <c r="F1933" s="22">
        <v>36.003599999999999</v>
      </c>
      <c r="G1933" s="22">
        <v>44.03</v>
      </c>
      <c r="H1933" s="21" t="s">
        <v>3500</v>
      </c>
      <c r="I1933" s="21" t="s">
        <v>3501</v>
      </c>
      <c r="J1933" s="21" t="s">
        <v>3646</v>
      </c>
      <c r="K1933" s="24">
        <v>790</v>
      </c>
      <c r="L1933" s="24">
        <v>4740</v>
      </c>
      <c r="M1933" s="23">
        <v>598</v>
      </c>
      <c r="N1933" s="23"/>
      <c r="O1933" s="23"/>
      <c r="P1933" s="23"/>
      <c r="Q1933" s="23"/>
      <c r="R1933" s="23"/>
      <c r="S1933" s="23">
        <v>27</v>
      </c>
      <c r="T1933" s="23"/>
      <c r="U1933" s="23"/>
      <c r="V1933" s="23"/>
      <c r="W1933" s="23"/>
      <c r="X1933" s="23"/>
      <c r="Y1933" s="23">
        <v>165</v>
      </c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790</v>
      </c>
      <c r="AL1933" s="23"/>
      <c r="AM1933" s="23"/>
      <c r="AN1933" s="23"/>
      <c r="AO1933" s="23">
        <v>419</v>
      </c>
      <c r="AP1933" s="23">
        <v>165</v>
      </c>
      <c r="AQ1933" s="23">
        <v>27</v>
      </c>
      <c r="AR1933" s="23"/>
      <c r="AS1933" s="23">
        <v>179</v>
      </c>
      <c r="AT1933" s="23"/>
      <c r="AU1933" s="14" t="str">
        <f>HYPERLINK("http://www.openstreetmap.org/?mlat=36.0036&amp;mlon=44.03&amp;zoom=12#map=12/36.0036/44.03","Maplink1")</f>
        <v>Maplink1</v>
      </c>
      <c r="AV1933" s="14" t="str">
        <f>HYPERLINK("https://www.google.iq/maps/search/+36.0036,44.03/@36.0036,44.03,14z?hl=en","Maplink2")</f>
        <v>Maplink2</v>
      </c>
      <c r="AW1933" s="14" t="str">
        <f>HYPERLINK("http://www.bing.com/maps/?lvl=14&amp;sty=h&amp;cp=36.0036~44.03&amp;sp=point.36.0036_44.03_Qushtepa centre","Maplink3")</f>
        <v>Maplink3</v>
      </c>
    </row>
    <row r="1934" spans="1:49" ht="15" customHeight="1" x14ac:dyDescent="0.25">
      <c r="A1934" s="21">
        <v>13670</v>
      </c>
      <c r="B1934" s="22" t="s">
        <v>15</v>
      </c>
      <c r="C1934" s="22" t="s">
        <v>15</v>
      </c>
      <c r="D1934" s="22" t="s">
        <v>3647</v>
      </c>
      <c r="E1934" s="22" t="s">
        <v>3648</v>
      </c>
      <c r="F1934" s="22">
        <v>36.151097999999998</v>
      </c>
      <c r="G1934" s="22">
        <v>44.013970200000003</v>
      </c>
      <c r="H1934" s="21" t="s">
        <v>3500</v>
      </c>
      <c r="I1934" s="21" t="s">
        <v>3501</v>
      </c>
      <c r="J1934" s="21"/>
      <c r="K1934" s="24">
        <v>200</v>
      </c>
      <c r="L1934" s="24">
        <v>1200</v>
      </c>
      <c r="M1934" s="23">
        <v>160</v>
      </c>
      <c r="N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>
        <v>40</v>
      </c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200</v>
      </c>
      <c r="AL1934" s="23"/>
      <c r="AM1934" s="23"/>
      <c r="AN1934" s="23"/>
      <c r="AO1934" s="23">
        <v>160</v>
      </c>
      <c r="AP1934" s="23">
        <v>40</v>
      </c>
      <c r="AQ1934" s="23"/>
      <c r="AR1934" s="23"/>
      <c r="AS1934" s="23"/>
      <c r="AT1934" s="23"/>
      <c r="AU1934" s="14" t="str">
        <f>HYPERLINK("http://www.openstreetmap.org/?mlat=36.1511&amp;mlon=44.014&amp;zoom=12#map=12/36.1511/44.014","Maplink1")</f>
        <v>Maplink1</v>
      </c>
      <c r="AV1934" s="14" t="str">
        <f>HYPERLINK("https://www.google.iq/maps/search/+36.1511,44.014/@36.1511,44.014,14z?hl=en","Maplink2")</f>
        <v>Maplink2</v>
      </c>
      <c r="AW1934" s="14" t="str">
        <f>HYPERLINK("http://www.bing.com/maps/?lvl=14&amp;sty=h&amp;cp=36.1511~44.014&amp;sp=point.36.1511_44.014_Rasti Qr","Maplink3")</f>
        <v>Maplink3</v>
      </c>
    </row>
    <row r="1935" spans="1:49" ht="15" customHeight="1" x14ac:dyDescent="0.25">
      <c r="A1935" s="21">
        <v>21899</v>
      </c>
      <c r="B1935" s="22" t="s">
        <v>15</v>
      </c>
      <c r="C1935" s="22" t="s">
        <v>15</v>
      </c>
      <c r="D1935" s="22" t="s">
        <v>3146</v>
      </c>
      <c r="E1935" s="22" t="s">
        <v>3147</v>
      </c>
      <c r="F1935" s="22">
        <v>36.28</v>
      </c>
      <c r="G1935" s="22">
        <v>43.78</v>
      </c>
      <c r="H1935" s="21" t="s">
        <v>3500</v>
      </c>
      <c r="I1935" s="21" t="s">
        <v>3501</v>
      </c>
      <c r="J1935" s="21" t="s">
        <v>3649</v>
      </c>
      <c r="K1935" s="24">
        <v>2367</v>
      </c>
      <c r="L1935" s="24">
        <v>14202</v>
      </c>
      <c r="M1935" s="23">
        <v>736</v>
      </c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>
        <v>1261</v>
      </c>
      <c r="Z1935" s="23"/>
      <c r="AA1935" s="23">
        <v>370</v>
      </c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2367</v>
      </c>
      <c r="AL1935" s="23"/>
      <c r="AM1935" s="23"/>
      <c r="AN1935" s="23"/>
      <c r="AO1935" s="23">
        <v>326</v>
      </c>
      <c r="AP1935" s="23">
        <v>1631</v>
      </c>
      <c r="AQ1935" s="23"/>
      <c r="AR1935" s="23"/>
      <c r="AS1935" s="23">
        <v>410</v>
      </c>
      <c r="AT1935" s="23"/>
      <c r="AU1935" s="14" t="str">
        <f>HYPERLINK("http://www.openstreetmap.org/?mlat=36.28&amp;mlon=43.78&amp;zoom=12#map=12/36.28/43.78","Maplink1")</f>
        <v>Maplink1</v>
      </c>
      <c r="AV1935" s="14" t="str">
        <f>HYPERLINK("https://www.google.iq/maps/search/+36.28,43.78/@36.28,43.78,14z?hl=en","Maplink2")</f>
        <v>Maplink2</v>
      </c>
      <c r="AW1935" s="14" t="str">
        <f>HYPERLINK("http://www.bing.com/maps/?lvl=14&amp;sty=h&amp;cp=36.28~43.78&amp;sp=point.36.28_43.78_Razgari","Maplink3")</f>
        <v>Maplink3</v>
      </c>
    </row>
    <row r="1936" spans="1:49" ht="15" customHeight="1" x14ac:dyDescent="0.25">
      <c r="A1936" s="21">
        <v>20997</v>
      </c>
      <c r="B1936" s="22" t="s">
        <v>15</v>
      </c>
      <c r="C1936" s="22" t="s">
        <v>15</v>
      </c>
      <c r="D1936" s="22" t="s">
        <v>3650</v>
      </c>
      <c r="E1936" s="22" t="s">
        <v>3651</v>
      </c>
      <c r="F1936" s="22">
        <v>36.169571589999997</v>
      </c>
      <c r="G1936" s="22">
        <v>44.018189710000001</v>
      </c>
      <c r="H1936" s="21" t="s">
        <v>3500</v>
      </c>
      <c r="I1936" s="21" t="s">
        <v>3501</v>
      </c>
      <c r="J1936" s="21" t="s">
        <v>3652</v>
      </c>
      <c r="K1936" s="24">
        <v>72</v>
      </c>
      <c r="L1936" s="24">
        <v>432</v>
      </c>
      <c r="M1936" s="23">
        <v>52</v>
      </c>
      <c r="N1936" s="23"/>
      <c r="O1936" s="23">
        <v>6</v>
      </c>
      <c r="P1936" s="23"/>
      <c r="Q1936" s="23"/>
      <c r="R1936" s="23"/>
      <c r="S1936" s="23"/>
      <c r="T1936" s="23"/>
      <c r="U1936" s="23"/>
      <c r="V1936" s="23"/>
      <c r="W1936" s="23"/>
      <c r="X1936" s="23"/>
      <c r="Y1936" s="23">
        <v>14</v>
      </c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72</v>
      </c>
      <c r="AL1936" s="23"/>
      <c r="AM1936" s="23"/>
      <c r="AN1936" s="23"/>
      <c r="AO1936" s="23"/>
      <c r="AP1936" s="23">
        <v>14</v>
      </c>
      <c r="AQ1936" s="23"/>
      <c r="AR1936" s="23"/>
      <c r="AS1936" s="23">
        <v>54</v>
      </c>
      <c r="AT1936" s="23">
        <v>4</v>
      </c>
      <c r="AU1936" s="14" t="str">
        <f>HYPERLINK("http://www.openstreetmap.org/?mlat=36.17&amp;mlon=44.012&amp;zoom=12#map=12/36.17/44.012","Maplink1")</f>
        <v>Maplink1</v>
      </c>
      <c r="AV1936" s="14" t="str">
        <f>HYPERLINK("https://www.google.iq/maps/search/+36.17,44.012/@36.17,44.012,14z?hl=en","Maplink2")</f>
        <v>Maplink2</v>
      </c>
      <c r="AW1936" s="14" t="str">
        <f>HYPERLINK("http://www.bing.com/maps/?lvl=14&amp;sty=h&amp;cp=36.17~44.012&amp;sp=point.36.17_44.012_Runaki","Maplink3")</f>
        <v>Maplink3</v>
      </c>
    </row>
    <row r="1937" spans="1:49" ht="15" customHeight="1" x14ac:dyDescent="0.25">
      <c r="A1937" s="21">
        <v>27210</v>
      </c>
      <c r="B1937" s="22" t="s">
        <v>15</v>
      </c>
      <c r="C1937" s="22" t="s">
        <v>15</v>
      </c>
      <c r="D1937" s="22" t="s">
        <v>3653</v>
      </c>
      <c r="E1937" s="22" t="s">
        <v>3654</v>
      </c>
      <c r="F1937" s="22">
        <v>36.161257200000001</v>
      </c>
      <c r="G1937" s="22">
        <v>44.025814820000001</v>
      </c>
      <c r="H1937" s="21"/>
      <c r="I1937" s="21"/>
      <c r="J1937" s="21"/>
      <c r="K1937" s="24">
        <v>149</v>
      </c>
      <c r="L1937" s="24">
        <v>894</v>
      </c>
      <c r="M1937" s="23">
        <v>68</v>
      </c>
      <c r="N1937" s="23"/>
      <c r="O1937" s="23">
        <v>10</v>
      </c>
      <c r="P1937" s="23"/>
      <c r="Q1937" s="23"/>
      <c r="R1937" s="23"/>
      <c r="S1937" s="23"/>
      <c r="T1937" s="23"/>
      <c r="U1937" s="23"/>
      <c r="V1937" s="23"/>
      <c r="W1937" s="23"/>
      <c r="X1937" s="23"/>
      <c r="Y1937" s="23">
        <v>60</v>
      </c>
      <c r="Z1937" s="23"/>
      <c r="AA1937" s="23">
        <v>11</v>
      </c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>
        <v>149</v>
      </c>
      <c r="AL1937" s="23"/>
      <c r="AM1937" s="23"/>
      <c r="AN1937" s="23"/>
      <c r="AO1937" s="23"/>
      <c r="AP1937" s="23">
        <v>52</v>
      </c>
      <c r="AQ1937" s="23"/>
      <c r="AR1937" s="23"/>
      <c r="AS1937" s="23">
        <v>78</v>
      </c>
      <c r="AT1937" s="23">
        <v>19</v>
      </c>
      <c r="AU1937" s="14" t="str">
        <f>HYPERLINK("http://www.openstreetmap.org/?mlat=36.1713&amp;mlon=44.0297&amp;zoom=12#map=12/36.1713/44.0297","Maplink1")</f>
        <v>Maplink1</v>
      </c>
      <c r="AV1937" s="14" t="str">
        <f>HYPERLINK("https://www.google.iq/maps/search/+36.1713,44.0297/@36.1713,44.0297,14z?hl=en","Maplink2")</f>
        <v>Maplink2</v>
      </c>
      <c r="AW1937" s="14" t="str">
        <f>HYPERLINK("http://www.bing.com/maps/?lvl=14&amp;sty=h&amp;cp=36.1713~44.0297&amp;sp=point.36.1713_44.0297_Runaki (Andazyaran)","Maplink3")</f>
        <v>Maplink3</v>
      </c>
    </row>
    <row r="1938" spans="1:49" ht="15" customHeight="1" x14ac:dyDescent="0.25">
      <c r="A1938" s="21">
        <v>27206</v>
      </c>
      <c r="B1938" s="22" t="s">
        <v>15</v>
      </c>
      <c r="C1938" s="22" t="s">
        <v>15</v>
      </c>
      <c r="D1938" s="22" t="s">
        <v>3655</v>
      </c>
      <c r="E1938" s="22" t="s">
        <v>3656</v>
      </c>
      <c r="F1938" s="22">
        <v>36.172499999999999</v>
      </c>
      <c r="G1938" s="22">
        <v>44.017400000000002</v>
      </c>
      <c r="H1938" s="21"/>
      <c r="I1938" s="21"/>
      <c r="J1938" s="21"/>
      <c r="K1938" s="24">
        <v>44</v>
      </c>
      <c r="L1938" s="24">
        <v>264</v>
      </c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>
        <v>44</v>
      </c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>
        <v>44</v>
      </c>
      <c r="AL1938" s="23"/>
      <c r="AM1938" s="23"/>
      <c r="AN1938" s="23"/>
      <c r="AO1938" s="23"/>
      <c r="AP1938" s="23">
        <v>44</v>
      </c>
      <c r="AQ1938" s="23"/>
      <c r="AR1938" s="23"/>
      <c r="AS1938" s="23"/>
      <c r="AT1938" s="23"/>
      <c r="AU1938" s="14" t="str">
        <f>HYPERLINK("http://www.openstreetmap.org/?mlat=36.1725&amp;mlon=44.0174&amp;zoom=12#map=12/36.1725/44.0174","Maplink1")</f>
        <v>Maplink1</v>
      </c>
      <c r="AV1938" s="14" t="str">
        <f>HYPERLINK("https://www.google.iq/maps/search/+36.1725,44.0174/@36.1725,44.0174,14z?hl=en","Maplink2")</f>
        <v>Maplink2</v>
      </c>
      <c r="AW1938" s="14" t="str">
        <f>HYPERLINK("http://www.bing.com/maps/?lvl=14&amp;sty=h&amp;cp=36.1725~44.0174&amp;sp=point.36.1725_44.0174_Runaki (Komari 1)","Maplink3")</f>
        <v>Maplink3</v>
      </c>
    </row>
    <row r="1939" spans="1:49" ht="15" customHeight="1" x14ac:dyDescent="0.25">
      <c r="A1939" s="21">
        <v>27208</v>
      </c>
      <c r="B1939" s="22" t="s">
        <v>15</v>
      </c>
      <c r="C1939" s="22" t="s">
        <v>15</v>
      </c>
      <c r="D1939" s="22" t="s">
        <v>3657</v>
      </c>
      <c r="E1939" s="22" t="s">
        <v>3658</v>
      </c>
      <c r="F1939" s="22">
        <v>36.181100000000001</v>
      </c>
      <c r="G1939" s="22">
        <v>44.029299999999999</v>
      </c>
      <c r="H1939" s="21"/>
      <c r="I1939" s="21"/>
      <c r="J1939" s="21"/>
      <c r="K1939" s="24">
        <v>67</v>
      </c>
      <c r="L1939" s="24">
        <v>402</v>
      </c>
      <c r="M1939" s="23">
        <v>36</v>
      </c>
      <c r="N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>
        <v>31</v>
      </c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>
        <v>67</v>
      </c>
      <c r="AL1939" s="23"/>
      <c r="AM1939" s="23"/>
      <c r="AN1939" s="23"/>
      <c r="AO1939" s="23">
        <v>31</v>
      </c>
      <c r="AP1939" s="23">
        <v>31</v>
      </c>
      <c r="AQ1939" s="23"/>
      <c r="AR1939" s="23"/>
      <c r="AS1939" s="23"/>
      <c r="AT1939" s="23">
        <v>5</v>
      </c>
      <c r="AU1939" s="14" t="str">
        <f>HYPERLINK("http://www.openstreetmap.org/?mlat=36.1811&amp;mlon=44.0293&amp;zoom=12#map=12/36.1811/44.0293","Maplink1")</f>
        <v>Maplink1</v>
      </c>
      <c r="AV1939" s="14" t="str">
        <f>HYPERLINK("https://www.google.iq/maps/search/+36.1811,44.0293/@36.1811,44.0293,14z?hl=en","Maplink2")</f>
        <v>Maplink2</v>
      </c>
      <c r="AW1939" s="14" t="str">
        <f>HYPERLINK("http://www.bing.com/maps/?lvl=14&amp;sty=h&amp;cp=36.1811~44.0293&amp;sp=point.36.1811_44.0293_Runaki (Mamostayan 1)","Maplink3")</f>
        <v>Maplink3</v>
      </c>
    </row>
    <row r="1940" spans="1:49" ht="15" customHeight="1" x14ac:dyDescent="0.25">
      <c r="A1940" s="21">
        <v>27209</v>
      </c>
      <c r="B1940" s="22" t="s">
        <v>15</v>
      </c>
      <c r="C1940" s="22" t="s">
        <v>15</v>
      </c>
      <c r="D1940" s="22" t="s">
        <v>3659</v>
      </c>
      <c r="E1940" s="22" t="s">
        <v>3660</v>
      </c>
      <c r="F1940" s="22">
        <v>36.177500000000002</v>
      </c>
      <c r="G1940" s="22">
        <v>44.033700000000003</v>
      </c>
      <c r="H1940" s="21"/>
      <c r="I1940" s="21"/>
      <c r="J1940" s="21"/>
      <c r="K1940" s="24">
        <v>79</v>
      </c>
      <c r="L1940" s="24">
        <v>474</v>
      </c>
      <c r="M1940" s="23">
        <v>49</v>
      </c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17</v>
      </c>
      <c r="Z1940" s="23"/>
      <c r="AA1940" s="23">
        <v>13</v>
      </c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79</v>
      </c>
      <c r="AL1940" s="23"/>
      <c r="AM1940" s="23"/>
      <c r="AN1940" s="23"/>
      <c r="AO1940" s="23"/>
      <c r="AP1940" s="23">
        <v>30</v>
      </c>
      <c r="AQ1940" s="23"/>
      <c r="AR1940" s="23"/>
      <c r="AS1940" s="23">
        <v>41</v>
      </c>
      <c r="AT1940" s="23">
        <v>8</v>
      </c>
      <c r="AU1940" s="14" t="str">
        <f>HYPERLINK("http://www.openstreetmap.org/?mlat=36.1775&amp;mlon=44.0337&amp;zoom=12#map=12/36.1775/44.0337","Maplink1")</f>
        <v>Maplink1</v>
      </c>
      <c r="AV1940" s="14" t="str">
        <f>HYPERLINK("https://www.google.iq/maps/search/+36.1775,44.0337/@36.1775,44.0337,14z?hl=en","Maplink2")</f>
        <v>Maplink2</v>
      </c>
      <c r="AW1940" s="14" t="str">
        <f>HYPERLINK("http://www.bing.com/maps/?lvl=14&amp;sty=h&amp;cp=36.1775~44.0337&amp;sp=point.36.1775_44.0337_Runaki (Mamostayan 2)","Maplink3")</f>
        <v>Maplink3</v>
      </c>
    </row>
    <row r="1941" spans="1:49" ht="15" customHeight="1" x14ac:dyDescent="0.25">
      <c r="A1941" s="21">
        <v>27205</v>
      </c>
      <c r="B1941" s="22" t="s">
        <v>15</v>
      </c>
      <c r="C1941" s="22" t="s">
        <v>15</v>
      </c>
      <c r="D1941" s="22" t="s">
        <v>3661</v>
      </c>
      <c r="E1941" s="22" t="s">
        <v>3662</v>
      </c>
      <c r="F1941" s="22">
        <v>36.164099999999998</v>
      </c>
      <c r="G1941" s="22">
        <v>44.0261</v>
      </c>
      <c r="H1941" s="21"/>
      <c r="I1941" s="21"/>
      <c r="J1941" s="21"/>
      <c r="K1941" s="24">
        <v>257</v>
      </c>
      <c r="L1941" s="24">
        <v>1542</v>
      </c>
      <c r="M1941" s="23">
        <v>133</v>
      </c>
      <c r="N1941" s="23"/>
      <c r="O1941" s="23">
        <v>22</v>
      </c>
      <c r="P1941" s="23"/>
      <c r="Q1941" s="23"/>
      <c r="R1941" s="23"/>
      <c r="S1941" s="23"/>
      <c r="T1941" s="23"/>
      <c r="U1941" s="23"/>
      <c r="V1941" s="23"/>
      <c r="W1941" s="23"/>
      <c r="X1941" s="23"/>
      <c r="Y1941" s="23">
        <v>102</v>
      </c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257</v>
      </c>
      <c r="AL1941" s="23"/>
      <c r="AM1941" s="23"/>
      <c r="AN1941" s="23"/>
      <c r="AO1941" s="23">
        <v>61</v>
      </c>
      <c r="AP1941" s="23"/>
      <c r="AQ1941" s="23">
        <v>102</v>
      </c>
      <c r="AR1941" s="23"/>
      <c r="AS1941" s="23">
        <v>75</v>
      </c>
      <c r="AT1941" s="23">
        <v>19</v>
      </c>
      <c r="AU1941" s="14" t="str">
        <f>HYPERLINK("http://www.openstreetmap.org/?mlat=36.1641&amp;mlon=44.0261&amp;zoom=12#map=12/36.1641/44.0261","Maplink1")</f>
        <v>Maplink1</v>
      </c>
      <c r="AV1941" s="14" t="str">
        <f>HYPERLINK("https://www.google.iq/maps/search/+36.1641,44.0261/@36.1641,44.0261,14z?hl=en","Maplink2")</f>
        <v>Maplink2</v>
      </c>
      <c r="AW1941" s="14" t="str">
        <f>HYPERLINK("http://www.bing.com/maps/?lvl=14&amp;sty=h&amp;cp=36.1641~44.0261&amp;sp=point.36.1641_44.0261_Runaki (Mantikawa)","Maplink3")</f>
        <v>Maplink3</v>
      </c>
    </row>
    <row r="1942" spans="1:49" ht="15" customHeight="1" x14ac:dyDescent="0.25">
      <c r="A1942" s="21">
        <v>27207</v>
      </c>
      <c r="B1942" s="22" t="s">
        <v>15</v>
      </c>
      <c r="C1942" s="22" t="s">
        <v>15</v>
      </c>
      <c r="D1942" s="22" t="s">
        <v>3663</v>
      </c>
      <c r="E1942" s="22" t="s">
        <v>3664</v>
      </c>
      <c r="F1942" s="22">
        <v>36.17</v>
      </c>
      <c r="G1942" s="22">
        <v>44.030700000000003</v>
      </c>
      <c r="H1942" s="21"/>
      <c r="I1942" s="21"/>
      <c r="J1942" s="21"/>
      <c r="K1942" s="24">
        <v>255</v>
      </c>
      <c r="L1942" s="24">
        <v>1530</v>
      </c>
      <c r="M1942" s="23">
        <v>127</v>
      </c>
      <c r="N1942" s="23"/>
      <c r="O1942" s="23">
        <v>11</v>
      </c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92</v>
      </c>
      <c r="Z1942" s="23"/>
      <c r="AA1942" s="23">
        <v>25</v>
      </c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>
        <v>255</v>
      </c>
      <c r="AL1942" s="23"/>
      <c r="AM1942" s="23"/>
      <c r="AN1942" s="23"/>
      <c r="AO1942" s="23"/>
      <c r="AP1942" s="23">
        <v>117</v>
      </c>
      <c r="AQ1942" s="23"/>
      <c r="AR1942" s="23"/>
      <c r="AS1942" s="23">
        <v>126</v>
      </c>
      <c r="AT1942" s="23">
        <v>12</v>
      </c>
      <c r="AU1942" s="14" t="str">
        <f>HYPERLINK("http://www.openstreetmap.org/?mlat=36.17&amp;mlon=44.0307&amp;zoom=12#map=12/36.17/44.0307","Maplink1")</f>
        <v>Maplink1</v>
      </c>
      <c r="AV1942" s="14" t="str">
        <f>HYPERLINK("https://www.google.iq/maps/search/+36.17,44.0307/@36.17,44.0307,14z?hl=en","Maplink2")</f>
        <v>Maplink2</v>
      </c>
      <c r="AW1942" s="14" t="str">
        <f>HYPERLINK("http://www.bing.com/maps/?lvl=14&amp;sty=h&amp;cp=36.17~44.0307&amp;sp=point.36.17_44.0307_Runaki (Mufti)","Maplink3")</f>
        <v>Maplink3</v>
      </c>
    </row>
    <row r="1943" spans="1:49" ht="15" customHeight="1" x14ac:dyDescent="0.25">
      <c r="A1943" s="21">
        <v>27134</v>
      </c>
      <c r="B1943" s="22" t="s">
        <v>15</v>
      </c>
      <c r="C1943" s="22" t="s">
        <v>15</v>
      </c>
      <c r="D1943" s="22" t="s">
        <v>3665</v>
      </c>
      <c r="E1943" s="22" t="s">
        <v>3666</v>
      </c>
      <c r="F1943" s="22">
        <v>36.235799999999998</v>
      </c>
      <c r="G1943" s="22">
        <v>43.993600000000001</v>
      </c>
      <c r="H1943" s="21" t="s">
        <v>3500</v>
      </c>
      <c r="I1943" s="21" t="s">
        <v>3501</v>
      </c>
      <c r="J1943" s="21"/>
      <c r="K1943" s="24">
        <v>780</v>
      </c>
      <c r="L1943" s="24">
        <v>4680</v>
      </c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780</v>
      </c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>
        <v>780</v>
      </c>
      <c r="AL1943" s="23"/>
      <c r="AM1943" s="23"/>
      <c r="AN1943" s="23"/>
      <c r="AO1943" s="23"/>
      <c r="AP1943" s="23">
        <v>773</v>
      </c>
      <c r="AQ1943" s="23"/>
      <c r="AR1943" s="23"/>
      <c r="AS1943" s="23"/>
      <c r="AT1943" s="23">
        <v>7</v>
      </c>
      <c r="AU1943" s="14" t="str">
        <f>HYPERLINK("http://www.openstreetmap.org/?mlat=36.2358&amp;mlon=43.9936&amp;zoom=12#map=12/36.2358/43.9936","Maplink1")</f>
        <v>Maplink1</v>
      </c>
      <c r="AV1943" s="14" t="str">
        <f>HYPERLINK("https://www.google.iq/maps/search/+36.2358,43.9936/@36.2358,43.9936,14z?hl=en","Maplink2")</f>
        <v>Maplink2</v>
      </c>
      <c r="AW1943" s="14" t="str">
        <f>HYPERLINK("http://www.bing.com/maps/?lvl=14&amp;sty=h&amp;cp=36.2358~43.9936&amp;sp=point.36.2358_43.9936_Rustm palace center","Maplink3")</f>
        <v>Maplink3</v>
      </c>
    </row>
    <row r="1944" spans="1:49" ht="15" customHeight="1" x14ac:dyDescent="0.25">
      <c r="A1944" s="21">
        <v>27132</v>
      </c>
      <c r="B1944" s="22" t="s">
        <v>15</v>
      </c>
      <c r="C1944" s="22" t="s">
        <v>15</v>
      </c>
      <c r="D1944" s="22" t="s">
        <v>3667</v>
      </c>
      <c r="E1944" s="22" t="s">
        <v>3668</v>
      </c>
      <c r="F1944" s="22">
        <v>36.239511999999998</v>
      </c>
      <c r="G1944" s="22">
        <v>43.989757060000002</v>
      </c>
      <c r="H1944" s="21" t="s">
        <v>3500</v>
      </c>
      <c r="I1944" s="21" t="s">
        <v>3501</v>
      </c>
      <c r="J1944" s="21"/>
      <c r="K1944" s="24">
        <v>73</v>
      </c>
      <c r="L1944" s="24">
        <v>438</v>
      </c>
      <c r="M1944" s="23"/>
      <c r="N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>
        <v>73</v>
      </c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  <c r="AL1944" s="23"/>
      <c r="AM1944" s="23">
        <v>73</v>
      </c>
      <c r="AN1944" s="23"/>
      <c r="AO1944" s="23"/>
      <c r="AP1944" s="23">
        <v>73</v>
      </c>
      <c r="AQ1944" s="23"/>
      <c r="AR1944" s="23"/>
      <c r="AS1944" s="23"/>
      <c r="AT1944" s="23"/>
      <c r="AU1944" s="14" t="str">
        <f>HYPERLINK("http://www.openstreetmap.org/?mlat=36.235&amp;mlon=43.9905&amp;zoom=12#map=12/36.235/43.9905","Maplink1")</f>
        <v>Maplink1</v>
      </c>
      <c r="AV1944" s="14" t="str">
        <f>HYPERLINK("https://www.google.iq/maps/search/+36.235,43.9905/@36.235,43.9905,14z?hl=en","Maplink2")</f>
        <v>Maplink2</v>
      </c>
      <c r="AW1944" s="14" t="str">
        <f>HYPERLINK("http://www.bing.com/maps/?lvl=14&amp;sty=h&amp;cp=36.235~43.9905&amp;sp=point.36.235_43.9905_Rustm palace center-Karma complex","Maplink3")</f>
        <v>Maplink3</v>
      </c>
    </row>
    <row r="1945" spans="1:49" ht="15" customHeight="1" x14ac:dyDescent="0.25">
      <c r="A1945" s="21">
        <v>27133</v>
      </c>
      <c r="B1945" s="22" t="s">
        <v>15</v>
      </c>
      <c r="C1945" s="22" t="s">
        <v>15</v>
      </c>
      <c r="D1945" s="22" t="s">
        <v>3669</v>
      </c>
      <c r="E1945" s="22" t="s">
        <v>8028</v>
      </c>
      <c r="F1945" s="22">
        <v>36.2348</v>
      </c>
      <c r="G1945" s="22">
        <v>43.993499999999997</v>
      </c>
      <c r="H1945" s="21" t="s">
        <v>3500</v>
      </c>
      <c r="I1945" s="21" t="s">
        <v>3501</v>
      </c>
      <c r="J1945" s="21"/>
      <c r="K1945" s="24">
        <v>115</v>
      </c>
      <c r="L1945" s="24">
        <v>690</v>
      </c>
      <c r="M1945" s="23"/>
      <c r="N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>
        <v>115</v>
      </c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>
        <v>115</v>
      </c>
      <c r="AK1945" s="23"/>
      <c r="AL1945" s="23"/>
      <c r="AM1945" s="23"/>
      <c r="AN1945" s="23"/>
      <c r="AO1945" s="23"/>
      <c r="AP1945" s="23">
        <v>115</v>
      </c>
      <c r="AQ1945" s="23"/>
      <c r="AR1945" s="23"/>
      <c r="AS1945" s="23"/>
      <c r="AT1945" s="23"/>
      <c r="AU1945" s="14" t="str">
        <f>HYPERLINK("http://www.openstreetmap.org/?mlat=36.2348&amp;mlon=43.9935&amp;zoom=12#map=12/36.2348/43.9935","Maplink1")</f>
        <v>Maplink1</v>
      </c>
      <c r="AV1945" s="14" t="str">
        <f>HYPERLINK("https://www.google.iq/maps/search/+36.2348,43.9935/@36.2348,43.9935,14z?hl=en","Maplink2")</f>
        <v>Maplink2</v>
      </c>
      <c r="AW1945" s="14" t="str">
        <f>HYPERLINK("http://www.bing.com/maps/?lvl=14&amp;sty=h&amp;cp=36.2348~43.9935&amp;sp=point.36.2348_43.9935_Rustm palace center-Mar eilya","Maplink3")</f>
        <v>Maplink3</v>
      </c>
    </row>
    <row r="1946" spans="1:49" ht="15" customHeight="1" x14ac:dyDescent="0.25">
      <c r="A1946" s="21">
        <v>27226</v>
      </c>
      <c r="B1946" s="22" t="s">
        <v>15</v>
      </c>
      <c r="C1946" s="22" t="s">
        <v>15</v>
      </c>
      <c r="D1946" s="22" t="s">
        <v>3670</v>
      </c>
      <c r="E1946" s="22" t="s">
        <v>3147</v>
      </c>
      <c r="F1946" s="22">
        <v>36.174900000000001</v>
      </c>
      <c r="G1946" s="22">
        <v>43.997700000000002</v>
      </c>
      <c r="H1946" s="21"/>
      <c r="I1946" s="21"/>
      <c r="J1946" s="21"/>
      <c r="K1946" s="24">
        <v>205</v>
      </c>
      <c r="L1946" s="24">
        <v>1230</v>
      </c>
      <c r="M1946" s="23">
        <v>124</v>
      </c>
      <c r="N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>
        <v>81</v>
      </c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205</v>
      </c>
      <c r="AL1946" s="23"/>
      <c r="AM1946" s="23"/>
      <c r="AN1946" s="23"/>
      <c r="AO1946" s="23"/>
      <c r="AP1946" s="23">
        <v>81</v>
      </c>
      <c r="AQ1946" s="23"/>
      <c r="AR1946" s="23"/>
      <c r="AS1946" s="23">
        <v>119</v>
      </c>
      <c r="AT1946" s="23">
        <v>5</v>
      </c>
      <c r="AU1946" s="14" t="str">
        <f>HYPERLINK("http://www.openstreetmap.org/?mlat=36.1749&amp;mlon=43.9977&amp;zoom=12#map=12/36.1749/43.9977","Maplink1")</f>
        <v>Maplink1</v>
      </c>
      <c r="AV1946" s="14" t="str">
        <f>HYPERLINK("https://www.google.iq/maps/search/+36.1749,43.9977/@36.1749,43.9977,14z?hl=en","Maplink2")</f>
        <v>Maplink2</v>
      </c>
      <c r="AW1946" s="14" t="str">
        <f>HYPERLINK("http://www.bing.com/maps/?lvl=14&amp;sty=h&amp;cp=36.1749~43.9977&amp;sp=point.36.1749_43.9977_Rzgari","Maplink3")</f>
        <v>Maplink3</v>
      </c>
    </row>
    <row r="1947" spans="1:49" ht="15" customHeight="1" x14ac:dyDescent="0.25">
      <c r="A1947" s="21">
        <v>27215</v>
      </c>
      <c r="B1947" s="22" t="s">
        <v>15</v>
      </c>
      <c r="C1947" s="22" t="s">
        <v>15</v>
      </c>
      <c r="D1947" s="22" t="s">
        <v>3673</v>
      </c>
      <c r="E1947" s="22" t="s">
        <v>3674</v>
      </c>
      <c r="F1947" s="22">
        <v>36.188499999999998</v>
      </c>
      <c r="G1947" s="22">
        <v>44.032299999999999</v>
      </c>
      <c r="H1947" s="21"/>
      <c r="I1947" s="21"/>
      <c r="J1947" s="21"/>
      <c r="K1947" s="24">
        <v>28</v>
      </c>
      <c r="L1947" s="24">
        <v>168</v>
      </c>
      <c r="M1947" s="23">
        <v>17</v>
      </c>
      <c r="N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>
        <v>11</v>
      </c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28</v>
      </c>
      <c r="AL1947" s="23"/>
      <c r="AM1947" s="23"/>
      <c r="AN1947" s="23"/>
      <c r="AO1947" s="23"/>
      <c r="AP1947" s="23">
        <v>11</v>
      </c>
      <c r="AQ1947" s="23"/>
      <c r="AR1947" s="23"/>
      <c r="AS1947" s="23">
        <v>17</v>
      </c>
      <c r="AT1947" s="23"/>
      <c r="AU1947" s="14" t="str">
        <f>HYPERLINK("http://www.openstreetmap.org/?mlat=36.1885&amp;mlon=44.0323&amp;zoom=12#map=12/36.1885/44.0323","Maplink1")</f>
        <v>Maplink1</v>
      </c>
      <c r="AV1947" s="14" t="str">
        <f>HYPERLINK("https://www.google.iq/maps/search/+36.1885,44.0323/@36.1885,44.0323,14z?hl=en","Maplink2")</f>
        <v>Maplink2</v>
      </c>
      <c r="AW1947" s="14" t="str">
        <f>HYPERLINK("http://www.bing.com/maps/?lvl=14&amp;sty=h&amp;cp=36.1885~44.0323&amp;sp=point.36.1885_44.0323_Saidawa ( Khabat )","Maplink3")</f>
        <v>Maplink3</v>
      </c>
    </row>
    <row r="1948" spans="1:49" ht="15" customHeight="1" x14ac:dyDescent="0.25">
      <c r="A1948" s="21">
        <v>27216</v>
      </c>
      <c r="B1948" s="22" t="s">
        <v>15</v>
      </c>
      <c r="C1948" s="22" t="s">
        <v>15</v>
      </c>
      <c r="D1948" s="22" t="s">
        <v>3675</v>
      </c>
      <c r="E1948" s="22" t="s">
        <v>3676</v>
      </c>
      <c r="F1948" s="22">
        <v>36.1813</v>
      </c>
      <c r="G1948" s="22">
        <v>44.018700000000003</v>
      </c>
      <c r="H1948" s="21"/>
      <c r="I1948" s="21"/>
      <c r="J1948" s="21"/>
      <c r="K1948" s="24">
        <v>30</v>
      </c>
      <c r="L1948" s="24">
        <v>180</v>
      </c>
      <c r="M1948" s="23">
        <v>17</v>
      </c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>
        <v>13</v>
      </c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30</v>
      </c>
      <c r="AL1948" s="23"/>
      <c r="AM1948" s="23"/>
      <c r="AN1948" s="23"/>
      <c r="AO1948" s="23"/>
      <c r="AP1948" s="23">
        <v>13</v>
      </c>
      <c r="AQ1948" s="23"/>
      <c r="AR1948" s="23"/>
      <c r="AS1948" s="23">
        <v>17</v>
      </c>
      <c r="AT1948" s="23"/>
      <c r="AU1948" s="14" t="str">
        <f>HYPERLINK("http://www.openstreetmap.org/?mlat=36.1813&amp;mlon=44.0187&amp;zoom=12#map=12/36.1813/44.0187","Maplink1")</f>
        <v>Maplink1</v>
      </c>
      <c r="AV1948" s="14" t="str">
        <f>HYPERLINK("https://www.google.iq/maps/search/+36.1813,44.0187/@36.1813,44.0187,14z?hl=en","Maplink2")</f>
        <v>Maplink2</v>
      </c>
      <c r="AW1948" s="14" t="str">
        <f>HYPERLINK("http://www.bing.com/maps/?lvl=14&amp;sty=h&amp;cp=36.1813~44.0187&amp;sp=point.36.1813_44.0187_Saidawa (Ashti)","Maplink3")</f>
        <v>Maplink3</v>
      </c>
    </row>
    <row r="1949" spans="1:49" ht="15" customHeight="1" x14ac:dyDescent="0.25">
      <c r="A1949" s="21">
        <v>27330</v>
      </c>
      <c r="B1949" s="22" t="s">
        <v>15</v>
      </c>
      <c r="C1949" s="22" t="s">
        <v>15</v>
      </c>
      <c r="D1949" s="22" t="s">
        <v>3677</v>
      </c>
      <c r="E1949" s="22" t="s">
        <v>3678</v>
      </c>
      <c r="F1949" s="22">
        <v>36.247874699999997</v>
      </c>
      <c r="G1949" s="22">
        <v>44.102246780000002</v>
      </c>
      <c r="H1949" s="21" t="s">
        <v>3500</v>
      </c>
      <c r="I1949" s="21" t="s">
        <v>3501</v>
      </c>
      <c r="J1949" s="21"/>
      <c r="K1949" s="24">
        <v>200</v>
      </c>
      <c r="L1949" s="24">
        <v>1200</v>
      </c>
      <c r="M1949" s="23">
        <v>90</v>
      </c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110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200</v>
      </c>
      <c r="AL1949" s="23"/>
      <c r="AM1949" s="23"/>
      <c r="AN1949" s="23"/>
      <c r="AO1949" s="23">
        <v>37</v>
      </c>
      <c r="AP1949" s="23">
        <v>110</v>
      </c>
      <c r="AQ1949" s="23"/>
      <c r="AR1949" s="23"/>
      <c r="AS1949" s="23">
        <v>53</v>
      </c>
      <c r="AT1949" s="23"/>
      <c r="AU1949" s="14" t="str">
        <f>HYPERLINK("http://www.openstreetmap.org/?mlat=36.1438&amp;mlon=44.0518&amp;zoom=12#map=12/36.1438/44.0518","Maplink1")</f>
        <v>Maplink1</v>
      </c>
      <c r="AV1949" s="14" t="str">
        <f>HYPERLINK("https://www.google.iq/maps/search/+36.1438,44.0518/@36.1438,44.0518,14z?hl=en","Maplink2")</f>
        <v>Maplink2</v>
      </c>
      <c r="AW1949" s="14" t="str">
        <f>HYPERLINK("http://www.bing.com/maps/?lvl=14&amp;sty=h&amp;cp=36.1438~44.0518&amp;sp=point.36.1438_44.0518_Sana City ","Maplink3")</f>
        <v>Maplink3</v>
      </c>
    </row>
    <row r="1950" spans="1:49" ht="15" customHeight="1" x14ac:dyDescent="0.25">
      <c r="A1950" s="21">
        <v>23911</v>
      </c>
      <c r="B1950" s="22" t="s">
        <v>15</v>
      </c>
      <c r="C1950" s="22" t="s">
        <v>15</v>
      </c>
      <c r="D1950" s="22" t="s">
        <v>8798</v>
      </c>
      <c r="E1950" s="22" t="s">
        <v>3682</v>
      </c>
      <c r="F1950" s="22">
        <v>36.181600000000003</v>
      </c>
      <c r="G1950" s="22">
        <v>44.0182</v>
      </c>
      <c r="H1950" s="21" t="s">
        <v>3500</v>
      </c>
      <c r="I1950" s="21" t="s">
        <v>3501</v>
      </c>
      <c r="J1950" s="21" t="s">
        <v>3683</v>
      </c>
      <c r="K1950" s="24">
        <v>57</v>
      </c>
      <c r="L1950" s="24">
        <v>342</v>
      </c>
      <c r="M1950" s="23">
        <v>35</v>
      </c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>
        <v>22</v>
      </c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57</v>
      </c>
      <c r="AL1950" s="23"/>
      <c r="AM1950" s="23"/>
      <c r="AN1950" s="23"/>
      <c r="AO1950" s="23"/>
      <c r="AP1950" s="23">
        <v>22</v>
      </c>
      <c r="AQ1950" s="23"/>
      <c r="AR1950" s="23"/>
      <c r="AS1950" s="23">
        <v>35</v>
      </c>
      <c r="AT1950" s="23"/>
      <c r="AU1950" s="14" t="str">
        <f>HYPERLINK("http://www.openstreetmap.org/?mlat=36.1816&amp;mlon=44.0182&amp;zoom=12#map=12/36.1816/44.0182","Maplink1")</f>
        <v>Maplink1</v>
      </c>
      <c r="AV1950" s="14" t="str">
        <f>HYPERLINK("https://www.google.iq/maps/search/+36.1816,44.0182/@36.1816,44.0182,14z?hl=en","Maplink2")</f>
        <v>Maplink2</v>
      </c>
      <c r="AW1950" s="14" t="str">
        <f>HYPERLINK("http://www.bing.com/maps/?lvl=14&amp;sty=h&amp;cp=36.1816~44.0182&amp;sp=point.36.1816_44.0182_Sedawa","Maplink3")</f>
        <v>Maplink3</v>
      </c>
    </row>
    <row r="1951" spans="1:49" ht="15" customHeight="1" x14ac:dyDescent="0.25">
      <c r="A1951" s="21">
        <v>11777</v>
      </c>
      <c r="B1951" s="22" t="s">
        <v>15</v>
      </c>
      <c r="C1951" s="22" t="s">
        <v>15</v>
      </c>
      <c r="D1951" s="22" t="s">
        <v>3679</v>
      </c>
      <c r="E1951" s="22" t="s">
        <v>3680</v>
      </c>
      <c r="F1951" s="22">
        <v>36.21429432</v>
      </c>
      <c r="G1951" s="22">
        <v>44.097612839999996</v>
      </c>
      <c r="H1951" s="21" t="s">
        <v>3500</v>
      </c>
      <c r="I1951" s="21" t="s">
        <v>3501</v>
      </c>
      <c r="J1951" s="21" t="s">
        <v>3681</v>
      </c>
      <c r="K1951" s="24">
        <v>433</v>
      </c>
      <c r="L1951" s="24">
        <v>2598</v>
      </c>
      <c r="M1951" s="23">
        <v>78</v>
      </c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>
        <v>274</v>
      </c>
      <c r="Z1951" s="23"/>
      <c r="AA1951" s="23">
        <v>81</v>
      </c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433</v>
      </c>
      <c r="AL1951" s="23"/>
      <c r="AM1951" s="23"/>
      <c r="AN1951" s="23"/>
      <c r="AO1951" s="23">
        <v>30</v>
      </c>
      <c r="AP1951" s="23">
        <v>274</v>
      </c>
      <c r="AQ1951" s="23">
        <v>81</v>
      </c>
      <c r="AR1951" s="23"/>
      <c r="AS1951" s="23">
        <v>40</v>
      </c>
      <c r="AT1951" s="23">
        <v>8</v>
      </c>
      <c r="AU1951" s="14" t="str">
        <f>HYPERLINK("http://www.openstreetmap.org/?mlat=36.2039&amp;mlon=44.1002&amp;zoom=12#map=12/36.2039/44.1002","Maplink1")</f>
        <v>Maplink1</v>
      </c>
      <c r="AV1951" s="14" t="str">
        <f>HYPERLINK("https://www.google.iq/maps/search/+36.2039,44.1002/@36.2039,44.1002,14z?hl=en","Maplink2")</f>
        <v>Maplink2</v>
      </c>
      <c r="AW1951" s="14" t="str">
        <f>HYPERLINK("http://www.bing.com/maps/?lvl=14&amp;sty=h&amp;cp=36.2039~44.1002&amp;sp=point.36.2039_44.1002_Sebardan","Maplink3")</f>
        <v>Maplink3</v>
      </c>
    </row>
    <row r="1952" spans="1:49" ht="15" customHeight="1" x14ac:dyDescent="0.25">
      <c r="A1952" s="21">
        <v>21251</v>
      </c>
      <c r="B1952" s="22" t="s">
        <v>15</v>
      </c>
      <c r="C1952" s="22" t="s">
        <v>15</v>
      </c>
      <c r="D1952" s="22" t="s">
        <v>8799</v>
      </c>
      <c r="E1952" s="22" t="s">
        <v>3701</v>
      </c>
      <c r="F1952" s="22">
        <v>36.186900000000001</v>
      </c>
      <c r="G1952" s="22">
        <v>44.0212</v>
      </c>
      <c r="H1952" s="21" t="s">
        <v>3500</v>
      </c>
      <c r="I1952" s="21" t="s">
        <v>3501</v>
      </c>
      <c r="J1952" s="21" t="s">
        <v>3702</v>
      </c>
      <c r="K1952" s="24">
        <v>183</v>
      </c>
      <c r="L1952" s="24">
        <v>1098</v>
      </c>
      <c r="M1952" s="23">
        <v>78</v>
      </c>
      <c r="N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>
        <v>70</v>
      </c>
      <c r="Z1952" s="23"/>
      <c r="AA1952" s="23">
        <v>35</v>
      </c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183</v>
      </c>
      <c r="AL1952" s="23"/>
      <c r="AM1952" s="23"/>
      <c r="AN1952" s="23"/>
      <c r="AO1952" s="23">
        <v>37</v>
      </c>
      <c r="AP1952" s="23">
        <v>105</v>
      </c>
      <c r="AQ1952" s="23"/>
      <c r="AR1952" s="23"/>
      <c r="AS1952" s="23">
        <v>36</v>
      </c>
      <c r="AT1952" s="23">
        <v>5</v>
      </c>
      <c r="AU1952" s="14" t="str">
        <f>HYPERLINK("http://www.openstreetmap.org/?mlat=36.1869&amp;mlon=44.0212&amp;zoom=12#map=12/36.1869/44.0212","Maplink1")</f>
        <v>Maplink1</v>
      </c>
      <c r="AV1952" s="14" t="str">
        <f>HYPERLINK("https://www.google.iq/maps/search/+36.1869,44.0212/@36.1869,44.0212,14z?hl=en","Maplink2")</f>
        <v>Maplink2</v>
      </c>
      <c r="AW1952" s="14" t="str">
        <f>HYPERLINK("http://www.bing.com/maps/?lvl=14&amp;sty=h&amp;cp=36.1869~44.0212&amp;sp=point.36.1869_44.0212_Sitaqan","Maplink3")</f>
        <v>Maplink3</v>
      </c>
    </row>
    <row r="1953" spans="1:49" ht="15" customHeight="1" x14ac:dyDescent="0.25">
      <c r="A1953" s="21">
        <v>25469</v>
      </c>
      <c r="B1953" s="22" t="s">
        <v>15</v>
      </c>
      <c r="C1953" s="22" t="s">
        <v>15</v>
      </c>
      <c r="D1953" s="22" t="s">
        <v>3684</v>
      </c>
      <c r="E1953" s="22" t="s">
        <v>3685</v>
      </c>
      <c r="F1953" s="22">
        <v>36.2224</v>
      </c>
      <c r="G1953" s="22">
        <v>44.127099999999999</v>
      </c>
      <c r="H1953" s="21" t="s">
        <v>3500</v>
      </c>
      <c r="I1953" s="21" t="s">
        <v>3501</v>
      </c>
      <c r="J1953" s="21"/>
      <c r="K1953" s="24">
        <v>600</v>
      </c>
      <c r="L1953" s="24">
        <v>3600</v>
      </c>
      <c r="M1953" s="23">
        <v>288</v>
      </c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155</v>
      </c>
      <c r="Z1953" s="23"/>
      <c r="AA1953" s="23">
        <v>157</v>
      </c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600</v>
      </c>
      <c r="AL1953" s="23"/>
      <c r="AM1953" s="23"/>
      <c r="AN1953" s="23"/>
      <c r="AO1953" s="23">
        <v>123</v>
      </c>
      <c r="AP1953" s="23">
        <v>155</v>
      </c>
      <c r="AQ1953" s="23">
        <v>157</v>
      </c>
      <c r="AR1953" s="23"/>
      <c r="AS1953" s="23">
        <v>165</v>
      </c>
      <c r="AT1953" s="23"/>
      <c r="AU1953" s="14" t="str">
        <f>HYPERLINK("http://www.openstreetmap.org/?mlat=36.2224&amp;mlon=44.1271&amp;zoom=12#map=12/36.2224/44.1271","Maplink1")</f>
        <v>Maplink1</v>
      </c>
      <c r="AV1953" s="14" t="str">
        <f>HYPERLINK("https://www.google.iq/maps/search/+36.2224,44.1271/@36.2224,44.1271,14z?hl=en","Maplink2")</f>
        <v>Maplink2</v>
      </c>
      <c r="AW1953" s="14" t="str">
        <f>HYPERLINK("http://www.bing.com/maps/?lvl=14&amp;sty=h&amp;cp=36.2224~44.1271&amp;sp=point.36.2224_44.1271_Shahan city","Maplink3")</f>
        <v>Maplink3</v>
      </c>
    </row>
    <row r="1954" spans="1:49" ht="15" customHeight="1" x14ac:dyDescent="0.25">
      <c r="A1954" s="21">
        <v>11711</v>
      </c>
      <c r="B1954" s="22" t="s">
        <v>15</v>
      </c>
      <c r="C1954" s="22" t="s">
        <v>15</v>
      </c>
      <c r="D1954" s="22" t="s">
        <v>3686</v>
      </c>
      <c r="E1954" s="22" t="s">
        <v>3687</v>
      </c>
      <c r="F1954" s="22">
        <v>36.380000000000003</v>
      </c>
      <c r="G1954" s="22">
        <v>43.87</v>
      </c>
      <c r="H1954" s="21" t="s">
        <v>3500</v>
      </c>
      <c r="I1954" s="21" t="s">
        <v>3501</v>
      </c>
      <c r="J1954" s="21" t="s">
        <v>3688</v>
      </c>
      <c r="K1954" s="24">
        <v>73</v>
      </c>
      <c r="L1954" s="24">
        <v>438</v>
      </c>
      <c r="M1954" s="23"/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73</v>
      </c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73</v>
      </c>
      <c r="AL1954" s="23"/>
      <c r="AM1954" s="23"/>
      <c r="AN1954" s="23"/>
      <c r="AO1954" s="23"/>
      <c r="AP1954" s="23"/>
      <c r="AQ1954" s="23">
        <v>73</v>
      </c>
      <c r="AR1954" s="23"/>
      <c r="AS1954" s="23"/>
      <c r="AT1954" s="23"/>
      <c r="AU1954" s="14" t="str">
        <f>HYPERLINK("http://www.openstreetmap.org/?mlat=36.38&amp;mlon=43.87&amp;zoom=12#map=12/36.38/43.87","Maplink1")</f>
        <v>Maplink1</v>
      </c>
      <c r="AV1954" s="14" t="str">
        <f>HYPERLINK("https://www.google.iq/maps/search/+36.38,43.87/@36.38,43.87,14z?hl=en","Maplink2")</f>
        <v>Maplink2</v>
      </c>
      <c r="AW1954" s="14" t="str">
        <f>HYPERLINK("http://www.bing.com/maps/?lvl=14&amp;sty=h&amp;cp=36.38~43.87&amp;sp=point.36.38_43.87_Shakholan","Maplink3")</f>
        <v>Maplink3</v>
      </c>
    </row>
    <row r="1955" spans="1:49" ht="15" customHeight="1" x14ac:dyDescent="0.25">
      <c r="A1955" s="21">
        <v>21250</v>
      </c>
      <c r="B1955" s="22" t="s">
        <v>15</v>
      </c>
      <c r="C1955" s="22" t="s">
        <v>15</v>
      </c>
      <c r="D1955" s="22" t="s">
        <v>3689</v>
      </c>
      <c r="E1955" s="22" t="s">
        <v>3690</v>
      </c>
      <c r="F1955" s="22">
        <v>36.167099999999998</v>
      </c>
      <c r="G1955" s="22">
        <v>44.038400000000003</v>
      </c>
      <c r="H1955" s="21" t="s">
        <v>3500</v>
      </c>
      <c r="I1955" s="21" t="s">
        <v>3501</v>
      </c>
      <c r="J1955" s="21" t="s">
        <v>3691</v>
      </c>
      <c r="K1955" s="24">
        <v>263</v>
      </c>
      <c r="L1955" s="24">
        <v>1578</v>
      </c>
      <c r="M1955" s="23">
        <v>168</v>
      </c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>
        <v>45</v>
      </c>
      <c r="Z1955" s="23"/>
      <c r="AA1955" s="23">
        <v>50</v>
      </c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263</v>
      </c>
      <c r="AL1955" s="23"/>
      <c r="AM1955" s="23"/>
      <c r="AN1955" s="23"/>
      <c r="AO1955" s="23">
        <v>52</v>
      </c>
      <c r="AP1955" s="23">
        <v>95</v>
      </c>
      <c r="AQ1955" s="23"/>
      <c r="AR1955" s="23"/>
      <c r="AS1955" s="23">
        <v>113</v>
      </c>
      <c r="AT1955" s="23">
        <v>3</v>
      </c>
      <c r="AU1955" s="14" t="str">
        <f>HYPERLINK("http://www.openstreetmap.org/?mlat=36.1671&amp;mlon=44.0384&amp;zoom=12#map=12/36.1671/44.0384","Maplink1")</f>
        <v>Maplink1</v>
      </c>
      <c r="AV1955" s="14" t="str">
        <f>HYPERLINK("https://www.google.iq/maps/search/+36.1671,44.0384/@36.1671,44.0384,14z?hl=en","Maplink2")</f>
        <v>Maplink2</v>
      </c>
      <c r="AW1955" s="14" t="str">
        <f>HYPERLINK("http://www.bing.com/maps/?lvl=14&amp;sty=h&amp;cp=36.1671~44.0384&amp;sp=point.36.1671_44.0384_Sharawany","Maplink3")</f>
        <v>Maplink3</v>
      </c>
    </row>
    <row r="1956" spans="1:49" ht="15" customHeight="1" x14ac:dyDescent="0.25">
      <c r="A1956" s="21">
        <v>11709</v>
      </c>
      <c r="B1956" s="22" t="s">
        <v>15</v>
      </c>
      <c r="C1956" s="22" t="s">
        <v>15</v>
      </c>
      <c r="D1956" s="22" t="s">
        <v>8800</v>
      </c>
      <c r="E1956" s="22" t="s">
        <v>3692</v>
      </c>
      <c r="F1956" s="22">
        <v>36.24</v>
      </c>
      <c r="G1956" s="22">
        <v>44.08</v>
      </c>
      <c r="H1956" s="21" t="s">
        <v>3500</v>
      </c>
      <c r="I1956" s="21" t="s">
        <v>3501</v>
      </c>
      <c r="J1956" s="21" t="s">
        <v>3693</v>
      </c>
      <c r="K1956" s="24">
        <v>680</v>
      </c>
      <c r="L1956" s="24">
        <v>4080</v>
      </c>
      <c r="M1956" s="23">
        <v>153</v>
      </c>
      <c r="N1956" s="23"/>
      <c r="O1956" s="23">
        <v>15</v>
      </c>
      <c r="P1956" s="23"/>
      <c r="Q1956" s="23"/>
      <c r="R1956" s="23"/>
      <c r="S1956" s="23"/>
      <c r="T1956" s="23"/>
      <c r="U1956" s="23"/>
      <c r="V1956" s="23"/>
      <c r="W1956" s="23"/>
      <c r="X1956" s="23"/>
      <c r="Y1956" s="23">
        <v>512</v>
      </c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>
        <v>680</v>
      </c>
      <c r="AL1956" s="23"/>
      <c r="AM1956" s="23"/>
      <c r="AN1956" s="23"/>
      <c r="AO1956" s="23">
        <v>88</v>
      </c>
      <c r="AP1956" s="23">
        <v>512</v>
      </c>
      <c r="AQ1956" s="23"/>
      <c r="AR1956" s="23"/>
      <c r="AS1956" s="23">
        <v>60</v>
      </c>
      <c r="AT1956" s="23">
        <v>20</v>
      </c>
      <c r="AU1956" s="14" t="str">
        <f>HYPERLINK("http://www.openstreetmap.org/?mlat=36.24&amp;mlon=44.08&amp;zoom=12#map=12/36.24/44.08","Maplink1")</f>
        <v>Maplink1</v>
      </c>
      <c r="AV1956" s="14" t="str">
        <f>HYPERLINK("https://www.google.iq/maps/search/+36.24,44.08/@36.24,44.08,14z?hl=en","Maplink2")</f>
        <v>Maplink2</v>
      </c>
      <c r="AW1956" s="14" t="str">
        <f>HYPERLINK("http://www.bing.com/maps/?lvl=14&amp;sty=h&amp;cp=36.24~44.08&amp;sp=point.36.24_44.08_Shawish","Maplink3")</f>
        <v>Maplink3</v>
      </c>
    </row>
    <row r="1957" spans="1:49" ht="15" customHeight="1" x14ac:dyDescent="0.25">
      <c r="A1957" s="21">
        <v>27331</v>
      </c>
      <c r="B1957" s="22" t="s">
        <v>15</v>
      </c>
      <c r="C1957" s="22" t="s">
        <v>15</v>
      </c>
      <c r="D1957" s="22" t="s">
        <v>3694</v>
      </c>
      <c r="E1957" s="22" t="s">
        <v>3695</v>
      </c>
      <c r="F1957" s="22">
        <v>36.196116500000002</v>
      </c>
      <c r="G1957" s="22">
        <v>44.135105350000003</v>
      </c>
      <c r="H1957" s="21" t="s">
        <v>3500</v>
      </c>
      <c r="I1957" s="21" t="s">
        <v>3501</v>
      </c>
      <c r="J1957" s="21"/>
      <c r="K1957" s="24">
        <v>37</v>
      </c>
      <c r="L1957" s="24">
        <v>222</v>
      </c>
      <c r="M1957" s="23">
        <v>13</v>
      </c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>
        <v>14</v>
      </c>
      <c r="Z1957" s="23"/>
      <c r="AA1957" s="23">
        <v>10</v>
      </c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>
        <v>37</v>
      </c>
      <c r="AL1957" s="23"/>
      <c r="AM1957" s="23"/>
      <c r="AN1957" s="23"/>
      <c r="AO1957" s="23">
        <v>5</v>
      </c>
      <c r="AP1957" s="23">
        <v>14</v>
      </c>
      <c r="AQ1957" s="23">
        <v>10</v>
      </c>
      <c r="AR1957" s="23"/>
      <c r="AS1957" s="23">
        <v>8</v>
      </c>
      <c r="AT1957" s="23"/>
      <c r="AU1957" s="14" t="str">
        <f>HYPERLINK("http://www.openstreetmap.org/?mlat=36.1106&amp;mlon=44.0825&amp;zoom=12#map=12/36.1106/44.0825","Maplink1")</f>
        <v>Maplink1</v>
      </c>
      <c r="AV1957" s="14" t="str">
        <f>HYPERLINK("https://www.google.iq/maps/search/+36.1106,44.0825/@36.1106,44.0825,14z?hl=en","Maplink2")</f>
        <v>Maplink2</v>
      </c>
      <c r="AW1957" s="14" t="str">
        <f>HYPERLINK("http://www.bing.com/maps/?lvl=14&amp;sty=h&amp;cp=36.1106~44.0825&amp;sp=point.36.1106_44.0825_Shiraton","Maplink3")</f>
        <v>Maplink3</v>
      </c>
    </row>
    <row r="1958" spans="1:49" ht="15" customHeight="1" x14ac:dyDescent="0.25">
      <c r="A1958" s="21">
        <v>22076</v>
      </c>
      <c r="B1958" s="22" t="s">
        <v>15</v>
      </c>
      <c r="C1958" s="22" t="s">
        <v>15</v>
      </c>
      <c r="D1958" s="22" t="s">
        <v>3822</v>
      </c>
      <c r="E1958" s="22" t="s">
        <v>3066</v>
      </c>
      <c r="F1958" s="22">
        <v>36.2044</v>
      </c>
      <c r="G1958" s="22">
        <v>44.009799999999998</v>
      </c>
      <c r="H1958" s="21" t="s">
        <v>3500</v>
      </c>
      <c r="I1958" s="21" t="s">
        <v>3501</v>
      </c>
      <c r="J1958" s="21" t="s">
        <v>3696</v>
      </c>
      <c r="K1958" s="24">
        <v>140</v>
      </c>
      <c r="L1958" s="24">
        <v>840</v>
      </c>
      <c r="M1958" s="23">
        <v>57</v>
      </c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>
        <v>60</v>
      </c>
      <c r="Z1958" s="23"/>
      <c r="AA1958" s="23">
        <v>23</v>
      </c>
      <c r="AB1958" s="23"/>
      <c r="AC1958" s="23"/>
      <c r="AD1958" s="23"/>
      <c r="AE1958" s="23"/>
      <c r="AF1958" s="23"/>
      <c r="AG1958" s="23">
        <v>19</v>
      </c>
      <c r="AH1958" s="23"/>
      <c r="AI1958" s="23"/>
      <c r="AJ1958" s="23"/>
      <c r="AK1958" s="23">
        <v>121</v>
      </c>
      <c r="AL1958" s="23"/>
      <c r="AM1958" s="23"/>
      <c r="AN1958" s="23"/>
      <c r="AO1958" s="23">
        <v>57</v>
      </c>
      <c r="AP1958" s="23">
        <v>73</v>
      </c>
      <c r="AQ1958" s="23"/>
      <c r="AR1958" s="23"/>
      <c r="AS1958" s="23"/>
      <c r="AT1958" s="23">
        <v>10</v>
      </c>
      <c r="AU1958" s="14" t="str">
        <f>HYPERLINK("http://www.openstreetmap.org/?mlat=36.2044&amp;mlon=44.0098&amp;zoom=12#map=12/36.2044/44.0098","Maplink1")</f>
        <v>Maplink1</v>
      </c>
      <c r="AV1958" s="14" t="str">
        <f>HYPERLINK("https://www.google.iq/maps/search/+36.2044,44.0098/@36.2044,44.0098,14z?hl=en","Maplink2")</f>
        <v>Maplink2</v>
      </c>
      <c r="AW1958" s="14" t="str">
        <f>HYPERLINK("http://www.bing.com/maps/?lvl=14&amp;sty=h&amp;cp=36.2044~44.0098&amp;sp=point.36.2044_44.0098_Shorash","Maplink3")</f>
        <v>Maplink3</v>
      </c>
    </row>
    <row r="1959" spans="1:49" ht="15" customHeight="1" x14ac:dyDescent="0.25">
      <c r="A1959" s="21">
        <v>27212</v>
      </c>
      <c r="B1959" s="22" t="s">
        <v>15</v>
      </c>
      <c r="C1959" s="22" t="s">
        <v>15</v>
      </c>
      <c r="D1959" s="22" t="s">
        <v>8801</v>
      </c>
      <c r="E1959" s="22" t="s">
        <v>3697</v>
      </c>
      <c r="F1959" s="22">
        <v>36.210458000000003</v>
      </c>
      <c r="G1959" s="22">
        <v>44.003548119999998</v>
      </c>
      <c r="H1959" s="21"/>
      <c r="I1959" s="21"/>
      <c r="J1959" s="21"/>
      <c r="K1959" s="24">
        <v>180</v>
      </c>
      <c r="L1959" s="24">
        <v>1080</v>
      </c>
      <c r="M1959" s="23">
        <v>112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>
        <v>30</v>
      </c>
      <c r="Z1959" s="23"/>
      <c r="AA1959" s="23">
        <v>38</v>
      </c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180</v>
      </c>
      <c r="AL1959" s="23"/>
      <c r="AM1959" s="23"/>
      <c r="AN1959" s="23"/>
      <c r="AO1959" s="23"/>
      <c r="AP1959" s="23">
        <v>68</v>
      </c>
      <c r="AQ1959" s="23"/>
      <c r="AR1959" s="23"/>
      <c r="AS1959" s="23">
        <v>108</v>
      </c>
      <c r="AT1959" s="23">
        <v>4</v>
      </c>
      <c r="AU1959" s="14" t="str">
        <f>HYPERLINK("http://www.openstreetmap.org/?mlat=36.135&amp;mlon=44.0105&amp;zoom=12#map=12/36.135/44.0105","Maplink1")</f>
        <v>Maplink1</v>
      </c>
      <c r="AV1959" s="14" t="str">
        <f>HYPERLINK("https://www.google.iq/maps/search/+36.135,44.0105/@36.135,44.0105,14z?hl=en","Maplink2")</f>
        <v>Maplink2</v>
      </c>
      <c r="AW1959" s="14" t="str">
        <f>HYPERLINK("http://www.bing.com/maps/?lvl=14&amp;sty=h&amp;cp=36.135~44.0105&amp;sp=point.36.135_44.0105_Shorash (Hakim awa)","Maplink3")</f>
        <v>Maplink3</v>
      </c>
    </row>
    <row r="1960" spans="1:49" ht="15" customHeight="1" x14ac:dyDescent="0.25">
      <c r="A1960" s="21">
        <v>27211</v>
      </c>
      <c r="B1960" s="22" t="s">
        <v>15</v>
      </c>
      <c r="C1960" s="22" t="s">
        <v>15</v>
      </c>
      <c r="D1960" s="22" t="s">
        <v>8802</v>
      </c>
      <c r="E1960" s="22" t="s">
        <v>3698</v>
      </c>
      <c r="F1960" s="22">
        <v>36.213788000000001</v>
      </c>
      <c r="G1960" s="22">
        <v>44.019290130000002</v>
      </c>
      <c r="H1960" s="21"/>
      <c r="I1960" s="21"/>
      <c r="J1960" s="21"/>
      <c r="K1960" s="24">
        <v>220</v>
      </c>
      <c r="L1960" s="24">
        <v>1320</v>
      </c>
      <c r="M1960" s="23">
        <v>115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>
        <v>60</v>
      </c>
      <c r="Z1960" s="23"/>
      <c r="AA1960" s="23">
        <v>45</v>
      </c>
      <c r="AB1960" s="23"/>
      <c r="AC1960" s="23"/>
      <c r="AD1960" s="23"/>
      <c r="AE1960" s="23"/>
      <c r="AF1960" s="23"/>
      <c r="AG1960" s="23">
        <v>44</v>
      </c>
      <c r="AH1960" s="23"/>
      <c r="AI1960" s="23"/>
      <c r="AJ1960" s="23"/>
      <c r="AK1960" s="23">
        <v>176</v>
      </c>
      <c r="AL1960" s="23"/>
      <c r="AM1960" s="23"/>
      <c r="AN1960" s="23"/>
      <c r="AO1960" s="23">
        <v>71</v>
      </c>
      <c r="AP1960" s="23">
        <v>105</v>
      </c>
      <c r="AQ1960" s="23"/>
      <c r="AR1960" s="23"/>
      <c r="AS1960" s="23">
        <v>33</v>
      </c>
      <c r="AT1960" s="23">
        <v>11</v>
      </c>
      <c r="AU1960" s="14" t="str">
        <f>HYPERLINK("http://www.openstreetmap.org/?mlat=36.124&amp;mlon=44.0127&amp;zoom=12#map=12/36.124/44.0127","Maplink1")</f>
        <v>Maplink1</v>
      </c>
      <c r="AV1960" s="14" t="str">
        <f>HYPERLINK("https://www.google.iq/maps/search/+36.124,44.0127/@36.124,44.0127,14z?hl=en","Maplink2")</f>
        <v>Maplink2</v>
      </c>
      <c r="AW1960" s="14" t="str">
        <f>HYPERLINK("http://www.bing.com/maps/?lvl=14&amp;sty=h&amp;cp=36.124~44.0127&amp;sp=point.36.124_44.0127_Shorash (Hay arey)","Maplink3")</f>
        <v>Maplink3</v>
      </c>
    </row>
    <row r="1961" spans="1:49" ht="15" customHeight="1" x14ac:dyDescent="0.25">
      <c r="A1961" s="21">
        <v>27214</v>
      </c>
      <c r="B1961" s="22" t="s">
        <v>15</v>
      </c>
      <c r="C1961" s="22" t="s">
        <v>15</v>
      </c>
      <c r="D1961" s="22" t="s">
        <v>8803</v>
      </c>
      <c r="E1961" s="22" t="s">
        <v>3699</v>
      </c>
      <c r="F1961" s="22">
        <v>36.122199999999999</v>
      </c>
      <c r="G1961" s="22">
        <v>44.005499999999998</v>
      </c>
      <c r="H1961" s="21"/>
      <c r="I1961" s="21"/>
      <c r="J1961" s="21"/>
      <c r="K1961" s="24">
        <v>162</v>
      </c>
      <c r="L1961" s="24">
        <v>972</v>
      </c>
      <c r="M1961" s="23">
        <v>87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>
        <v>32</v>
      </c>
      <c r="Z1961" s="23"/>
      <c r="AA1961" s="23">
        <v>43</v>
      </c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>
        <v>162</v>
      </c>
      <c r="AL1961" s="23"/>
      <c r="AM1961" s="23"/>
      <c r="AN1961" s="23"/>
      <c r="AO1961" s="23">
        <v>43</v>
      </c>
      <c r="AP1961" s="23">
        <v>75</v>
      </c>
      <c r="AQ1961" s="23"/>
      <c r="AR1961" s="23"/>
      <c r="AS1961" s="23">
        <v>44</v>
      </c>
      <c r="AT1961" s="23"/>
      <c r="AU1961" s="14" t="str">
        <f>HYPERLINK("http://www.openstreetmap.org/?mlat=36.1222&amp;mlon=44.0055&amp;zoom=12#map=12/36.1222/44.0055","Maplink1")</f>
        <v>Maplink1</v>
      </c>
      <c r="AV1961" s="14" t="str">
        <f>HYPERLINK("https://www.google.iq/maps/search/+36.1222,44.0055/@36.1222,44.0055,14z?hl=en","Maplink2")</f>
        <v>Maplink2</v>
      </c>
      <c r="AW1961" s="14" t="str">
        <f>HYPERLINK("http://www.bing.com/maps/?lvl=14&amp;sty=h&amp;cp=36.1222~44.0055&amp;sp=point.36.1222_44.0055_Shorash (Malayan)","Maplink3")</f>
        <v>Maplink3</v>
      </c>
    </row>
    <row r="1962" spans="1:49" ht="15" customHeight="1" x14ac:dyDescent="0.25">
      <c r="A1962" s="21">
        <v>27213</v>
      </c>
      <c r="B1962" s="22" t="s">
        <v>15</v>
      </c>
      <c r="C1962" s="22" t="s">
        <v>15</v>
      </c>
      <c r="D1962" s="22" t="s">
        <v>8804</v>
      </c>
      <c r="E1962" s="22" t="s">
        <v>3700</v>
      </c>
      <c r="F1962" s="22">
        <v>36.209699999999998</v>
      </c>
      <c r="G1962" s="22">
        <v>44.003399999999999</v>
      </c>
      <c r="H1962" s="21"/>
      <c r="I1962" s="21"/>
      <c r="J1962" s="21"/>
      <c r="K1962" s="24">
        <v>101</v>
      </c>
      <c r="L1962" s="24">
        <v>606</v>
      </c>
      <c r="M1962" s="23">
        <v>64</v>
      </c>
      <c r="N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>
        <v>15</v>
      </c>
      <c r="Z1962" s="23"/>
      <c r="AA1962" s="23">
        <v>22</v>
      </c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101</v>
      </c>
      <c r="AL1962" s="23"/>
      <c r="AM1962" s="23"/>
      <c r="AN1962" s="23"/>
      <c r="AO1962" s="23"/>
      <c r="AP1962" s="23">
        <v>37</v>
      </c>
      <c r="AQ1962" s="23"/>
      <c r="AR1962" s="23"/>
      <c r="AS1962" s="23">
        <v>57</v>
      </c>
      <c r="AT1962" s="23">
        <v>7</v>
      </c>
      <c r="AU1962" s="14" t="str">
        <f>HYPERLINK("http://www.openstreetmap.org/?mlat=36.2097&amp;mlon=44.0034&amp;zoom=12#map=12/36.2097/44.0034","Maplink1")</f>
        <v>Maplink1</v>
      </c>
      <c r="AV1962" s="14" t="str">
        <f>HYPERLINK("https://www.google.iq/maps/search/+36.2097,44.0034/@36.2097,44.0034,14z?hl=en","Maplink2")</f>
        <v>Maplink2</v>
      </c>
      <c r="AW1962" s="14" t="str">
        <f>HYPERLINK("http://www.bing.com/maps/?lvl=14&amp;sty=h&amp;cp=36.2097~44.0034&amp;sp=point.36.2097_44.0034_Shorash (Salahadin)","Maplink3")</f>
        <v>Maplink3</v>
      </c>
    </row>
    <row r="1963" spans="1:49" ht="15" customHeight="1" x14ac:dyDescent="0.25">
      <c r="A1963" s="21">
        <v>27149</v>
      </c>
      <c r="B1963" s="22" t="s">
        <v>15</v>
      </c>
      <c r="C1963" s="22" t="s">
        <v>15</v>
      </c>
      <c r="D1963" s="22" t="s">
        <v>8805</v>
      </c>
      <c r="E1963" s="22" t="s">
        <v>3703</v>
      </c>
      <c r="F1963" s="22">
        <v>36.226900000000001</v>
      </c>
      <c r="G1963" s="22">
        <v>44.001199999999997</v>
      </c>
      <c r="H1963" s="21" t="s">
        <v>3500</v>
      </c>
      <c r="I1963" s="21" t="s">
        <v>3501</v>
      </c>
      <c r="J1963" s="21"/>
      <c r="K1963" s="24">
        <v>171</v>
      </c>
      <c r="L1963" s="24">
        <v>1026</v>
      </c>
      <c r="M1963" s="23"/>
      <c r="N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>
        <v>156</v>
      </c>
      <c r="Z1963" s="23"/>
      <c r="AA1963" s="23">
        <v>15</v>
      </c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>
        <v>171</v>
      </c>
      <c r="AL1963" s="23"/>
      <c r="AM1963" s="23"/>
      <c r="AN1963" s="23"/>
      <c r="AO1963" s="23"/>
      <c r="AP1963" s="23">
        <v>131</v>
      </c>
      <c r="AQ1963" s="23">
        <v>40</v>
      </c>
      <c r="AR1963" s="23"/>
      <c r="AS1963" s="23"/>
      <c r="AT1963" s="23"/>
      <c r="AU1963" s="14" t="str">
        <f>HYPERLINK("http://www.openstreetmap.org/?mlat=36.2269&amp;mlon=44.0012&amp;zoom=12#map=12/36.2269/44.0012","Maplink1")</f>
        <v>Maplink1</v>
      </c>
      <c r="AV1963" s="14" t="str">
        <f>HYPERLINK("https://www.google.iq/maps/search/+36.2269,44.0012/@36.2269,44.0012,14z?hl=en","Maplink2")</f>
        <v>Maplink2</v>
      </c>
      <c r="AW1963" s="14" t="str">
        <f>HYPERLINK("http://www.bing.com/maps/?lvl=14&amp;sty=h&amp;cp=36.2269~44.0012&amp;sp=point.36.2269_44.0012_Sommer","Maplink3")</f>
        <v>Maplink3</v>
      </c>
    </row>
    <row r="1964" spans="1:49" ht="15" customHeight="1" x14ac:dyDescent="0.25">
      <c r="A1964" s="21">
        <v>22027</v>
      </c>
      <c r="B1964" s="22" t="s">
        <v>15</v>
      </c>
      <c r="C1964" s="22" t="s">
        <v>15</v>
      </c>
      <c r="D1964" s="22" t="s">
        <v>8806</v>
      </c>
      <c r="E1964" s="22" t="s">
        <v>3671</v>
      </c>
      <c r="F1964" s="22">
        <v>36.212653199999998</v>
      </c>
      <c r="G1964" s="22">
        <v>43.611422699999999</v>
      </c>
      <c r="H1964" s="21" t="s">
        <v>3500</v>
      </c>
      <c r="I1964" s="21" t="s">
        <v>3501</v>
      </c>
      <c r="J1964" s="21" t="s">
        <v>3672</v>
      </c>
      <c r="K1964" s="24">
        <v>100</v>
      </c>
      <c r="L1964" s="24">
        <v>600</v>
      </c>
      <c r="M1964" s="23"/>
      <c r="N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>
        <v>100</v>
      </c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100</v>
      </c>
      <c r="AL1964" s="23"/>
      <c r="AM1964" s="23"/>
      <c r="AN1964" s="23"/>
      <c r="AO1964" s="23"/>
      <c r="AP1964" s="23"/>
      <c r="AQ1964" s="23"/>
      <c r="AR1964" s="23"/>
      <c r="AS1964" s="23">
        <v>100</v>
      </c>
      <c r="AT1964" s="23"/>
      <c r="AU1964" s="14" t="str">
        <f>HYPERLINK("http://www.openstreetmap.org/?mlat=36.3414&amp;mlon=43.9867&amp;zoom=12#map=12/36.3414/43.9867","Maplink1")</f>
        <v>Maplink1</v>
      </c>
      <c r="AV1964" s="14" t="str">
        <f>HYPERLINK("https://www.google.iq/maps/search/+36.3414,43.9867/@36.3414,43.9867,14z?hl=en","Maplink2")</f>
        <v>Maplink2</v>
      </c>
      <c r="AW1964" s="14" t="str">
        <f>HYPERLINK("http://www.bing.com/maps/?lvl=14&amp;sty=h&amp;cp=36.3414~43.9867&amp;sp=point.36.3414_43.9867_Safiya village","Maplink3")</f>
        <v>Maplink3</v>
      </c>
    </row>
    <row r="1965" spans="1:49" ht="15" customHeight="1" x14ac:dyDescent="0.25">
      <c r="A1965" s="21">
        <v>24159</v>
      </c>
      <c r="B1965" s="22" t="s">
        <v>15</v>
      </c>
      <c r="C1965" s="22" t="s">
        <v>15</v>
      </c>
      <c r="D1965" s="22" t="s">
        <v>8807</v>
      </c>
      <c r="E1965" s="22" t="s">
        <v>3705</v>
      </c>
      <c r="F1965" s="22">
        <v>36.2012</v>
      </c>
      <c r="G1965" s="22">
        <v>44.009900000000002</v>
      </c>
      <c r="H1965" s="21" t="s">
        <v>3500</v>
      </c>
      <c r="I1965" s="21" t="s">
        <v>3501</v>
      </c>
      <c r="J1965" s="21" t="s">
        <v>3706</v>
      </c>
      <c r="K1965" s="24">
        <v>659</v>
      </c>
      <c r="L1965" s="24">
        <v>3954</v>
      </c>
      <c r="M1965" s="23">
        <v>549</v>
      </c>
      <c r="N1965" s="23"/>
      <c r="O1965" s="23">
        <v>8</v>
      </c>
      <c r="P1965" s="23"/>
      <c r="Q1965" s="23"/>
      <c r="R1965" s="23"/>
      <c r="S1965" s="23"/>
      <c r="T1965" s="23"/>
      <c r="U1965" s="23"/>
      <c r="V1965" s="23"/>
      <c r="W1965" s="23"/>
      <c r="X1965" s="23"/>
      <c r="Y1965" s="23">
        <v>67</v>
      </c>
      <c r="Z1965" s="23"/>
      <c r="AA1965" s="23">
        <v>35</v>
      </c>
      <c r="AB1965" s="23"/>
      <c r="AC1965" s="23"/>
      <c r="AD1965" s="23"/>
      <c r="AE1965" s="23"/>
      <c r="AF1965" s="23"/>
      <c r="AG1965" s="23">
        <v>68</v>
      </c>
      <c r="AH1965" s="23"/>
      <c r="AI1965" s="23"/>
      <c r="AJ1965" s="23"/>
      <c r="AK1965" s="23">
        <v>591</v>
      </c>
      <c r="AL1965" s="23"/>
      <c r="AM1965" s="23"/>
      <c r="AN1965" s="23"/>
      <c r="AO1965" s="23">
        <v>376</v>
      </c>
      <c r="AP1965" s="23">
        <v>102</v>
      </c>
      <c r="AQ1965" s="23"/>
      <c r="AR1965" s="23">
        <v>8</v>
      </c>
      <c r="AS1965" s="23">
        <v>97</v>
      </c>
      <c r="AT1965" s="23">
        <v>76</v>
      </c>
      <c r="AU1965" s="14" t="str">
        <f>HYPERLINK("http://www.openstreetmap.org/?mlat=36.2012&amp;mlon=44.0099&amp;zoom=12#map=12/36.2012/44.0099","Maplink1")</f>
        <v>Maplink1</v>
      </c>
      <c r="AV1965" s="14" t="str">
        <f>HYPERLINK("https://www.google.iq/maps/search/+36.2012,44.0099/@36.2012,44.0099,14z?hl=en","Maplink2")</f>
        <v>Maplink2</v>
      </c>
      <c r="AW1965" s="14" t="str">
        <f>HYPERLINK("http://www.bing.com/maps/?lvl=14&amp;sty=h&amp;cp=36.2012~44.0099&amp;sp=point.36.2012_44.0099_Terawa","Maplink3")</f>
        <v>Maplink3</v>
      </c>
    </row>
    <row r="1966" spans="1:49" ht="15" customHeight="1" x14ac:dyDescent="0.25">
      <c r="A1966" s="21">
        <v>11706</v>
      </c>
      <c r="B1966" s="22" t="s">
        <v>15</v>
      </c>
      <c r="C1966" s="22" t="s">
        <v>15</v>
      </c>
      <c r="D1966" s="22" t="s">
        <v>3707</v>
      </c>
      <c r="E1966" s="22" t="s">
        <v>3708</v>
      </c>
      <c r="F1966" s="22">
        <v>36.170493899999997</v>
      </c>
      <c r="G1966" s="22">
        <v>43.936508709999998</v>
      </c>
      <c r="H1966" s="21" t="s">
        <v>3500</v>
      </c>
      <c r="I1966" s="21" t="s">
        <v>3501</v>
      </c>
      <c r="J1966" s="21" t="s">
        <v>3709</v>
      </c>
      <c r="K1966" s="24">
        <v>1820</v>
      </c>
      <c r="L1966" s="24">
        <v>10920</v>
      </c>
      <c r="M1966" s="23">
        <v>392</v>
      </c>
      <c r="N1966" s="23"/>
      <c r="O1966" s="23">
        <v>322</v>
      </c>
      <c r="P1966" s="23"/>
      <c r="Q1966" s="23"/>
      <c r="R1966" s="23"/>
      <c r="S1966" s="23">
        <v>57</v>
      </c>
      <c r="T1966" s="23"/>
      <c r="U1966" s="23"/>
      <c r="V1966" s="23"/>
      <c r="W1966" s="23"/>
      <c r="X1966" s="23"/>
      <c r="Y1966" s="23">
        <v>940</v>
      </c>
      <c r="Z1966" s="23"/>
      <c r="AA1966" s="23">
        <v>109</v>
      </c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1820</v>
      </c>
      <c r="AL1966" s="23"/>
      <c r="AM1966" s="23"/>
      <c r="AN1966" s="23"/>
      <c r="AO1966" s="23">
        <v>278</v>
      </c>
      <c r="AP1966" s="23">
        <v>891</v>
      </c>
      <c r="AQ1966" s="23">
        <v>144</v>
      </c>
      <c r="AR1966" s="23">
        <v>240</v>
      </c>
      <c r="AS1966" s="23">
        <v>152</v>
      </c>
      <c r="AT1966" s="23">
        <v>115</v>
      </c>
      <c r="AU1966" s="14" t="str">
        <f>HYPERLINK("http://www.openstreetmap.org/?mlat=36.16&amp;mlon=43.93&amp;zoom=12#map=12/36.16/43.93","Maplink1")</f>
        <v>Maplink1</v>
      </c>
      <c r="AV1966" s="14" t="str">
        <f>HYPERLINK("https://www.google.iq/maps/search/+36.16,43.93/@36.16,43.93,14z?hl=en","Maplink2")</f>
        <v>Maplink2</v>
      </c>
      <c r="AW1966" s="14" t="str">
        <f>HYPERLINK("http://www.bing.com/maps/?lvl=14&amp;sty=h&amp;cp=36.16~43.93&amp;sp=point.36.16_43.93_Turaq","Maplink3")</f>
        <v>Maplink3</v>
      </c>
    </row>
    <row r="1967" spans="1:49" ht="15" customHeight="1" x14ac:dyDescent="0.25">
      <c r="A1967" s="21">
        <v>24308</v>
      </c>
      <c r="B1967" s="22" t="s">
        <v>15</v>
      </c>
      <c r="C1967" s="22" t="s">
        <v>15</v>
      </c>
      <c r="D1967" s="22" t="s">
        <v>3710</v>
      </c>
      <c r="E1967" s="22" t="s">
        <v>3711</v>
      </c>
      <c r="F1967" s="22">
        <v>36.1417</v>
      </c>
      <c r="G1967" s="22">
        <v>44.070900000000002</v>
      </c>
      <c r="H1967" s="21" t="s">
        <v>3500</v>
      </c>
      <c r="I1967" s="21" t="s">
        <v>3501</v>
      </c>
      <c r="J1967" s="21" t="s">
        <v>3712</v>
      </c>
      <c r="K1967" s="24">
        <v>3190</v>
      </c>
      <c r="L1967" s="24">
        <v>19140</v>
      </c>
      <c r="M1967" s="23">
        <v>2345</v>
      </c>
      <c r="N1967" s="23"/>
      <c r="O1967" s="23">
        <v>20</v>
      </c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>
        <v>825</v>
      </c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>
        <v>3190</v>
      </c>
      <c r="AL1967" s="23"/>
      <c r="AM1967" s="23"/>
      <c r="AN1967" s="23"/>
      <c r="AO1967" s="23">
        <v>1205</v>
      </c>
      <c r="AP1967" s="23">
        <v>825</v>
      </c>
      <c r="AQ1967" s="23"/>
      <c r="AR1967" s="23"/>
      <c r="AS1967" s="23">
        <v>1085</v>
      </c>
      <c r="AT1967" s="23">
        <v>75</v>
      </c>
      <c r="AU1967" s="14" t="str">
        <f>HYPERLINK("http://www.openstreetmap.org/?mlat=36.1417&amp;mlon=44.0709&amp;zoom=12#map=12/36.1417/44.0709","Maplink1")</f>
        <v>Maplink1</v>
      </c>
      <c r="AV1967" s="14" t="str">
        <f>HYPERLINK("https://www.google.iq/maps/search/+36.1417,44.0709/@36.1417,44.0709,14z?hl=en","Maplink2")</f>
        <v>Maplink2</v>
      </c>
      <c r="AW1967" s="14" t="str">
        <f>HYPERLINK("http://www.bing.com/maps/?lvl=14&amp;sty=h&amp;cp=36.1417~44.0709&amp;sp=point.36.1417_44.0709_Zaiton Collective","Maplink3")</f>
        <v>Maplink3</v>
      </c>
    </row>
    <row r="1968" spans="1:49" ht="15" customHeight="1" x14ac:dyDescent="0.25">
      <c r="A1968" s="21">
        <v>21253</v>
      </c>
      <c r="B1968" s="22" t="s">
        <v>15</v>
      </c>
      <c r="C1968" s="22" t="s">
        <v>15</v>
      </c>
      <c r="D1968" s="22" t="s">
        <v>3713</v>
      </c>
      <c r="E1968" s="22" t="s">
        <v>3714</v>
      </c>
      <c r="F1968" s="22">
        <v>36.149799999999999</v>
      </c>
      <c r="G1968" s="22">
        <v>44.026200000000003</v>
      </c>
      <c r="H1968" s="21" t="s">
        <v>3500</v>
      </c>
      <c r="I1968" s="21" t="s">
        <v>3501</v>
      </c>
      <c r="J1968" s="21" t="s">
        <v>3715</v>
      </c>
      <c r="K1968" s="24">
        <v>1210</v>
      </c>
      <c r="L1968" s="24">
        <v>7260</v>
      </c>
      <c r="M1968" s="23">
        <v>533</v>
      </c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>
        <v>411</v>
      </c>
      <c r="Z1968" s="23"/>
      <c r="AA1968" s="23">
        <v>266</v>
      </c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1210</v>
      </c>
      <c r="AL1968" s="23"/>
      <c r="AM1968" s="23"/>
      <c r="AN1968" s="23"/>
      <c r="AO1968" s="23">
        <v>242</v>
      </c>
      <c r="AP1968" s="23">
        <v>676</v>
      </c>
      <c r="AQ1968" s="23"/>
      <c r="AR1968" s="23"/>
      <c r="AS1968" s="23">
        <v>292</v>
      </c>
      <c r="AT1968" s="23"/>
      <c r="AU1968" s="14" t="str">
        <f>HYPERLINK("http://www.openstreetmap.org/?mlat=36.1498&amp;mlon=44.0262&amp;zoom=12#map=12/36.1498/44.0262","Maplink1")</f>
        <v>Maplink1</v>
      </c>
      <c r="AV1968" s="14" t="str">
        <f>HYPERLINK("https://www.google.iq/maps/search/+36.1498,44.0262/@36.1498,44.0262,14z?hl=en","Maplink2")</f>
        <v>Maplink2</v>
      </c>
      <c r="AW1968" s="14" t="str">
        <f>HYPERLINK("http://www.bing.com/maps/?lvl=14&amp;sty=h&amp;cp=36.1498~44.0262&amp;sp=point.36.1498_44.0262_Zanko","Maplink3")</f>
        <v>Maplink3</v>
      </c>
    </row>
    <row r="1969" spans="1:49" ht="15" customHeight="1" x14ac:dyDescent="0.25">
      <c r="A1969" s="21">
        <v>27139</v>
      </c>
      <c r="B1969" s="22" t="s">
        <v>15</v>
      </c>
      <c r="C1969" s="22" t="s">
        <v>15</v>
      </c>
      <c r="D1969" s="22" t="s">
        <v>3716</v>
      </c>
      <c r="E1969" s="22" t="s">
        <v>3717</v>
      </c>
      <c r="F1969" s="22">
        <v>36.254800000000003</v>
      </c>
      <c r="G1969" s="22">
        <v>44.065399999999997</v>
      </c>
      <c r="H1969" s="21" t="s">
        <v>3500</v>
      </c>
      <c r="I1969" s="21" t="s">
        <v>3501</v>
      </c>
      <c r="J1969" s="21"/>
      <c r="K1969" s="24">
        <v>270</v>
      </c>
      <c r="L1969" s="24">
        <v>1620</v>
      </c>
      <c r="M1969" s="23">
        <v>90</v>
      </c>
      <c r="N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>
        <v>104</v>
      </c>
      <c r="Z1969" s="23"/>
      <c r="AA1969" s="23">
        <v>76</v>
      </c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270</v>
      </c>
      <c r="AL1969" s="23"/>
      <c r="AM1969" s="23"/>
      <c r="AN1969" s="23"/>
      <c r="AO1969" s="23"/>
      <c r="AP1969" s="23">
        <v>104</v>
      </c>
      <c r="AQ1969" s="23">
        <v>76</v>
      </c>
      <c r="AR1969" s="23"/>
      <c r="AS1969" s="23">
        <v>69</v>
      </c>
      <c r="AT1969" s="23">
        <v>21</v>
      </c>
      <c r="AU1969" s="14" t="str">
        <f>HYPERLINK("http://www.openstreetmap.org/?mlat=36.2548&amp;mlon=44.0654&amp;zoom=12#map=12/36.2548/44.0654","Maplink1")</f>
        <v>Maplink1</v>
      </c>
      <c r="AV1969" s="14" t="str">
        <f>HYPERLINK("https://www.google.iq/maps/search/+36.2548,44.0654/@36.2548,44.0654,14z?hl=en","Maplink2")</f>
        <v>Maplink2</v>
      </c>
      <c r="AW1969" s="14" t="str">
        <f>HYPERLINK("http://www.bing.com/maps/?lvl=14&amp;sty=h&amp;cp=36.2548~44.0654&amp;sp=point.36.2548_44.0654_Zen city","Maplink3")</f>
        <v>Maplink3</v>
      </c>
    </row>
    <row r="1970" spans="1:49" ht="15" customHeight="1" x14ac:dyDescent="0.25">
      <c r="A1970" s="21">
        <v>24421</v>
      </c>
      <c r="B1970" s="22" t="s">
        <v>15</v>
      </c>
      <c r="C1970" s="22" t="s">
        <v>15</v>
      </c>
      <c r="D1970" s="22" t="s">
        <v>8808</v>
      </c>
      <c r="E1970" s="22" t="s">
        <v>3718</v>
      </c>
      <c r="F1970" s="22">
        <v>36.280482200000002</v>
      </c>
      <c r="G1970" s="22">
        <v>44.099305729999998</v>
      </c>
      <c r="H1970" s="21" t="s">
        <v>3500</v>
      </c>
      <c r="I1970" s="21" t="s">
        <v>3501</v>
      </c>
      <c r="J1970" s="21"/>
      <c r="K1970" s="24">
        <v>1228</v>
      </c>
      <c r="L1970" s="24">
        <v>7368</v>
      </c>
      <c r="M1970" s="23">
        <v>503</v>
      </c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515</v>
      </c>
      <c r="Z1970" s="23"/>
      <c r="AA1970" s="23">
        <v>210</v>
      </c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>
        <v>1228</v>
      </c>
      <c r="AL1970" s="23"/>
      <c r="AM1970" s="23"/>
      <c r="AN1970" s="23"/>
      <c r="AO1970" s="23">
        <v>301</v>
      </c>
      <c r="AP1970" s="23">
        <v>515</v>
      </c>
      <c r="AQ1970" s="23">
        <v>210</v>
      </c>
      <c r="AR1970" s="23"/>
      <c r="AS1970" s="23">
        <v>198</v>
      </c>
      <c r="AT1970" s="23">
        <v>4</v>
      </c>
      <c r="AU1970" s="14" t="str">
        <f>HYPERLINK("http://www.openstreetmap.org/?mlat=36.2791&amp;mlon=44.0381&amp;zoom=12#map=12/36.2791/44.0381","Maplink1")</f>
        <v>Maplink1</v>
      </c>
      <c r="AV1970" s="14" t="str">
        <f>HYPERLINK("https://www.google.iq/maps/search/+36.2791,44.0381/@36.2791,44.0381,14z?hl=en","Maplink2")</f>
        <v>Maplink2</v>
      </c>
      <c r="AW1970" s="14" t="str">
        <f>HYPERLINK("http://www.bing.com/maps/?lvl=14&amp;sty=h&amp;cp=36.2791~44.0381&amp;sp=point.36.2791_44.0381_Zeren","Maplink3")</f>
        <v>Maplink3</v>
      </c>
    </row>
    <row r="1971" spans="1:49" ht="15" customHeight="1" x14ac:dyDescent="0.25">
      <c r="A1971" s="21">
        <v>25972</v>
      </c>
      <c r="B1971" s="22" t="s">
        <v>15</v>
      </c>
      <c r="C1971" s="22" t="s">
        <v>15</v>
      </c>
      <c r="D1971" s="22" t="s">
        <v>3719</v>
      </c>
      <c r="E1971" s="22" t="s">
        <v>3720</v>
      </c>
      <c r="F1971" s="22">
        <v>36.122300000000003</v>
      </c>
      <c r="G1971" s="22">
        <v>44.047199999999997</v>
      </c>
      <c r="H1971" s="21" t="s">
        <v>3500</v>
      </c>
      <c r="I1971" s="21" t="s">
        <v>3501</v>
      </c>
      <c r="J1971" s="21"/>
      <c r="K1971" s="24">
        <v>145</v>
      </c>
      <c r="L1971" s="24">
        <v>870</v>
      </c>
      <c r="M1971" s="23">
        <v>75</v>
      </c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45</v>
      </c>
      <c r="Z1971" s="23"/>
      <c r="AA1971" s="23">
        <v>25</v>
      </c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>
        <v>145</v>
      </c>
      <c r="AL1971" s="23"/>
      <c r="AM1971" s="23"/>
      <c r="AN1971" s="23"/>
      <c r="AO1971" s="23"/>
      <c r="AP1971" s="23">
        <v>45</v>
      </c>
      <c r="AQ1971" s="23">
        <v>25</v>
      </c>
      <c r="AR1971" s="23"/>
      <c r="AS1971" s="23">
        <v>75</v>
      </c>
      <c r="AT1971" s="23"/>
      <c r="AU1971" s="14" t="str">
        <f>HYPERLINK("http://www.openstreetmap.org/?mlat=36.1223&amp;mlon=44.0472&amp;zoom=12#map=12/36.1223/44.0472","Maplink1")</f>
        <v>Maplink1</v>
      </c>
      <c r="AV1971" s="14" t="str">
        <f>HYPERLINK("https://www.google.iq/maps/search/+36.1223,44.0472/@36.1223,44.0472,14z?hl=en","Maplink2")</f>
        <v>Maplink2</v>
      </c>
      <c r="AW1971" s="14" t="str">
        <f>HYPERLINK("http://www.bing.com/maps/?lvl=14&amp;sty=h&amp;cp=36.1223~44.0472&amp;sp=point.36.1223_44.0472_Zheen","Maplink3")</f>
        <v>Maplink3</v>
      </c>
    </row>
    <row r="1972" spans="1:49" ht="15" customHeight="1" x14ac:dyDescent="0.25">
      <c r="A1972" s="21">
        <v>25629</v>
      </c>
      <c r="B1972" s="22" t="s">
        <v>15</v>
      </c>
      <c r="C1972" s="22" t="s">
        <v>15</v>
      </c>
      <c r="D1972" s="22" t="s">
        <v>3721</v>
      </c>
      <c r="E1972" s="22" t="s">
        <v>3722</v>
      </c>
      <c r="F1972" s="22">
        <v>36.1325</v>
      </c>
      <c r="G1972" s="22">
        <v>44.014499999999998</v>
      </c>
      <c r="H1972" s="21" t="s">
        <v>3500</v>
      </c>
      <c r="I1972" s="21" t="s">
        <v>3501</v>
      </c>
      <c r="J1972" s="21"/>
      <c r="K1972" s="24">
        <v>754</v>
      </c>
      <c r="L1972" s="24">
        <v>4524</v>
      </c>
      <c r="M1972" s="23">
        <v>586</v>
      </c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>
        <v>168</v>
      </c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>
        <v>754</v>
      </c>
      <c r="AL1972" s="23"/>
      <c r="AM1972" s="23"/>
      <c r="AN1972" s="23"/>
      <c r="AO1972" s="23">
        <v>222</v>
      </c>
      <c r="AP1972" s="23">
        <v>168</v>
      </c>
      <c r="AQ1972" s="23"/>
      <c r="AR1972" s="23"/>
      <c r="AS1972" s="23">
        <v>364</v>
      </c>
      <c r="AT1972" s="23"/>
      <c r="AU1972" s="14" t="str">
        <f>HYPERLINK("http://www.openstreetmap.org/?mlat=36.1325&amp;mlon=44.0145&amp;zoom=12#map=12/36.1325/44.0145","Maplink1")</f>
        <v>Maplink1</v>
      </c>
      <c r="AV1972" s="14" t="str">
        <f>HYPERLINK("https://www.google.iq/maps/search/+36.1325,44.0145/@36.1325,44.0145,14z?hl=en","Maplink2")</f>
        <v>Maplink2</v>
      </c>
      <c r="AW1972" s="14" t="str">
        <f>HYPERLINK("http://www.bing.com/maps/?lvl=14&amp;sty=h&amp;cp=36.1325~44.0145&amp;sp=point.36.1325_44.0145_Zhyan","Maplink3")</f>
        <v>Maplink3</v>
      </c>
    </row>
    <row r="1973" spans="1:49" ht="15" customHeight="1" x14ac:dyDescent="0.25">
      <c r="A1973" s="21">
        <v>24484</v>
      </c>
      <c r="B1973" s="22" t="s">
        <v>15</v>
      </c>
      <c r="C1973" s="22" t="s">
        <v>3723</v>
      </c>
      <c r="D1973" s="22" t="s">
        <v>3724</v>
      </c>
      <c r="E1973" s="22" t="s">
        <v>3725</v>
      </c>
      <c r="F1973" s="22">
        <v>36.066400000000002</v>
      </c>
      <c r="G1973" s="22">
        <v>44.607300000000002</v>
      </c>
      <c r="H1973" s="21" t="s">
        <v>3500</v>
      </c>
      <c r="I1973" s="21" t="s">
        <v>3726</v>
      </c>
      <c r="J1973" s="21"/>
      <c r="K1973" s="24">
        <v>20</v>
      </c>
      <c r="L1973" s="24">
        <v>120</v>
      </c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20</v>
      </c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>
        <v>20</v>
      </c>
      <c r="AL1973" s="23"/>
      <c r="AM1973" s="23"/>
      <c r="AN1973" s="23"/>
      <c r="AO1973" s="23"/>
      <c r="AP1973" s="23">
        <v>20</v>
      </c>
      <c r="AQ1973" s="23"/>
      <c r="AR1973" s="23"/>
      <c r="AS1973" s="23"/>
      <c r="AT1973" s="23"/>
      <c r="AU1973" s="14" t="str">
        <f>HYPERLINK("http://www.openstreetmap.org/?mlat=36.0664&amp;mlon=44.6073&amp;zoom=12#map=12/36.0664/44.6073","Maplink1")</f>
        <v>Maplink1</v>
      </c>
      <c r="AV1973" s="14" t="str">
        <f>HYPERLINK("https://www.google.iq/maps/search/+36.0664,44.6073/@36.0664,44.6073,14z?hl=en","Maplink2")</f>
        <v>Maplink2</v>
      </c>
      <c r="AW1973" s="14" t="str">
        <f>HYPERLINK("http://www.bing.com/maps/?lvl=14&amp;sty=h&amp;cp=36.0664~44.6073&amp;sp=point.36.0664_44.6073_Armota","Maplink3")</f>
        <v>Maplink3</v>
      </c>
    </row>
    <row r="1974" spans="1:49" ht="15" customHeight="1" x14ac:dyDescent="0.25">
      <c r="A1974" s="21">
        <v>27221</v>
      </c>
      <c r="B1974" s="22" t="s">
        <v>15</v>
      </c>
      <c r="C1974" s="22" t="s">
        <v>3723</v>
      </c>
      <c r="D1974" s="22" t="s">
        <v>2877</v>
      </c>
      <c r="E1974" s="22" t="s">
        <v>3520</v>
      </c>
      <c r="F1974" s="22">
        <v>35.922878300000001</v>
      </c>
      <c r="G1974" s="22">
        <v>44.785994559999999</v>
      </c>
      <c r="H1974" s="21"/>
      <c r="I1974" s="21"/>
      <c r="J1974" s="21"/>
      <c r="K1974" s="24">
        <v>16</v>
      </c>
      <c r="L1974" s="24">
        <v>96</v>
      </c>
      <c r="M1974" s="23">
        <v>5</v>
      </c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11</v>
      </c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16</v>
      </c>
      <c r="AL1974" s="23"/>
      <c r="AM1974" s="23"/>
      <c r="AN1974" s="23"/>
      <c r="AO1974" s="23"/>
      <c r="AP1974" s="23">
        <v>10</v>
      </c>
      <c r="AQ1974" s="23"/>
      <c r="AR1974" s="23"/>
      <c r="AS1974" s="23">
        <v>5</v>
      </c>
      <c r="AT1974" s="23">
        <v>1</v>
      </c>
      <c r="AU1974" s="14" t="str">
        <f>HYPERLINK("http://www.openstreetmap.org/?mlat=36.0452&amp;mlon=44.3749&amp;zoom=12#map=12/36.0452/44.3749","Maplink1")</f>
        <v>Maplink1</v>
      </c>
      <c r="AV1974" s="14" t="str">
        <f>HYPERLINK("https://www.google.iq/maps/search/+36.0452,44.3749/@36.0452,44.3749,14z?hl=en","Maplink2")</f>
        <v>Maplink2</v>
      </c>
      <c r="AW1974" s="14" t="str">
        <f>HYPERLINK("http://www.bing.com/maps/?lvl=14&amp;sty=h&amp;cp=36.0452~44.3749&amp;sp=point.36.0452_44.3749_Ashti","Maplink3")</f>
        <v>Maplink3</v>
      </c>
    </row>
    <row r="1975" spans="1:49" ht="15" customHeight="1" x14ac:dyDescent="0.25">
      <c r="A1975" s="21">
        <v>24598</v>
      </c>
      <c r="B1975" s="22" t="s">
        <v>15</v>
      </c>
      <c r="C1975" s="22" t="s">
        <v>3723</v>
      </c>
      <c r="D1975" s="22" t="s">
        <v>3727</v>
      </c>
      <c r="E1975" s="22" t="s">
        <v>3728</v>
      </c>
      <c r="F1975" s="22">
        <v>36.087550200000003</v>
      </c>
      <c r="G1975" s="22">
        <v>44.64304009</v>
      </c>
      <c r="H1975" s="21" t="s">
        <v>3500</v>
      </c>
      <c r="I1975" s="21" t="s">
        <v>3726</v>
      </c>
      <c r="J1975" s="21"/>
      <c r="K1975" s="24">
        <v>240</v>
      </c>
      <c r="L1975" s="24">
        <v>1440</v>
      </c>
      <c r="M1975" s="23">
        <v>153</v>
      </c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82</v>
      </c>
      <c r="Z1975" s="23"/>
      <c r="AA1975" s="23">
        <v>5</v>
      </c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>
        <v>240</v>
      </c>
      <c r="AL1975" s="23"/>
      <c r="AM1975" s="23"/>
      <c r="AN1975" s="23"/>
      <c r="AO1975" s="23">
        <v>153</v>
      </c>
      <c r="AP1975" s="23">
        <v>80</v>
      </c>
      <c r="AQ1975" s="23">
        <v>5</v>
      </c>
      <c r="AR1975" s="23"/>
      <c r="AS1975" s="23"/>
      <c r="AT1975" s="23">
        <v>2</v>
      </c>
      <c r="AU1975" s="14" t="str">
        <f>HYPERLINK("http://www.openstreetmap.org/?mlat=36.0751&amp;mlon=44.6294&amp;zoom=12#map=12/36.0751/44.6294","Maplink1")</f>
        <v>Maplink1</v>
      </c>
      <c r="AV1975" s="14" t="str">
        <f>HYPERLINK("https://www.google.iq/maps/search/+36.0751,44.6294/@36.0751,44.6294,14z?hl=en","Maplink2")</f>
        <v>Maplink2</v>
      </c>
      <c r="AW1975" s="14" t="str">
        <f>HYPERLINK("http://www.bing.com/maps/?lvl=14&amp;sty=h&amp;cp=36.0751~44.6294&amp;sp=point.36.0751_44.6294_Azady","Maplink3")</f>
        <v>Maplink3</v>
      </c>
    </row>
    <row r="1976" spans="1:49" ht="15" customHeight="1" x14ac:dyDescent="0.25">
      <c r="A1976" s="21">
        <v>12371</v>
      </c>
      <c r="B1976" s="22" t="s">
        <v>15</v>
      </c>
      <c r="C1976" s="22" t="s">
        <v>3723</v>
      </c>
      <c r="D1976" s="22" t="s">
        <v>3729</v>
      </c>
      <c r="E1976" s="22" t="s">
        <v>3730</v>
      </c>
      <c r="F1976" s="22">
        <v>36.0869839</v>
      </c>
      <c r="G1976" s="22">
        <v>44.628861020000002</v>
      </c>
      <c r="H1976" s="21" t="s">
        <v>3500</v>
      </c>
      <c r="I1976" s="21" t="s">
        <v>3726</v>
      </c>
      <c r="J1976" s="21" t="s">
        <v>3731</v>
      </c>
      <c r="K1976" s="24">
        <v>284</v>
      </c>
      <c r="L1976" s="24">
        <v>1704</v>
      </c>
      <c r="M1976" s="23">
        <v>284</v>
      </c>
      <c r="N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>
        <v>284</v>
      </c>
      <c r="AL1976" s="23"/>
      <c r="AM1976" s="23"/>
      <c r="AN1976" s="23"/>
      <c r="AO1976" s="23">
        <v>274</v>
      </c>
      <c r="AP1976" s="23">
        <v>3</v>
      </c>
      <c r="AQ1976" s="23"/>
      <c r="AR1976" s="23"/>
      <c r="AS1976" s="23"/>
      <c r="AT1976" s="23">
        <v>7</v>
      </c>
      <c r="AU1976" s="14" t="str">
        <f>HYPERLINK("http://www.openstreetmap.org/?mlat=36.0838&amp;mlon=44.6416&amp;zoom=12#map=12/36.0838/44.6416","Maplink1")</f>
        <v>Maplink1</v>
      </c>
      <c r="AV1976" s="14" t="str">
        <f>HYPERLINK("https://www.google.iq/maps/search/+36.0838,44.6416/@36.0838,44.6416,14z?hl=en","Maplink2")</f>
        <v>Maplink2</v>
      </c>
      <c r="AW1976" s="14" t="str">
        <f>HYPERLINK("http://www.bing.com/maps/?lvl=14&amp;sty=h&amp;cp=36.0838~44.6416&amp;sp=point.36.0838_44.6416_Bayizagha","Maplink3")</f>
        <v>Maplink3</v>
      </c>
    </row>
    <row r="1977" spans="1:49" ht="15" customHeight="1" x14ac:dyDescent="0.25">
      <c r="A1977" s="21">
        <v>24597</v>
      </c>
      <c r="B1977" s="22" t="s">
        <v>15</v>
      </c>
      <c r="C1977" s="22" t="s">
        <v>3723</v>
      </c>
      <c r="D1977" s="22" t="s">
        <v>8809</v>
      </c>
      <c r="E1977" s="22" t="s">
        <v>8029</v>
      </c>
      <c r="F1977" s="22">
        <v>36.084292699999999</v>
      </c>
      <c r="G1977" s="22">
        <v>44.628168000000002</v>
      </c>
      <c r="H1977" s="21" t="s">
        <v>3500</v>
      </c>
      <c r="I1977" s="21" t="s">
        <v>3726</v>
      </c>
      <c r="J1977" s="21"/>
      <c r="K1977" s="24">
        <v>300</v>
      </c>
      <c r="L1977" s="24">
        <v>1800</v>
      </c>
      <c r="M1977" s="23">
        <v>105</v>
      </c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85</v>
      </c>
      <c r="Z1977" s="23"/>
      <c r="AA1977" s="23">
        <v>110</v>
      </c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>
        <v>300</v>
      </c>
      <c r="AL1977" s="23"/>
      <c r="AM1977" s="23"/>
      <c r="AN1977" s="23"/>
      <c r="AO1977" s="23">
        <v>20</v>
      </c>
      <c r="AP1977" s="23">
        <v>195</v>
      </c>
      <c r="AQ1977" s="23"/>
      <c r="AR1977" s="23"/>
      <c r="AS1977" s="23">
        <v>85</v>
      </c>
      <c r="AT1977" s="23"/>
      <c r="AU1977" s="14" t="str">
        <f>HYPERLINK("http://www.openstreetmap.org/?mlat=36.0859&amp;mlon=44.6297&amp;zoom=12#map=12/36.0859/44.6297","Maplink1")</f>
        <v>Maplink1</v>
      </c>
      <c r="AV1977" s="14" t="str">
        <f>HYPERLINK("https://www.google.iq/maps/search/+36.0859,44.6297/@36.0859,44.6297,14z?hl=en","Maplink2")</f>
        <v>Maplink2</v>
      </c>
      <c r="AW1977" s="14" t="str">
        <f>HYPERLINK("http://www.bing.com/maps/?lvl=14&amp;sty=h&amp;cp=36.0859~44.6297&amp;sp=point.36.0859_44.6297_Bazar koya","Maplink3")</f>
        <v>Maplink3</v>
      </c>
    </row>
    <row r="1978" spans="1:49" ht="15" customHeight="1" x14ac:dyDescent="0.25">
      <c r="A1978" s="21">
        <v>29513</v>
      </c>
      <c r="B1978" s="22" t="s">
        <v>15</v>
      </c>
      <c r="C1978" s="22" t="s">
        <v>3723</v>
      </c>
      <c r="D1978" s="22" t="s">
        <v>3732</v>
      </c>
      <c r="E1978" s="22" t="s">
        <v>3733</v>
      </c>
      <c r="F1978" s="22">
        <v>36.091965199999997</v>
      </c>
      <c r="G1978" s="22">
        <v>44.633160599999997</v>
      </c>
      <c r="H1978" s="21" t="s">
        <v>3500</v>
      </c>
      <c r="I1978" s="21" t="s">
        <v>3726</v>
      </c>
      <c r="J1978" s="21"/>
      <c r="K1978" s="24">
        <v>48</v>
      </c>
      <c r="L1978" s="24">
        <v>288</v>
      </c>
      <c r="M1978" s="23"/>
      <c r="N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48</v>
      </c>
      <c r="Z1978" s="23"/>
      <c r="AA1978" s="23"/>
      <c r="AB1978" s="23"/>
      <c r="AC1978" s="23"/>
      <c r="AD1978" s="23"/>
      <c r="AE1978" s="23">
        <v>48</v>
      </c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>
        <v>48</v>
      </c>
      <c r="AQ1978" s="23"/>
      <c r="AR1978" s="23"/>
      <c r="AS1978" s="23"/>
      <c r="AT1978" s="23"/>
      <c r="AU1978" s="14" t="str">
        <f>HYPERLINK("http://www.openstreetmap.org/?mlat=36.082&amp;mlon=44.6344&amp;zoom=12#map=12/36.082/44.6344","Maplink1")</f>
        <v>Maplink1</v>
      </c>
      <c r="AV1978" s="14" t="str">
        <f>HYPERLINK("https://www.google.iq/maps/search/+36.082,44.6344/@36.082,44.6344,14z?hl=en","Maplink2")</f>
        <v>Maplink2</v>
      </c>
      <c r="AW1978" s="14" t="str">
        <f>HYPERLINK("http://www.bing.com/maps/?lvl=14&amp;sty=h&amp;cp=36.082~44.6344&amp;sp=point.36.082_44.6344","Maplink3")</f>
        <v>Maplink3</v>
      </c>
    </row>
    <row r="1979" spans="1:49" ht="15" customHeight="1" x14ac:dyDescent="0.25">
      <c r="A1979" s="21">
        <v>27223</v>
      </c>
      <c r="B1979" s="22" t="s">
        <v>15</v>
      </c>
      <c r="C1979" s="22" t="s">
        <v>3723</v>
      </c>
      <c r="D1979" s="22" t="s">
        <v>8810</v>
      </c>
      <c r="E1979" s="22" t="s">
        <v>3734</v>
      </c>
      <c r="F1979" s="22">
        <v>36.090699999999998</v>
      </c>
      <c r="G1979" s="22">
        <v>44.662199999999999</v>
      </c>
      <c r="H1979" s="21"/>
      <c r="I1979" s="21"/>
      <c r="J1979" s="21"/>
      <c r="K1979" s="24">
        <v>45</v>
      </c>
      <c r="L1979" s="24">
        <v>270</v>
      </c>
      <c r="M1979" s="23">
        <v>14</v>
      </c>
      <c r="N1979" s="23"/>
      <c r="O1979" s="23"/>
      <c r="P1979" s="23"/>
      <c r="Q1979" s="23"/>
      <c r="R1979" s="23">
        <v>12</v>
      </c>
      <c r="S1979" s="23"/>
      <c r="T1979" s="23"/>
      <c r="U1979" s="23"/>
      <c r="V1979" s="23"/>
      <c r="W1979" s="23"/>
      <c r="X1979" s="23"/>
      <c r="Y1979" s="23">
        <v>10</v>
      </c>
      <c r="Z1979" s="23"/>
      <c r="AA1979" s="23">
        <v>9</v>
      </c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45</v>
      </c>
      <c r="AL1979" s="23"/>
      <c r="AM1979" s="23"/>
      <c r="AN1979" s="23"/>
      <c r="AO1979" s="23">
        <v>14</v>
      </c>
      <c r="AP1979" s="23"/>
      <c r="AQ1979" s="23">
        <v>9</v>
      </c>
      <c r="AR1979" s="23">
        <v>22</v>
      </c>
      <c r="AS1979" s="23"/>
      <c r="AT1979" s="23"/>
      <c r="AU1979" s="14" t="str">
        <f>HYPERLINK("http://www.openstreetmap.org/?mlat=36.0907&amp;mlon=44.6622&amp;zoom=12#map=12/36.0907/44.6622","Maplink1")</f>
        <v>Maplink1</v>
      </c>
      <c r="AV1979" s="14" t="str">
        <f>HYPERLINK("https://www.google.iq/maps/search/+36.0907,44.6622/@36.0907,44.6622,14z?hl=en","Maplink2")</f>
        <v>Maplink2</v>
      </c>
      <c r="AW1979" s="14" t="str">
        <f>HYPERLINK("http://www.bing.com/maps/?lvl=14&amp;sty=h&amp;cp=36.0907~44.6622&amp;sp=point.36.0907_44.6622_Gshtyari","Maplink3")</f>
        <v>Maplink3</v>
      </c>
    </row>
    <row r="1980" spans="1:49" ht="15" customHeight="1" x14ac:dyDescent="0.25">
      <c r="A1980" s="21">
        <v>23657</v>
      </c>
      <c r="B1980" s="22" t="s">
        <v>15</v>
      </c>
      <c r="C1980" s="22" t="s">
        <v>3723</v>
      </c>
      <c r="D1980" s="22" t="s">
        <v>3735</v>
      </c>
      <c r="E1980" s="22" t="s">
        <v>3736</v>
      </c>
      <c r="F1980" s="22">
        <v>36.090507000000002</v>
      </c>
      <c r="G1980" s="22">
        <v>44.613411999999997</v>
      </c>
      <c r="H1980" s="21" t="s">
        <v>3500</v>
      </c>
      <c r="I1980" s="21" t="s">
        <v>3726</v>
      </c>
      <c r="J1980" s="21" t="s">
        <v>3737</v>
      </c>
      <c r="K1980" s="24">
        <v>142</v>
      </c>
      <c r="L1980" s="24">
        <v>852</v>
      </c>
      <c r="M1980" s="23">
        <v>82</v>
      </c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60</v>
      </c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142</v>
      </c>
      <c r="AL1980" s="23"/>
      <c r="AM1980" s="23"/>
      <c r="AN1980" s="23"/>
      <c r="AO1980" s="23">
        <v>82</v>
      </c>
      <c r="AP1980" s="23">
        <v>60</v>
      </c>
      <c r="AQ1980" s="23"/>
      <c r="AR1980" s="23"/>
      <c r="AS1980" s="23"/>
      <c r="AT1980" s="23"/>
      <c r="AU1980" s="14" t="str">
        <f>HYPERLINK("http://www.openstreetmap.org/?mlat=36.0905&amp;mlon=44.6134&amp;zoom=12#map=12/36.0905/44.6134","Maplink1")</f>
        <v>Maplink1</v>
      </c>
      <c r="AV1980" s="14" t="str">
        <f>HYPERLINK("https://www.google.iq/maps/search/+36.0905,44.6134/@36.0905,44.6134,14z?hl=en","Maplink2")</f>
        <v>Maplink2</v>
      </c>
      <c r="AW1980" s="14" t="str">
        <f>HYPERLINK("http://www.bing.com/maps/?lvl=14&amp;sty=h&amp;cp=36.0905~44.6134&amp;sp=point.36.0905_44.6134_Hamamok","Maplink3")</f>
        <v>Maplink3</v>
      </c>
    </row>
    <row r="1981" spans="1:49" ht="15" customHeight="1" x14ac:dyDescent="0.25">
      <c r="A1981" s="21">
        <v>23279</v>
      </c>
      <c r="B1981" s="22" t="s">
        <v>15</v>
      </c>
      <c r="C1981" s="22" t="s">
        <v>3723</v>
      </c>
      <c r="D1981" s="22" t="s">
        <v>3738</v>
      </c>
      <c r="E1981" s="22" t="s">
        <v>3739</v>
      </c>
      <c r="F1981" s="22">
        <v>36.076700000000002</v>
      </c>
      <c r="G1981" s="22">
        <v>44.631500000000003</v>
      </c>
      <c r="H1981" s="21" t="s">
        <v>3500</v>
      </c>
      <c r="I1981" s="21" t="s">
        <v>3726</v>
      </c>
      <c r="J1981" s="21" t="s">
        <v>3740</v>
      </c>
      <c r="K1981" s="24">
        <v>26</v>
      </c>
      <c r="L1981" s="24">
        <v>156</v>
      </c>
      <c r="M1981" s="23"/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>
        <v>26</v>
      </c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26</v>
      </c>
      <c r="AL1981" s="23"/>
      <c r="AM1981" s="23"/>
      <c r="AN1981" s="23"/>
      <c r="AO1981" s="23"/>
      <c r="AP1981" s="23"/>
      <c r="AQ1981" s="23">
        <v>26</v>
      </c>
      <c r="AR1981" s="23"/>
      <c r="AS1981" s="23"/>
      <c r="AT1981" s="23"/>
      <c r="AU1981" s="14" t="str">
        <f>HYPERLINK("http://www.openstreetmap.org/?mlat=36.0767&amp;mlon=44.6315&amp;zoom=12#map=12/36.0767/44.6315","Maplink1")</f>
        <v>Maplink1</v>
      </c>
      <c r="AV1981" s="14" t="str">
        <f>HYPERLINK("https://www.google.iq/maps/search/+36.0767,44.6315/@36.0767,44.6315,14z?hl=en","Maplink2")</f>
        <v>Maplink2</v>
      </c>
      <c r="AW1981" s="14" t="str">
        <f>HYPERLINK("http://www.bing.com/maps/?lvl=14&amp;sty=h&amp;cp=36.0767~44.6315&amp;sp=point.36.0767_44.6315_Hamoon","Maplink3")</f>
        <v>Maplink3</v>
      </c>
    </row>
    <row r="1982" spans="1:49" ht="15" customHeight="1" x14ac:dyDescent="0.25">
      <c r="A1982" s="21">
        <v>24599</v>
      </c>
      <c r="B1982" s="22" t="s">
        <v>15</v>
      </c>
      <c r="C1982" s="22" t="s">
        <v>3723</v>
      </c>
      <c r="D1982" s="22" t="s">
        <v>3741</v>
      </c>
      <c r="E1982" s="22" t="s">
        <v>3742</v>
      </c>
      <c r="F1982" s="22">
        <v>36.0822</v>
      </c>
      <c r="G1982" s="22">
        <v>44.624899999999997</v>
      </c>
      <c r="H1982" s="21" t="s">
        <v>3500</v>
      </c>
      <c r="I1982" s="21" t="s">
        <v>3726</v>
      </c>
      <c r="J1982" s="21"/>
      <c r="K1982" s="24">
        <v>23</v>
      </c>
      <c r="L1982" s="24">
        <v>138</v>
      </c>
      <c r="M1982" s="23">
        <v>23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23</v>
      </c>
      <c r="AL1982" s="23"/>
      <c r="AM1982" s="23"/>
      <c r="AN1982" s="23"/>
      <c r="AO1982" s="23">
        <v>23</v>
      </c>
      <c r="AP1982" s="23"/>
      <c r="AQ1982" s="23"/>
      <c r="AR1982" s="23"/>
      <c r="AS1982" s="23"/>
      <c r="AT1982" s="23"/>
      <c r="AU1982" s="14" t="str">
        <f>HYPERLINK("http://www.openstreetmap.org/?mlat=36.0822&amp;mlon=44.6249&amp;zoom=12#map=12/36.0822/44.6249","Maplink1")</f>
        <v>Maplink1</v>
      </c>
      <c r="AV1982" s="14" t="str">
        <f>HYPERLINK("https://www.google.iq/maps/search/+36.0822,44.6249/@36.0822,44.6249,14z?hl=en","Maplink2")</f>
        <v>Maplink2</v>
      </c>
      <c r="AW1982" s="14" t="str">
        <f>HYPERLINK("http://www.bing.com/maps/?lvl=14&amp;sty=h&amp;cp=36.0822~44.6249&amp;sp=point.36.0822_44.6249_Jamiyah","Maplink3")</f>
        <v>Maplink3</v>
      </c>
    </row>
    <row r="1983" spans="1:49" ht="15" customHeight="1" x14ac:dyDescent="0.25">
      <c r="A1983" s="21">
        <v>27222</v>
      </c>
      <c r="B1983" s="22" t="s">
        <v>15</v>
      </c>
      <c r="C1983" s="22" t="s">
        <v>3723</v>
      </c>
      <c r="D1983" s="22" t="s">
        <v>3743</v>
      </c>
      <c r="E1983" s="22" t="s">
        <v>3744</v>
      </c>
      <c r="F1983" s="22">
        <v>36.057912600000002</v>
      </c>
      <c r="G1983" s="22">
        <v>44.636455580000003</v>
      </c>
      <c r="H1983" s="21"/>
      <c r="I1983" s="21"/>
      <c r="J1983" s="21"/>
      <c r="K1983" s="24">
        <v>28</v>
      </c>
      <c r="L1983" s="24">
        <v>168</v>
      </c>
      <c r="M1983" s="23">
        <v>28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28</v>
      </c>
      <c r="AL1983" s="23"/>
      <c r="AM1983" s="23"/>
      <c r="AN1983" s="23"/>
      <c r="AO1983" s="23">
        <v>28</v>
      </c>
      <c r="AP1983" s="23"/>
      <c r="AQ1983" s="23"/>
      <c r="AR1983" s="23"/>
      <c r="AS1983" s="23"/>
      <c r="AT1983" s="23"/>
      <c r="AU1983" s="14" t="str">
        <f>HYPERLINK("http://www.openstreetmap.org/?mlat=36.0853&amp;mlon=44.6467&amp;zoom=12#map=12/36.0853/44.6467","Maplink1")</f>
        <v>Maplink1</v>
      </c>
      <c r="AV1983" s="14" t="str">
        <f>HYPERLINK("https://www.google.iq/maps/search/+36.0853,44.6467/@36.0853,44.6467,14z?hl=en","Maplink2")</f>
        <v>Maplink2</v>
      </c>
      <c r="AW1983" s="14" t="str">
        <f>HYPERLINK("http://www.bing.com/maps/?lvl=14&amp;sty=h&amp;cp=36.0853~44.6467&amp;sp=point.36.0853_44.6467_Nawdaran","Maplink3")</f>
        <v>Maplink3</v>
      </c>
    </row>
    <row r="1984" spans="1:49" ht="15" customHeight="1" x14ac:dyDescent="0.25">
      <c r="A1984" s="21">
        <v>23280</v>
      </c>
      <c r="B1984" s="22" t="s">
        <v>15</v>
      </c>
      <c r="C1984" s="22" t="s">
        <v>3723</v>
      </c>
      <c r="D1984" s="22" t="s">
        <v>3745</v>
      </c>
      <c r="E1984" s="22" t="s">
        <v>3746</v>
      </c>
      <c r="F1984" s="22">
        <v>36.086599999999997</v>
      </c>
      <c r="G1984" s="22">
        <v>44.627400000000002</v>
      </c>
      <c r="H1984" s="21" t="s">
        <v>3500</v>
      </c>
      <c r="I1984" s="21" t="s">
        <v>3726</v>
      </c>
      <c r="J1984" s="21" t="s">
        <v>3747</v>
      </c>
      <c r="K1984" s="24">
        <v>360</v>
      </c>
      <c r="L1984" s="24">
        <v>2160</v>
      </c>
      <c r="M1984" s="23">
        <v>127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233</v>
      </c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360</v>
      </c>
      <c r="AL1984" s="23"/>
      <c r="AM1984" s="23"/>
      <c r="AN1984" s="23"/>
      <c r="AO1984" s="23">
        <v>56</v>
      </c>
      <c r="AP1984" s="23">
        <v>233</v>
      </c>
      <c r="AQ1984" s="23"/>
      <c r="AR1984" s="23"/>
      <c r="AS1984" s="23">
        <v>66</v>
      </c>
      <c r="AT1984" s="23">
        <v>5</v>
      </c>
      <c r="AU1984" s="14" t="str">
        <f>HYPERLINK("http://www.openstreetmap.org/?mlat=36.0866&amp;mlon=44.6274&amp;zoom=12#map=12/36.0866/44.6274","Maplink1")</f>
        <v>Maplink1</v>
      </c>
      <c r="AV1984" s="14" t="str">
        <f>HYPERLINK("https://www.google.iq/maps/search/+36.0866,44.6274/@36.0866,44.6274,14z?hl=en","Maplink2")</f>
        <v>Maplink2</v>
      </c>
      <c r="AW1984" s="14" t="str">
        <f>HYPERLINK("http://www.bing.com/maps/?lvl=14&amp;sty=h&amp;cp=36.0866~44.6274&amp;sp=point.36.0866_44.6274_Qalat","Maplink3")</f>
        <v>Maplink3</v>
      </c>
    </row>
    <row r="1985" spans="1:49" ht="15" customHeight="1" x14ac:dyDescent="0.25">
      <c r="A1985" s="21">
        <v>27220</v>
      </c>
      <c r="B1985" s="22" t="s">
        <v>15</v>
      </c>
      <c r="C1985" s="22" t="s">
        <v>3723</v>
      </c>
      <c r="D1985" s="22" t="s">
        <v>8811</v>
      </c>
      <c r="E1985" s="22" t="s">
        <v>8812</v>
      </c>
      <c r="F1985" s="22">
        <v>35.872544099999999</v>
      </c>
      <c r="G1985" s="22">
        <v>44.449814670000002</v>
      </c>
      <c r="H1985" s="21"/>
      <c r="I1985" s="21"/>
      <c r="J1985" s="21"/>
      <c r="K1985" s="24">
        <v>10</v>
      </c>
      <c r="L1985" s="24">
        <v>60</v>
      </c>
      <c r="M1985" s="23">
        <v>10</v>
      </c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>
        <v>10</v>
      </c>
      <c r="AL1985" s="23"/>
      <c r="AM1985" s="23"/>
      <c r="AN1985" s="23"/>
      <c r="AO1985" s="23"/>
      <c r="AP1985" s="23"/>
      <c r="AQ1985" s="23"/>
      <c r="AR1985" s="23"/>
      <c r="AS1985" s="23">
        <v>10</v>
      </c>
      <c r="AT1985" s="23"/>
      <c r="AU1985" s="14" t="str">
        <f>HYPERLINK("http://www.openstreetmap.org/?mlat=36.0119&amp;mlon=44.4048&amp;zoom=12#map=12/36.0119/44.4048","Maplink1")</f>
        <v>Maplink1</v>
      </c>
      <c r="AV1985" s="14" t="str">
        <f>HYPERLINK("https://www.google.iq/maps/search/+36.0119,44.4048/@36.0119,44.4048,14z?hl=en","Maplink2")</f>
        <v>Maplink2</v>
      </c>
      <c r="AW1985" s="14" t="str">
        <f>HYPERLINK("http://www.bing.com/maps/?lvl=14&amp;sty=h&amp;cp=36.0119~44.4048&amp;sp=point.36.0119_44.4048_Segtkan","Maplink3")</f>
        <v>Maplink3</v>
      </c>
    </row>
    <row r="1986" spans="1:49" ht="15" customHeight="1" x14ac:dyDescent="0.25">
      <c r="A1986" s="21">
        <v>11887</v>
      </c>
      <c r="B1986" s="22" t="s">
        <v>15</v>
      </c>
      <c r="C1986" s="22" t="s">
        <v>3723</v>
      </c>
      <c r="D1986" s="22" t="s">
        <v>3748</v>
      </c>
      <c r="E1986" s="22" t="s">
        <v>3749</v>
      </c>
      <c r="F1986" s="22">
        <v>35.880000000000003</v>
      </c>
      <c r="G1986" s="22">
        <v>44.58</v>
      </c>
      <c r="H1986" s="21" t="s">
        <v>3500</v>
      </c>
      <c r="I1986" s="21" t="s">
        <v>3726</v>
      </c>
      <c r="J1986" s="21" t="s">
        <v>3750</v>
      </c>
      <c r="K1986" s="24">
        <v>192</v>
      </c>
      <c r="L1986" s="24">
        <v>1152</v>
      </c>
      <c r="M1986" s="23">
        <v>102</v>
      </c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>
        <v>85</v>
      </c>
      <c r="Z1986" s="23"/>
      <c r="AA1986" s="23">
        <v>5</v>
      </c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192</v>
      </c>
      <c r="AL1986" s="23"/>
      <c r="AM1986" s="23"/>
      <c r="AN1986" s="23"/>
      <c r="AO1986" s="23">
        <v>62</v>
      </c>
      <c r="AP1986" s="23">
        <v>85</v>
      </c>
      <c r="AQ1986" s="23"/>
      <c r="AR1986" s="23"/>
      <c r="AS1986" s="23">
        <v>15</v>
      </c>
      <c r="AT1986" s="23">
        <v>30</v>
      </c>
      <c r="AU1986" s="14" t="str">
        <f>HYPERLINK("http://www.openstreetmap.org/?mlat=35.88&amp;mlon=44.58&amp;zoom=12#map=12/35.88/44.58","Maplink1")</f>
        <v>Maplink1</v>
      </c>
      <c r="AV1986" s="14" t="str">
        <f>HYPERLINK("https://www.google.iq/maps/search/+35.88,44.58/@35.88,44.58,14z?hl=en","Maplink2")</f>
        <v>Maplink2</v>
      </c>
      <c r="AW1986" s="14" t="str">
        <f>HYPERLINK("http://www.bing.com/maps/?lvl=14&amp;sty=h&amp;cp=35.88~44.58&amp;sp=point.35.88_44.58_Taqtaq","Maplink3")</f>
        <v>Maplink3</v>
      </c>
    </row>
    <row r="1987" spans="1:49" ht="15" customHeight="1" x14ac:dyDescent="0.25">
      <c r="A1987" s="21">
        <v>12698</v>
      </c>
      <c r="B1987" s="22" t="s">
        <v>15</v>
      </c>
      <c r="C1987" s="22" t="s">
        <v>3751</v>
      </c>
      <c r="D1987" s="22" t="s">
        <v>3752</v>
      </c>
      <c r="E1987" s="22" t="s">
        <v>3753</v>
      </c>
      <c r="F1987" s="22">
        <v>36.087252800000002</v>
      </c>
      <c r="G1987" s="22">
        <v>43.615967849999997</v>
      </c>
      <c r="H1987" s="21" t="s">
        <v>3500</v>
      </c>
      <c r="I1987" s="21" t="s">
        <v>3754</v>
      </c>
      <c r="J1987" s="21" t="s">
        <v>3755</v>
      </c>
      <c r="K1987" s="24">
        <v>135</v>
      </c>
      <c r="L1987" s="24">
        <v>810</v>
      </c>
      <c r="M1987" s="23"/>
      <c r="N1987" s="23"/>
      <c r="O1987" s="23"/>
      <c r="P1987" s="23"/>
      <c r="Q1987" s="23"/>
      <c r="R1987" s="23"/>
      <c r="S1987" s="23">
        <v>15</v>
      </c>
      <c r="T1987" s="23"/>
      <c r="U1987" s="23"/>
      <c r="V1987" s="23"/>
      <c r="W1987" s="23"/>
      <c r="X1987" s="23"/>
      <c r="Y1987" s="23">
        <v>120</v>
      </c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>
        <v>135</v>
      </c>
      <c r="AL1987" s="23"/>
      <c r="AM1987" s="23"/>
      <c r="AN1987" s="23"/>
      <c r="AO1987" s="23"/>
      <c r="AP1987" s="23"/>
      <c r="AQ1987" s="23">
        <v>120</v>
      </c>
      <c r="AR1987" s="23">
        <v>15</v>
      </c>
      <c r="AS1987" s="23"/>
      <c r="AT1987" s="23"/>
      <c r="AU1987" s="14" t="str">
        <f>HYPERLINK("http://www.openstreetmap.org/?mlat=36.0482&amp;mlon=43.5785&amp;zoom=12#map=12/36.0482/43.5785","Maplink1")</f>
        <v>Maplink1</v>
      </c>
      <c r="AV1987" s="14" t="str">
        <f>HYPERLINK("https://www.google.iq/maps/search/+36.0482,43.5785/@36.0482,43.5785,14z?hl=en","Maplink2")</f>
        <v>Maplink2</v>
      </c>
      <c r="AW1987" s="14" t="str">
        <f>HYPERLINK("http://www.bing.com/maps/?lvl=14&amp;sty=h&amp;cp=36.0482~43.5785&amp;sp=point.36.0482_43.5785_Abu Jarda","Maplink3")</f>
        <v>Maplink3</v>
      </c>
    </row>
    <row r="1988" spans="1:49" ht="15" customHeight="1" x14ac:dyDescent="0.25">
      <c r="A1988" s="21">
        <v>29541</v>
      </c>
      <c r="B1988" s="22" t="s">
        <v>15</v>
      </c>
      <c r="C1988" s="22" t="s">
        <v>3751</v>
      </c>
      <c r="D1988" s="22" t="s">
        <v>3756</v>
      </c>
      <c r="E1988" s="22" t="s">
        <v>3757</v>
      </c>
      <c r="F1988" s="22">
        <v>36.094179400000002</v>
      </c>
      <c r="G1988" s="22">
        <v>43.61215267</v>
      </c>
      <c r="H1988" s="21" t="s">
        <v>3500</v>
      </c>
      <c r="I1988" s="21" t="s">
        <v>3754</v>
      </c>
      <c r="J1988" s="21"/>
      <c r="K1988" s="24">
        <v>45</v>
      </c>
      <c r="L1988" s="24">
        <v>270</v>
      </c>
      <c r="M1988" s="23"/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45</v>
      </c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45</v>
      </c>
      <c r="AL1988" s="23"/>
      <c r="AM1988" s="23"/>
      <c r="AN1988" s="23"/>
      <c r="AO1988" s="23"/>
      <c r="AP1988" s="23">
        <v>45</v>
      </c>
      <c r="AQ1988" s="23"/>
      <c r="AR1988" s="23"/>
      <c r="AS1988" s="23"/>
      <c r="AT1988" s="23"/>
      <c r="AU1988" s="14" t="str">
        <f>HYPERLINK("http://www.openstreetmap.org/?mlat=36.0283&amp;mlon=43.5983&amp;zoom=12#map=12/36.0283/43.5983","Maplink1")</f>
        <v>Maplink1</v>
      </c>
      <c r="AV1988" s="14" t="str">
        <f>HYPERLINK("https://www.google.iq/maps/search/+36.0283,43.5983/@36.0283,43.5983,14z?hl=en","Maplink2")</f>
        <v>Maplink2</v>
      </c>
      <c r="AW1988" s="14" t="str">
        <f>HYPERLINK("http://www.bing.com/maps/?lvl=14&amp;sty=h&amp;cp=36.0283~43.5983&amp;sp=point.36.0283_43.5983","Maplink3")</f>
        <v>Maplink3</v>
      </c>
    </row>
    <row r="1989" spans="1:49" ht="15" customHeight="1" x14ac:dyDescent="0.25">
      <c r="A1989" s="21">
        <v>13489</v>
      </c>
      <c r="B1989" s="22" t="s">
        <v>15</v>
      </c>
      <c r="C1989" s="22" t="s">
        <v>3751</v>
      </c>
      <c r="D1989" s="22" t="s">
        <v>8813</v>
      </c>
      <c r="E1989" s="22" t="s">
        <v>3758</v>
      </c>
      <c r="F1989" s="22">
        <v>36.1279082</v>
      </c>
      <c r="G1989" s="22">
        <v>43.662067</v>
      </c>
      <c r="H1989" s="21" t="s">
        <v>3500</v>
      </c>
      <c r="I1989" s="21" t="s">
        <v>3754</v>
      </c>
      <c r="J1989" s="21" t="s">
        <v>3759</v>
      </c>
      <c r="K1989" s="24">
        <v>32</v>
      </c>
      <c r="L1989" s="24">
        <v>192</v>
      </c>
      <c r="M1989" s="23"/>
      <c r="N1989" s="23"/>
      <c r="O1989" s="23"/>
      <c r="P1989" s="23"/>
      <c r="Q1989" s="23"/>
      <c r="R1989" s="23"/>
      <c r="S1989" s="23">
        <v>5</v>
      </c>
      <c r="T1989" s="23"/>
      <c r="U1989" s="23"/>
      <c r="V1989" s="23"/>
      <c r="W1989" s="23"/>
      <c r="X1989" s="23"/>
      <c r="Y1989" s="23">
        <v>27</v>
      </c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32</v>
      </c>
      <c r="AL1989" s="23"/>
      <c r="AM1989" s="23"/>
      <c r="AN1989" s="23"/>
      <c r="AO1989" s="23"/>
      <c r="AP1989" s="23">
        <v>19</v>
      </c>
      <c r="AQ1989" s="23">
        <v>8</v>
      </c>
      <c r="AR1989" s="23">
        <v>5</v>
      </c>
      <c r="AS1989" s="23"/>
      <c r="AT1989" s="23"/>
      <c r="AU1989" s="14" t="str">
        <f>HYPERLINK("http://www.openstreetmap.org/?mlat=36.08&amp;mlon=43.65&amp;zoom=12#map=12/36.08/43.65","Maplink1")</f>
        <v>Maplink1</v>
      </c>
      <c r="AV1989" s="14" t="str">
        <f>HYPERLINK("https://www.google.iq/maps/search/+36.08,43.65/@36.08,43.65,14z?hl=en","Maplink2")</f>
        <v>Maplink2</v>
      </c>
      <c r="AW1989" s="14" t="str">
        <f>HYPERLINK("http://www.bing.com/maps/?lvl=14&amp;sty=h&amp;cp=36.08~43.65&amp;sp=point.36.08_43.65_Ali Mala Dawud","Maplink3")</f>
        <v>Maplink3</v>
      </c>
    </row>
    <row r="1990" spans="1:49" ht="15" customHeight="1" x14ac:dyDescent="0.25">
      <c r="A1990" s="21">
        <v>13569</v>
      </c>
      <c r="B1990" s="22" t="s">
        <v>15</v>
      </c>
      <c r="C1990" s="22" t="s">
        <v>3751</v>
      </c>
      <c r="D1990" s="22" t="s">
        <v>7328</v>
      </c>
      <c r="E1990" s="22" t="s">
        <v>8030</v>
      </c>
      <c r="F1990" s="22">
        <v>35.880800000000001</v>
      </c>
      <c r="G1990" s="22">
        <v>43.803600000000003</v>
      </c>
      <c r="H1990" s="21"/>
      <c r="I1990" s="21"/>
      <c r="J1990" s="21" t="s">
        <v>3760</v>
      </c>
      <c r="K1990" s="24">
        <v>2718</v>
      </c>
      <c r="L1990" s="24">
        <v>16308</v>
      </c>
      <c r="M1990" s="23"/>
      <c r="N1990" s="23"/>
      <c r="O1990" s="23"/>
      <c r="P1990" s="23"/>
      <c r="Q1990" s="23"/>
      <c r="R1990" s="23"/>
      <c r="S1990" s="23"/>
      <c r="T1990" s="23"/>
      <c r="U1990" s="23">
        <v>456</v>
      </c>
      <c r="V1990" s="23"/>
      <c r="W1990" s="23"/>
      <c r="X1990" s="23"/>
      <c r="Y1990" s="23">
        <v>1865</v>
      </c>
      <c r="Z1990" s="23"/>
      <c r="AA1990" s="23">
        <v>397</v>
      </c>
      <c r="AB1990" s="23"/>
      <c r="AC1990" s="23"/>
      <c r="AD1990" s="23"/>
      <c r="AE1990" s="23">
        <v>2718</v>
      </c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>
        <v>654</v>
      </c>
      <c r="AQ1990" s="23">
        <v>51</v>
      </c>
      <c r="AR1990" s="23"/>
      <c r="AS1990" s="23"/>
      <c r="AT1990" s="23">
        <v>2013</v>
      </c>
      <c r="AU1990" s="14" t="str">
        <f>HYPERLINK("http://www.openstreetmap.org/?mlat=35.8808&amp;mlon=43.8036&amp;zoom=12#map=12/35.8808/43.8036","Maplink1")</f>
        <v>Maplink1</v>
      </c>
      <c r="AV1990" s="14" t="str">
        <f>HYPERLINK("https://www.google.iq/maps/search/+35.8808,43.8036/@35.8808,43.8036,14z?hl=en","Maplink2")</f>
        <v>Maplink2</v>
      </c>
      <c r="AW1990" s="14" t="str">
        <f>HYPERLINK("http://www.bing.com/maps/?lvl=14&amp;sty=h&amp;cp=35.8808~43.8036&amp;sp=point.35.8808_43.8036_Camp Shuhadaa al emarat","Maplink3")</f>
        <v>Maplink3</v>
      </c>
    </row>
    <row r="1991" spans="1:49" ht="15" customHeight="1" x14ac:dyDescent="0.25">
      <c r="A1991" s="21">
        <v>29584</v>
      </c>
      <c r="B1991" s="22" t="s">
        <v>15</v>
      </c>
      <c r="C1991" s="22" t="s">
        <v>3751</v>
      </c>
      <c r="D1991" s="22" t="s">
        <v>8814</v>
      </c>
      <c r="E1991" s="22" t="s">
        <v>8031</v>
      </c>
      <c r="F1991" s="22">
        <v>35.878900000000002</v>
      </c>
      <c r="G1991" s="22">
        <v>43.802999999999997</v>
      </c>
      <c r="H1991" s="21" t="s">
        <v>3500</v>
      </c>
      <c r="I1991" s="21" t="s">
        <v>3754</v>
      </c>
      <c r="J1991" s="21"/>
      <c r="K1991" s="24">
        <v>1660</v>
      </c>
      <c r="L1991" s="24">
        <v>9960</v>
      </c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>
        <v>1660</v>
      </c>
      <c r="Z1991" s="23"/>
      <c r="AA1991" s="23"/>
      <c r="AB1991" s="23"/>
      <c r="AC1991" s="23"/>
      <c r="AD1991" s="23"/>
      <c r="AE1991" s="23">
        <v>1660</v>
      </c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23"/>
      <c r="AR1991" s="23"/>
      <c r="AS1991" s="23"/>
      <c r="AT1991" s="23">
        <v>1660</v>
      </c>
      <c r="AU1991" s="14" t="str">
        <f>HYPERLINK("http://www.openstreetmap.org/?mlat=35.8789&amp;mlon=43.803&amp;zoom=12#map=12/35.8789/43.803","Maplink1")</f>
        <v>Maplink1</v>
      </c>
      <c r="AV1991" s="14" t="str">
        <f>HYPERLINK("https://www.google.iq/maps/search/+35.8789,43.803/@35.8789,43.803,14z?hl=en","Maplink2")</f>
        <v>Maplink2</v>
      </c>
      <c r="AW1991" s="14" t="str">
        <f>HYPERLINK("http://www.bing.com/maps/?lvl=14&amp;sty=h&amp;cp=35.8789~43.803&amp;sp=point.35.8789_43.803","Maplink3")</f>
        <v>Maplink3</v>
      </c>
    </row>
    <row r="1992" spans="1:49" ht="15" customHeight="1" x14ac:dyDescent="0.25">
      <c r="A1992" s="21">
        <v>29604</v>
      </c>
      <c r="B1992" s="22" t="s">
        <v>15</v>
      </c>
      <c r="C1992" s="22" t="s">
        <v>3751</v>
      </c>
      <c r="D1992" s="22" t="s">
        <v>8815</v>
      </c>
      <c r="E1992" s="22" t="s">
        <v>8275</v>
      </c>
      <c r="F1992" s="22">
        <v>35.881599999999999</v>
      </c>
      <c r="G1992" s="22">
        <v>43.808700000000002</v>
      </c>
      <c r="H1992" s="21" t="s">
        <v>3500</v>
      </c>
      <c r="I1992" s="21" t="s">
        <v>3754</v>
      </c>
      <c r="J1992" s="21"/>
      <c r="K1992" s="24">
        <v>614</v>
      </c>
      <c r="L1992" s="24">
        <v>3684</v>
      </c>
      <c r="M1992" s="23"/>
      <c r="N1992" s="23"/>
      <c r="O1992" s="23"/>
      <c r="P1992" s="23"/>
      <c r="Q1992" s="23"/>
      <c r="R1992" s="23"/>
      <c r="S1992" s="23"/>
      <c r="T1992" s="23"/>
      <c r="U1992" s="23">
        <v>225</v>
      </c>
      <c r="V1992" s="23"/>
      <c r="W1992" s="23"/>
      <c r="X1992" s="23"/>
      <c r="Y1992" s="23">
        <v>269</v>
      </c>
      <c r="Z1992" s="23"/>
      <c r="AA1992" s="23">
        <v>120</v>
      </c>
      <c r="AB1992" s="23"/>
      <c r="AC1992" s="23"/>
      <c r="AD1992" s="23"/>
      <c r="AE1992" s="23">
        <v>614</v>
      </c>
      <c r="AF1992" s="23"/>
      <c r="AG1992" s="23"/>
      <c r="AH1992" s="23"/>
      <c r="AI1992" s="23"/>
      <c r="AJ1992" s="23"/>
      <c r="AK1992" s="23"/>
      <c r="AL1992" s="23"/>
      <c r="AM1992" s="23"/>
      <c r="AN1992" s="23"/>
      <c r="AO1992" s="23"/>
      <c r="AP1992" s="23"/>
      <c r="AQ1992" s="23"/>
      <c r="AR1992" s="23"/>
      <c r="AS1992" s="23"/>
      <c r="AT1992" s="23">
        <v>614</v>
      </c>
      <c r="AU1992" s="14" t="str">
        <f>HYPERLINK("http://www.openstreetmap.org/?mlat=35.8816&amp;mlon=43.8087&amp;zoom=12#map=12/35.8816/43.8087","Maplink1")</f>
        <v>Maplink1</v>
      </c>
      <c r="AV1992" s="14" t="str">
        <f>HYPERLINK("https://www.google.iq/maps/search/+35.8816,43.8087/@35.8816,43.8087,14z?hl=en","Maplink2")</f>
        <v>Maplink2</v>
      </c>
      <c r="AW1992" s="14" t="str">
        <f>HYPERLINK("http://www.bing.com/maps/?lvl=14&amp;sty=h&amp;cp=35.8816~43.8087&amp;sp=point.35.8816_43.8087","Maplink3")</f>
        <v>Maplink3</v>
      </c>
    </row>
    <row r="1993" spans="1:49" ht="15" customHeight="1" x14ac:dyDescent="0.25">
      <c r="A1993" s="21">
        <v>29540</v>
      </c>
      <c r="B1993" s="22" t="s">
        <v>15</v>
      </c>
      <c r="C1993" s="22" t="s">
        <v>3751</v>
      </c>
      <c r="D1993" s="22" t="s">
        <v>3761</v>
      </c>
      <c r="E1993" s="22" t="s">
        <v>3762</v>
      </c>
      <c r="F1993" s="22">
        <v>35.8705</v>
      </c>
      <c r="G1993" s="22">
        <v>43.813000000000002</v>
      </c>
      <c r="H1993" s="21" t="s">
        <v>3500</v>
      </c>
      <c r="I1993" s="21" t="s">
        <v>3754</v>
      </c>
      <c r="J1993" s="21"/>
      <c r="K1993" s="24">
        <v>700</v>
      </c>
      <c r="L1993" s="24">
        <v>4200</v>
      </c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700</v>
      </c>
      <c r="Z1993" s="23"/>
      <c r="AA1993" s="23"/>
      <c r="AB1993" s="23"/>
      <c r="AC1993" s="23"/>
      <c r="AD1993" s="23"/>
      <c r="AE1993" s="23">
        <v>700</v>
      </c>
      <c r="AF1993" s="23"/>
      <c r="AG1993" s="23"/>
      <c r="AH1993" s="23"/>
      <c r="AI1993" s="23"/>
      <c r="AJ1993" s="23"/>
      <c r="AK1993" s="23"/>
      <c r="AL1993" s="23"/>
      <c r="AM1993" s="23"/>
      <c r="AN1993" s="23"/>
      <c r="AO1993" s="23"/>
      <c r="AP1993" s="23"/>
      <c r="AQ1993" s="23"/>
      <c r="AR1993" s="23"/>
      <c r="AS1993" s="23"/>
      <c r="AT1993" s="23">
        <v>700</v>
      </c>
      <c r="AU1993" s="14" t="str">
        <f>HYPERLINK("http://www.openstreetmap.org/?mlat=35.8705&amp;mlon=43.813&amp;zoom=12#map=12/35.8705/43.813","Maplink1")</f>
        <v>Maplink1</v>
      </c>
      <c r="AV1993" s="14" t="str">
        <f>HYPERLINK("https://www.google.iq/maps/search/+35.8705,43.813/@35.8705,43.813,14z?hl=en","Maplink2")</f>
        <v>Maplink2</v>
      </c>
      <c r="AW1993" s="14" t="str">
        <f>HYPERLINK("http://www.bing.com/maps/?lvl=14&amp;sty=h&amp;cp=35.8705~43.813&amp;sp=point.35.8705_43.813","Maplink3")</f>
        <v>Maplink3</v>
      </c>
    </row>
    <row r="1994" spans="1:49" ht="15" customHeight="1" x14ac:dyDescent="0.25">
      <c r="A1994" s="21">
        <v>13363</v>
      </c>
      <c r="B1994" s="22" t="s">
        <v>15</v>
      </c>
      <c r="C1994" s="22" t="s">
        <v>3751</v>
      </c>
      <c r="D1994" s="22" t="s">
        <v>8816</v>
      </c>
      <c r="E1994" s="22" t="s">
        <v>3766</v>
      </c>
      <c r="F1994" s="22">
        <v>36.085996299999998</v>
      </c>
      <c r="G1994" s="22">
        <v>43.566288059999998</v>
      </c>
      <c r="H1994" s="21" t="s">
        <v>3500</v>
      </c>
      <c r="I1994" s="21" t="s">
        <v>3754</v>
      </c>
      <c r="J1994" s="21" t="s">
        <v>3767</v>
      </c>
      <c r="K1994" s="24">
        <v>97</v>
      </c>
      <c r="L1994" s="24">
        <v>582</v>
      </c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97</v>
      </c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>
        <v>97</v>
      </c>
      <c r="AL1994" s="23"/>
      <c r="AM1994" s="23"/>
      <c r="AN1994" s="23"/>
      <c r="AO1994" s="23"/>
      <c r="AP1994" s="23"/>
      <c r="AQ1994" s="23">
        <v>97</v>
      </c>
      <c r="AR1994" s="23"/>
      <c r="AS1994" s="23"/>
      <c r="AT1994" s="23"/>
      <c r="AU1994" s="14" t="str">
        <f>HYPERLINK("http://www.openstreetmap.org/?mlat=36.0826&amp;mlon=43.5979&amp;zoom=12#map=12/36.0826/43.5979","Maplink1")</f>
        <v>Maplink1</v>
      </c>
      <c r="AV1994" s="14" t="str">
        <f>HYPERLINK("https://www.google.iq/maps/search/+36.0826,43.5979/@36.0826,43.5979,14z?hl=en","Maplink2")</f>
        <v>Maplink2</v>
      </c>
      <c r="AW1994" s="14" t="str">
        <f>HYPERLINK("http://www.bing.com/maps/?lvl=14&amp;sty=h&amp;cp=36.0826~43.5979&amp;sp=point.36.0826_43.5979_Hawijga","Maplink3")</f>
        <v>Maplink3</v>
      </c>
    </row>
    <row r="1995" spans="1:49" ht="15" customHeight="1" x14ac:dyDescent="0.25">
      <c r="A1995" s="21">
        <v>13596</v>
      </c>
      <c r="B1995" s="22" t="s">
        <v>15</v>
      </c>
      <c r="C1995" s="22" t="s">
        <v>3751</v>
      </c>
      <c r="D1995" s="22" t="s">
        <v>3763</v>
      </c>
      <c r="E1995" s="22" t="s">
        <v>3764</v>
      </c>
      <c r="F1995" s="22">
        <v>36.118699999999997</v>
      </c>
      <c r="G1995" s="22">
        <v>43.597299999999997</v>
      </c>
      <c r="H1995" s="21" t="s">
        <v>3500</v>
      </c>
      <c r="I1995" s="21" t="s">
        <v>3754</v>
      </c>
      <c r="J1995" s="21" t="s">
        <v>3765</v>
      </c>
      <c r="K1995" s="24">
        <v>180</v>
      </c>
      <c r="L1995" s="24">
        <v>1080</v>
      </c>
      <c r="M1995" s="23"/>
      <c r="N1995" s="23"/>
      <c r="O1995" s="23"/>
      <c r="P1995" s="23"/>
      <c r="Q1995" s="23"/>
      <c r="R1995" s="23"/>
      <c r="S1995" s="23">
        <v>58</v>
      </c>
      <c r="T1995" s="23"/>
      <c r="U1995" s="23"/>
      <c r="V1995" s="23"/>
      <c r="W1995" s="23"/>
      <c r="X1995" s="23"/>
      <c r="Y1995" s="23">
        <v>122</v>
      </c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>
        <v>180</v>
      </c>
      <c r="AL1995" s="23"/>
      <c r="AM1995" s="23"/>
      <c r="AN1995" s="23"/>
      <c r="AO1995" s="23"/>
      <c r="AP1995" s="23"/>
      <c r="AQ1995" s="23">
        <v>122</v>
      </c>
      <c r="AR1995" s="23">
        <v>58</v>
      </c>
      <c r="AS1995" s="23"/>
      <c r="AT1995" s="23"/>
      <c r="AU1995" s="14" t="str">
        <f>HYPERLINK("http://www.openstreetmap.org/?mlat=36.1187&amp;mlon=43.5973&amp;zoom=12#map=12/36.1187/43.5973","Maplink1")</f>
        <v>Maplink1</v>
      </c>
      <c r="AV1995" s="14" t="str">
        <f>HYPERLINK("https://www.google.iq/maps/search/+36.1187,43.5973/@36.1187,43.5973,14z?hl=en","Maplink2")</f>
        <v>Maplink2</v>
      </c>
      <c r="AW1995" s="14" t="str">
        <f>HYPERLINK("http://www.bing.com/maps/?lvl=14&amp;sty=h&amp;cp=36.1187~43.5973&amp;sp=point.36.1187_43.5973_Hawera","Maplink3")</f>
        <v>Maplink3</v>
      </c>
    </row>
    <row r="1996" spans="1:49" ht="15" customHeight="1" x14ac:dyDescent="0.25">
      <c r="A1996" s="21">
        <v>25258</v>
      </c>
      <c r="B1996" s="22" t="s">
        <v>15</v>
      </c>
      <c r="C1996" s="22" t="s">
        <v>3751</v>
      </c>
      <c r="D1996" s="22" t="s">
        <v>3768</v>
      </c>
      <c r="E1996" s="22" t="s">
        <v>3769</v>
      </c>
      <c r="F1996" s="22">
        <v>36.0520967</v>
      </c>
      <c r="G1996" s="22">
        <v>43.568826909999999</v>
      </c>
      <c r="H1996" s="21" t="s">
        <v>3500</v>
      </c>
      <c r="I1996" s="21" t="s">
        <v>3754</v>
      </c>
      <c r="J1996" s="21"/>
      <c r="K1996" s="24">
        <v>95</v>
      </c>
      <c r="L1996" s="24">
        <v>570</v>
      </c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95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>
        <v>95</v>
      </c>
      <c r="AL1996" s="23"/>
      <c r="AM1996" s="23"/>
      <c r="AN1996" s="23"/>
      <c r="AO1996" s="23"/>
      <c r="AP1996" s="23"/>
      <c r="AQ1996" s="23">
        <v>95</v>
      </c>
      <c r="AR1996" s="23"/>
      <c r="AS1996" s="23"/>
      <c r="AT1996" s="23"/>
      <c r="AU1996" s="14" t="str">
        <f>HYPERLINK("http://www.openstreetmap.org/?mlat=36.0892&amp;mlon=43.5621&amp;zoom=12#map=12/36.0892/43.5621","Maplink1")</f>
        <v>Maplink1</v>
      </c>
      <c r="AV1996" s="14" t="str">
        <f>HYPERLINK("https://www.google.iq/maps/search/+36.0892,43.5621/@36.0892,43.5621,14z?hl=en","Maplink2")</f>
        <v>Maplink2</v>
      </c>
      <c r="AW1996" s="14" t="str">
        <f>HYPERLINK("http://www.bing.com/maps/?lvl=14&amp;sty=h&amp;cp=36.0892~43.5621&amp;sp=point.36.0892_43.5621_Majluba","Maplink3")</f>
        <v>Maplink3</v>
      </c>
    </row>
    <row r="1997" spans="1:49" ht="15" customHeight="1" x14ac:dyDescent="0.25">
      <c r="A1997" s="21">
        <v>29615</v>
      </c>
      <c r="B1997" s="22" t="s">
        <v>15</v>
      </c>
      <c r="C1997" s="22" t="s">
        <v>3751</v>
      </c>
      <c r="D1997" s="22" t="s">
        <v>8817</v>
      </c>
      <c r="E1997" s="22" t="s">
        <v>8818</v>
      </c>
      <c r="F1997" s="22">
        <v>35.902999999999999</v>
      </c>
      <c r="G1997" s="22">
        <v>43.832999999999998</v>
      </c>
      <c r="H1997" s="21" t="s">
        <v>3500</v>
      </c>
      <c r="I1997" s="21" t="s">
        <v>3754</v>
      </c>
      <c r="J1997" s="21"/>
      <c r="K1997" s="24">
        <v>110</v>
      </c>
      <c r="L1997" s="24">
        <v>660</v>
      </c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>
        <v>110</v>
      </c>
      <c r="Z1997" s="23"/>
      <c r="AA1997" s="23"/>
      <c r="AB1997" s="23"/>
      <c r="AC1997" s="23"/>
      <c r="AD1997" s="23"/>
      <c r="AE1997" s="23">
        <v>110</v>
      </c>
      <c r="AF1997" s="23"/>
      <c r="AG1997" s="23"/>
      <c r="AH1997" s="23"/>
      <c r="AI1997" s="23"/>
      <c r="AJ1997" s="23"/>
      <c r="AK1997" s="23"/>
      <c r="AL1997" s="23"/>
      <c r="AM1997" s="23"/>
      <c r="AN1997" s="23"/>
      <c r="AO1997" s="23"/>
      <c r="AP1997" s="23"/>
      <c r="AQ1997" s="23"/>
      <c r="AR1997" s="23"/>
      <c r="AS1997" s="23"/>
      <c r="AT1997" s="23">
        <v>110</v>
      </c>
      <c r="AU1997" s="14" t="str">
        <f>HYPERLINK("http://www.openstreetmap.org/?mlat=35.903&amp;mlon=43.833&amp;zoom=12#map=12/35.903/43.833","Maplink1")</f>
        <v>Maplink1</v>
      </c>
      <c r="AV1997" s="14" t="str">
        <f>HYPERLINK("https://www.google.iq/maps/search/+35.903,43.833/@35.903,43.833,14z?hl=en","Maplink2")</f>
        <v>Maplink2</v>
      </c>
      <c r="AW1997" s="14" t="str">
        <f>HYPERLINK("http://www.bing.com/maps/?lvl=14&amp;sty=h&amp;cp=35.903~43.833&amp;sp=point.35.903_43.833","Maplink3")</f>
        <v>Maplink3</v>
      </c>
    </row>
    <row r="1998" spans="1:49" ht="15" customHeight="1" x14ac:dyDescent="0.25">
      <c r="A1998" s="21">
        <v>11916</v>
      </c>
      <c r="B1998" s="22" t="s">
        <v>15</v>
      </c>
      <c r="C1998" s="22" t="s">
        <v>3751</v>
      </c>
      <c r="D1998" s="22" t="s">
        <v>3770</v>
      </c>
      <c r="E1998" s="22" t="s">
        <v>3771</v>
      </c>
      <c r="F1998" s="22">
        <v>36.109881999999999</v>
      </c>
      <c r="G1998" s="22">
        <v>43.592880000000001</v>
      </c>
      <c r="H1998" s="21" t="s">
        <v>3500</v>
      </c>
      <c r="I1998" s="21" t="s">
        <v>3754</v>
      </c>
      <c r="J1998" s="21" t="s">
        <v>3772</v>
      </c>
      <c r="K1998" s="24">
        <v>130</v>
      </c>
      <c r="L1998" s="24">
        <v>780</v>
      </c>
      <c r="M1998" s="23"/>
      <c r="N1998" s="23"/>
      <c r="O1998" s="23"/>
      <c r="P1998" s="23"/>
      <c r="Q1998" s="23"/>
      <c r="R1998" s="23"/>
      <c r="S1998" s="23">
        <v>19</v>
      </c>
      <c r="T1998" s="23"/>
      <c r="U1998" s="23"/>
      <c r="V1998" s="23"/>
      <c r="W1998" s="23"/>
      <c r="X1998" s="23"/>
      <c r="Y1998" s="23">
        <v>111</v>
      </c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>
        <v>130</v>
      </c>
      <c r="AL1998" s="23"/>
      <c r="AM1998" s="23"/>
      <c r="AN1998" s="23"/>
      <c r="AO1998" s="23"/>
      <c r="AP1998" s="23"/>
      <c r="AQ1998" s="23">
        <v>111</v>
      </c>
      <c r="AR1998" s="23">
        <v>19</v>
      </c>
      <c r="AS1998" s="23"/>
      <c r="AT1998" s="23"/>
      <c r="AU1998" s="14" t="str">
        <f>HYPERLINK("http://www.openstreetmap.org/?mlat=36.1099&amp;mlon=43.5929&amp;zoom=12#map=12/36.1099/43.5929","Maplink1")</f>
        <v>Maplink1</v>
      </c>
      <c r="AV1998" s="14" t="str">
        <f>HYPERLINK("https://www.google.iq/maps/search/+36.1099,43.5929/@36.1099,43.5929,14z?hl=en","Maplink2")</f>
        <v>Maplink2</v>
      </c>
      <c r="AW1998" s="14" t="str">
        <f>HYPERLINK("http://www.bing.com/maps/?lvl=14&amp;sty=h&amp;cp=36.1099~43.5929&amp;sp=point.36.1099_43.5929_Om Rakeba","Maplink3")</f>
        <v>Maplink3</v>
      </c>
    </row>
    <row r="1999" spans="1:49" ht="15" customHeight="1" x14ac:dyDescent="0.25">
      <c r="A1999" s="21">
        <v>11920</v>
      </c>
      <c r="B1999" s="22" t="s">
        <v>15</v>
      </c>
      <c r="C1999" s="22" t="s">
        <v>3751</v>
      </c>
      <c r="D1999" s="22" t="s">
        <v>3773</v>
      </c>
      <c r="E1999" s="22" t="s">
        <v>3774</v>
      </c>
      <c r="F1999" s="22">
        <v>36.127200000000002</v>
      </c>
      <c r="G1999" s="22">
        <v>43.741199999999999</v>
      </c>
      <c r="H1999" s="21" t="s">
        <v>3500</v>
      </c>
      <c r="I1999" s="21" t="s">
        <v>3754</v>
      </c>
      <c r="J1999" s="21" t="s">
        <v>3775</v>
      </c>
      <c r="K1999" s="24">
        <v>47</v>
      </c>
      <c r="L1999" s="24">
        <v>282</v>
      </c>
      <c r="M1999" s="23"/>
      <c r="N1999" s="23"/>
      <c r="O1999" s="23"/>
      <c r="P1999" s="23"/>
      <c r="Q1999" s="23"/>
      <c r="R1999" s="23"/>
      <c r="S1999" s="23">
        <v>3</v>
      </c>
      <c r="T1999" s="23"/>
      <c r="U1999" s="23"/>
      <c r="V1999" s="23"/>
      <c r="W1999" s="23"/>
      <c r="X1999" s="23"/>
      <c r="Y1999" s="23">
        <v>44</v>
      </c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>
        <v>47</v>
      </c>
      <c r="AL1999" s="23"/>
      <c r="AM1999" s="23"/>
      <c r="AN1999" s="23"/>
      <c r="AO1999" s="23"/>
      <c r="AP1999" s="23">
        <v>44</v>
      </c>
      <c r="AQ1999" s="23">
        <v>3</v>
      </c>
      <c r="AR1999" s="23"/>
      <c r="AS1999" s="23"/>
      <c r="AT1999" s="23"/>
      <c r="AU1999" s="14" t="str">
        <f>HYPERLINK("http://www.openstreetmap.org/?mlat=36.1272&amp;mlon=43.7412&amp;zoom=12#map=12/36.1272/43.7412","Maplink1")</f>
        <v>Maplink1</v>
      </c>
      <c r="AV1999" s="14" t="str">
        <f>HYPERLINK("https://www.google.iq/maps/search/+36.1272,43.7412/@36.1272,43.7412,14z?hl=en","Maplink2")</f>
        <v>Maplink2</v>
      </c>
      <c r="AW1999" s="14" t="str">
        <f>HYPERLINK("http://www.bing.com/maps/?lvl=14&amp;sty=h&amp;cp=36.1272~43.7412&amp;sp=point.36.1272_43.7412","Maplink3")</f>
        <v>Maplink3</v>
      </c>
    </row>
    <row r="2000" spans="1:49" ht="15" customHeight="1" x14ac:dyDescent="0.25">
      <c r="A2000" s="21">
        <v>12634</v>
      </c>
      <c r="B2000" s="22" t="s">
        <v>15</v>
      </c>
      <c r="C2000" s="22" t="s">
        <v>3751</v>
      </c>
      <c r="D2000" s="22" t="s">
        <v>3776</v>
      </c>
      <c r="E2000" s="22" t="s">
        <v>3777</v>
      </c>
      <c r="F2000" s="22">
        <v>36.080860899999998</v>
      </c>
      <c r="G2000" s="22">
        <v>43.583803940000003</v>
      </c>
      <c r="H2000" s="21" t="s">
        <v>3500</v>
      </c>
      <c r="I2000" s="21" t="s">
        <v>3754</v>
      </c>
      <c r="J2000" s="21" t="s">
        <v>3778</v>
      </c>
      <c r="K2000" s="24">
        <v>240</v>
      </c>
      <c r="L2000" s="24">
        <v>1440</v>
      </c>
      <c r="M2000" s="23"/>
      <c r="N2000" s="23"/>
      <c r="O2000" s="23"/>
      <c r="P2000" s="23"/>
      <c r="Q2000" s="23"/>
      <c r="R2000" s="23"/>
      <c r="S2000" s="23">
        <v>39</v>
      </c>
      <c r="T2000" s="23"/>
      <c r="U2000" s="23"/>
      <c r="V2000" s="23"/>
      <c r="W2000" s="23"/>
      <c r="X2000" s="23"/>
      <c r="Y2000" s="23">
        <v>201</v>
      </c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240</v>
      </c>
      <c r="AL2000" s="23"/>
      <c r="AM2000" s="23"/>
      <c r="AN2000" s="23"/>
      <c r="AO2000" s="23"/>
      <c r="AP2000" s="23"/>
      <c r="AQ2000" s="23">
        <v>201</v>
      </c>
      <c r="AR2000" s="23">
        <v>39</v>
      </c>
      <c r="AS2000" s="23"/>
      <c r="AT2000" s="23"/>
      <c r="AU2000" s="14" t="str">
        <f>HYPERLINK("http://www.openstreetmap.org/?mlat=36.0892&amp;mlon=43.6558&amp;zoom=12#map=12/36.0892/43.6558","Maplink1")</f>
        <v>Maplink1</v>
      </c>
      <c r="AV2000" s="14" t="str">
        <f>HYPERLINK("https://www.google.iq/maps/search/+36.0892,43.6558/@36.0892,43.6558,14z?hl=en","Maplink2")</f>
        <v>Maplink2</v>
      </c>
      <c r="AW2000" s="14" t="str">
        <f>HYPERLINK("http://www.bing.com/maps/?lvl=14&amp;sty=h&amp;cp=36.0892~43.6558&amp;sp=point.36.0892_43.6558_Sharaie","Maplink3")</f>
        <v>Maplink3</v>
      </c>
    </row>
    <row r="2001" spans="1:49" ht="15" customHeight="1" x14ac:dyDescent="0.25">
      <c r="A2001" s="21">
        <v>11919</v>
      </c>
      <c r="B2001" s="22" t="s">
        <v>15</v>
      </c>
      <c r="C2001" s="22" t="s">
        <v>3751</v>
      </c>
      <c r="D2001" s="22" t="s">
        <v>3779</v>
      </c>
      <c r="E2001" s="22" t="s">
        <v>3780</v>
      </c>
      <c r="F2001" s="22">
        <v>36.090532600000003</v>
      </c>
      <c r="G2001" s="22">
        <v>43.63120455</v>
      </c>
      <c r="H2001" s="21" t="s">
        <v>3500</v>
      </c>
      <c r="I2001" s="21" t="s">
        <v>3754</v>
      </c>
      <c r="J2001" s="21" t="s">
        <v>3781</v>
      </c>
      <c r="K2001" s="24">
        <v>63</v>
      </c>
      <c r="L2001" s="24">
        <v>378</v>
      </c>
      <c r="M2001" s="23"/>
      <c r="N2001" s="23"/>
      <c r="O2001" s="23"/>
      <c r="P2001" s="23"/>
      <c r="Q2001" s="23"/>
      <c r="R2001" s="23"/>
      <c r="S2001" s="23">
        <v>9</v>
      </c>
      <c r="T2001" s="23"/>
      <c r="U2001" s="23"/>
      <c r="V2001" s="23"/>
      <c r="W2001" s="23"/>
      <c r="X2001" s="23"/>
      <c r="Y2001" s="23">
        <v>54</v>
      </c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>
        <v>63</v>
      </c>
      <c r="AL2001" s="23"/>
      <c r="AM2001" s="23"/>
      <c r="AN2001" s="23"/>
      <c r="AO2001" s="23"/>
      <c r="AP2001" s="23">
        <v>44</v>
      </c>
      <c r="AQ2001" s="23">
        <v>10</v>
      </c>
      <c r="AR2001" s="23">
        <v>9</v>
      </c>
      <c r="AS2001" s="23"/>
      <c r="AT2001" s="23"/>
      <c r="AU2001" s="14" t="str">
        <f>HYPERLINK("http://www.openstreetmap.org/?mlat=36.0796&amp;mlon=43.5776&amp;zoom=12#map=12/36.0796/43.5776","Maplink1")</f>
        <v>Maplink1</v>
      </c>
      <c r="AV2001" s="14" t="str">
        <f>HYPERLINK("https://www.google.iq/maps/search/+36.0796,43.5776/@36.0796,43.5776,14z?hl=en","Maplink2")</f>
        <v>Maplink2</v>
      </c>
      <c r="AW2001" s="14" t="str">
        <f>HYPERLINK("http://www.bing.com/maps/?lvl=14&amp;sty=h&amp;cp=36.0796~43.5776&amp;sp=point.36.0796_43.5776_Tarash","Maplink3")</f>
        <v>Maplink3</v>
      </c>
    </row>
    <row r="2002" spans="1:49" ht="15" customHeight="1" x14ac:dyDescent="0.25">
      <c r="A2002" s="21">
        <v>29542</v>
      </c>
      <c r="B2002" s="22" t="s">
        <v>15</v>
      </c>
      <c r="C2002" s="22" t="s">
        <v>3751</v>
      </c>
      <c r="D2002" s="22" t="s">
        <v>3782</v>
      </c>
      <c r="E2002" s="22" t="s">
        <v>3783</v>
      </c>
      <c r="F2002" s="22">
        <v>36.241</v>
      </c>
      <c r="G2002" s="22">
        <v>43.756599999999999</v>
      </c>
      <c r="H2002" s="21" t="s">
        <v>3500</v>
      </c>
      <c r="I2002" s="21" t="s">
        <v>3754</v>
      </c>
      <c r="J2002" s="21"/>
      <c r="K2002" s="24">
        <v>60</v>
      </c>
      <c r="L2002" s="24">
        <v>360</v>
      </c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60</v>
      </c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>
        <v>60</v>
      </c>
      <c r="AL2002" s="23"/>
      <c r="AM2002" s="23"/>
      <c r="AN2002" s="23"/>
      <c r="AO2002" s="23"/>
      <c r="AP2002" s="23">
        <v>60</v>
      </c>
      <c r="AQ2002" s="23"/>
      <c r="AR2002" s="23"/>
      <c r="AS2002" s="23"/>
      <c r="AT2002" s="23"/>
      <c r="AU2002" s="14" t="str">
        <f>HYPERLINK("http://www.openstreetmap.org/?mlat=36.241&amp;mlon=43.7566&amp;zoom=12#map=12/36.241/43.7566","Maplink1")</f>
        <v>Maplink1</v>
      </c>
      <c r="AV2002" s="14" t="str">
        <f>HYPERLINK("https://www.google.iq/maps/search/+36.241,43.7566/@36.241,43.7566,14z?hl=en","Maplink2")</f>
        <v>Maplink2</v>
      </c>
      <c r="AW2002" s="14" t="str">
        <f>HYPERLINK("http://www.bing.com/maps/?lvl=14&amp;sty=h&amp;cp=36.241~43.7566&amp;sp=point.36.241_43.7566","Maplink3")</f>
        <v>Maplink3</v>
      </c>
    </row>
    <row r="2003" spans="1:49" ht="15" customHeight="1" x14ac:dyDescent="0.25">
      <c r="A2003" s="21">
        <v>27225</v>
      </c>
      <c r="B2003" s="22" t="s">
        <v>15</v>
      </c>
      <c r="C2003" s="22" t="s">
        <v>3784</v>
      </c>
      <c r="D2003" s="22" t="s">
        <v>3785</v>
      </c>
      <c r="E2003" s="22" t="s">
        <v>3786</v>
      </c>
      <c r="F2003" s="22">
        <v>36.8384</v>
      </c>
      <c r="G2003" s="22">
        <v>44.3063</v>
      </c>
      <c r="H2003" s="21"/>
      <c r="I2003" s="21"/>
      <c r="J2003" s="21"/>
      <c r="K2003" s="24">
        <v>65</v>
      </c>
      <c r="L2003" s="24">
        <v>390</v>
      </c>
      <c r="M2003" s="23"/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65</v>
      </c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>
        <v>65</v>
      </c>
      <c r="AL2003" s="23"/>
      <c r="AM2003" s="23"/>
      <c r="AN2003" s="23"/>
      <c r="AO2003" s="23"/>
      <c r="AP2003" s="23">
        <v>65</v>
      </c>
      <c r="AQ2003" s="23"/>
      <c r="AR2003" s="23"/>
      <c r="AS2003" s="23"/>
      <c r="AT2003" s="23"/>
      <c r="AU2003" s="14" t="str">
        <f>HYPERLINK("http://www.openstreetmap.org/?mlat=36.8384&amp;mlon=44.3063&amp;zoom=12#map=12/36.8384/44.3063","Maplink1")</f>
        <v>Maplink1</v>
      </c>
      <c r="AV2003" s="14" t="str">
        <f>HYPERLINK("https://www.google.iq/maps/search/+36.8384,44.3063/@36.8384,44.3063,14z?hl=en","Maplink2")</f>
        <v>Maplink2</v>
      </c>
      <c r="AW2003" s="14" t="str">
        <f>HYPERLINK("http://www.bing.com/maps/?lvl=14&amp;sty=h&amp;cp=36.8384~44.3063&amp;sp=point.36.8384_44.3063_Markaz Mergasur","Maplink3")</f>
        <v>Maplink3</v>
      </c>
    </row>
    <row r="2004" spans="1:49" ht="15" customHeight="1" x14ac:dyDescent="0.25">
      <c r="A2004" s="21">
        <v>23910</v>
      </c>
      <c r="B2004" s="22" t="s">
        <v>15</v>
      </c>
      <c r="C2004" s="22" t="s">
        <v>3787</v>
      </c>
      <c r="D2004" s="22" t="s">
        <v>3788</v>
      </c>
      <c r="E2004" s="22" t="s">
        <v>3789</v>
      </c>
      <c r="F2004" s="22">
        <v>36.34545</v>
      </c>
      <c r="G2004" s="22">
        <v>44.40804</v>
      </c>
      <c r="H2004" s="21" t="s">
        <v>3500</v>
      </c>
      <c r="I2004" s="21" t="s">
        <v>3790</v>
      </c>
      <c r="J2004" s="21" t="s">
        <v>3791</v>
      </c>
      <c r="K2004" s="24">
        <v>92</v>
      </c>
      <c r="L2004" s="24">
        <v>552</v>
      </c>
      <c r="M2004" s="23">
        <v>92</v>
      </c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>
        <v>92</v>
      </c>
      <c r="AL2004" s="23"/>
      <c r="AM2004" s="23"/>
      <c r="AN2004" s="23"/>
      <c r="AO2004" s="23">
        <v>29</v>
      </c>
      <c r="AP2004" s="23"/>
      <c r="AQ2004" s="23"/>
      <c r="AR2004" s="23"/>
      <c r="AS2004" s="23">
        <v>63</v>
      </c>
      <c r="AT2004" s="23"/>
      <c r="AU2004" s="14" t="str">
        <f>HYPERLINK("http://www.openstreetmap.org/?mlat=36.3455&amp;mlon=44.408&amp;zoom=12#map=12/36.3455/44.408","Maplink1")</f>
        <v>Maplink1</v>
      </c>
      <c r="AV2004" s="14" t="str">
        <f>HYPERLINK("https://www.google.iq/maps/search/+36.3455,44.408/@36.3455,44.408,14z?hl=en","Maplink2")</f>
        <v>Maplink2</v>
      </c>
      <c r="AW2004" s="14" t="str">
        <f>HYPERLINK("http://www.bing.com/maps/?lvl=14&amp;sty=h&amp;cp=36.3455~44.408&amp;sp=point.36.3455_44.408_Aquban","Maplink3")</f>
        <v>Maplink3</v>
      </c>
    </row>
    <row r="2005" spans="1:49" ht="15" customHeight="1" x14ac:dyDescent="0.25">
      <c r="A2005" s="21">
        <v>23907</v>
      </c>
      <c r="B2005" s="22" t="s">
        <v>15</v>
      </c>
      <c r="C2005" s="22" t="s">
        <v>3787</v>
      </c>
      <c r="D2005" s="22" t="s">
        <v>3792</v>
      </c>
      <c r="E2005" s="22" t="s">
        <v>3793</v>
      </c>
      <c r="F2005" s="22">
        <v>36.399410000000003</v>
      </c>
      <c r="G2005" s="22">
        <v>44.33652</v>
      </c>
      <c r="H2005" s="21" t="s">
        <v>3500</v>
      </c>
      <c r="I2005" s="21" t="s">
        <v>3790</v>
      </c>
      <c r="J2005" s="21" t="s">
        <v>3794</v>
      </c>
      <c r="K2005" s="24">
        <v>587</v>
      </c>
      <c r="L2005" s="24">
        <v>3522</v>
      </c>
      <c r="M2005" s="23">
        <v>533</v>
      </c>
      <c r="N2005" s="23"/>
      <c r="O2005" s="23">
        <v>10</v>
      </c>
      <c r="P2005" s="23"/>
      <c r="Q2005" s="23"/>
      <c r="R2005" s="23">
        <v>10</v>
      </c>
      <c r="S2005" s="23"/>
      <c r="T2005" s="23"/>
      <c r="U2005" s="23"/>
      <c r="V2005" s="23"/>
      <c r="W2005" s="23"/>
      <c r="X2005" s="23"/>
      <c r="Y2005" s="23">
        <v>20</v>
      </c>
      <c r="Z2005" s="23"/>
      <c r="AA2005" s="23">
        <v>14</v>
      </c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>
        <v>587</v>
      </c>
      <c r="AL2005" s="23"/>
      <c r="AM2005" s="23"/>
      <c r="AN2005" s="23"/>
      <c r="AO2005" s="23">
        <v>275</v>
      </c>
      <c r="AP2005" s="23"/>
      <c r="AQ2005" s="23">
        <v>12</v>
      </c>
      <c r="AR2005" s="23">
        <v>46</v>
      </c>
      <c r="AS2005" s="23">
        <v>219</v>
      </c>
      <c r="AT2005" s="23">
        <v>35</v>
      </c>
      <c r="AU2005" s="14" t="str">
        <f>HYPERLINK("http://www.openstreetmap.org/?mlat=36.3994&amp;mlon=44.3365&amp;zoom=12#map=12/36.3994/44.3365","Maplink1")</f>
        <v>Maplink1</v>
      </c>
      <c r="AV2005" s="14" t="str">
        <f>HYPERLINK("https://www.google.iq/maps/search/+36.3994,44.3365/@36.3994,44.3365,14z?hl=en","Maplink2")</f>
        <v>Maplink2</v>
      </c>
      <c r="AW2005" s="14" t="str">
        <f>HYPERLINK("http://www.bing.com/maps/?lvl=14&amp;sty=h&amp;cp=36.3994~44.3365&amp;sp=point.36.3994_44.3365_Bazar Khanzad","Maplink3")</f>
        <v>Maplink3</v>
      </c>
    </row>
    <row r="2006" spans="1:49" ht="15" customHeight="1" x14ac:dyDescent="0.25">
      <c r="A2006" s="21">
        <v>23713</v>
      </c>
      <c r="B2006" s="22" t="s">
        <v>15</v>
      </c>
      <c r="C2006" s="22" t="s">
        <v>3787</v>
      </c>
      <c r="D2006" s="22" t="s">
        <v>8819</v>
      </c>
      <c r="E2006" s="22" t="s">
        <v>8820</v>
      </c>
      <c r="F2006" s="22">
        <v>36.393949999999997</v>
      </c>
      <c r="G2006" s="22">
        <v>44.344499999999996</v>
      </c>
      <c r="H2006" s="21" t="s">
        <v>3500</v>
      </c>
      <c r="I2006" s="21" t="s">
        <v>3790</v>
      </c>
      <c r="J2006" s="21" t="s">
        <v>3795</v>
      </c>
      <c r="K2006" s="24">
        <v>301</v>
      </c>
      <c r="L2006" s="24">
        <v>1806</v>
      </c>
      <c r="M2006" s="23">
        <v>188</v>
      </c>
      <c r="N2006" s="23"/>
      <c r="O2006" s="23">
        <v>10</v>
      </c>
      <c r="P2006" s="23"/>
      <c r="Q2006" s="23"/>
      <c r="R2006" s="23">
        <v>8</v>
      </c>
      <c r="S2006" s="23"/>
      <c r="T2006" s="23"/>
      <c r="U2006" s="23"/>
      <c r="V2006" s="23"/>
      <c r="W2006" s="23"/>
      <c r="X2006" s="23"/>
      <c r="Y2006" s="23">
        <v>30</v>
      </c>
      <c r="Z2006" s="23"/>
      <c r="AA2006" s="23">
        <v>65</v>
      </c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>
        <v>301</v>
      </c>
      <c r="AL2006" s="23"/>
      <c r="AM2006" s="23"/>
      <c r="AN2006" s="23"/>
      <c r="AO2006" s="23">
        <v>93</v>
      </c>
      <c r="AP2006" s="23"/>
      <c r="AQ2006" s="23">
        <v>60</v>
      </c>
      <c r="AR2006" s="23">
        <v>33</v>
      </c>
      <c r="AS2006" s="23">
        <v>65</v>
      </c>
      <c r="AT2006" s="23">
        <v>50</v>
      </c>
      <c r="AU2006" s="14" t="str">
        <f>HYPERLINK("http://www.openstreetmap.org/?mlat=36.3939&amp;mlon=44.3445&amp;zoom=12#map=12/36.3939/44.3445","Maplink1")</f>
        <v>Maplink1</v>
      </c>
      <c r="AV2006" s="14" t="str">
        <f>HYPERLINK("https://www.google.iq/maps/search/+36.3939,44.3445/@36.3939,44.3445,14z?hl=en","Maplink2")</f>
        <v>Maplink2</v>
      </c>
      <c r="AW2006" s="14" t="str">
        <f>HYPERLINK("http://www.bing.com/maps/?lvl=14&amp;sty=h&amp;cp=36.3939~44.3445&amp;sp=point.36.3939_44.3445_Betarma","Maplink3")</f>
        <v>Maplink3</v>
      </c>
    </row>
    <row r="2007" spans="1:49" ht="15" customHeight="1" x14ac:dyDescent="0.25">
      <c r="A2007" s="21">
        <v>27141</v>
      </c>
      <c r="B2007" s="22" t="s">
        <v>15</v>
      </c>
      <c r="C2007" s="22" t="s">
        <v>3787</v>
      </c>
      <c r="D2007" s="22" t="s">
        <v>3798</v>
      </c>
      <c r="E2007" s="22" t="s">
        <v>3799</v>
      </c>
      <c r="F2007" s="22">
        <v>36.500399999999999</v>
      </c>
      <c r="G2007" s="22">
        <v>44.350999999999999</v>
      </c>
      <c r="H2007" s="21" t="s">
        <v>3500</v>
      </c>
      <c r="I2007" s="21" t="s">
        <v>3790</v>
      </c>
      <c r="J2007" s="21"/>
      <c r="K2007" s="24">
        <v>89</v>
      </c>
      <c r="L2007" s="24">
        <v>534</v>
      </c>
      <c r="M2007" s="23">
        <v>78</v>
      </c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>
        <v>8</v>
      </c>
      <c r="Z2007" s="23"/>
      <c r="AA2007" s="23">
        <v>3</v>
      </c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89</v>
      </c>
      <c r="AL2007" s="23"/>
      <c r="AM2007" s="23"/>
      <c r="AN2007" s="23"/>
      <c r="AO2007" s="23"/>
      <c r="AP2007" s="23"/>
      <c r="AQ2007" s="23">
        <v>84</v>
      </c>
      <c r="AR2007" s="23"/>
      <c r="AS2007" s="23"/>
      <c r="AT2007" s="23">
        <v>5</v>
      </c>
      <c r="AU2007" s="14" t="str">
        <f>HYPERLINK("http://www.openstreetmap.org/?mlat=36.5004&amp;mlon=44.351&amp;zoom=12#map=12/36.5004/44.351","Maplink1")</f>
        <v>Maplink1</v>
      </c>
      <c r="AV2007" s="14" t="str">
        <f>HYPERLINK("https://www.google.iq/maps/search/+36.5004,44.351/@36.5004,44.351,14z?hl=en","Maplink2")</f>
        <v>Maplink2</v>
      </c>
      <c r="AW2007" s="14" t="str">
        <f>HYPERLINK("http://www.bing.com/maps/?lvl=14&amp;sty=h&amp;cp=36.5004~44.351&amp;sp=point.36.5004_44.351_Gulan","Maplink3")</f>
        <v>Maplink3</v>
      </c>
    </row>
    <row r="2008" spans="1:49" ht="15" customHeight="1" x14ac:dyDescent="0.25">
      <c r="A2008" s="21">
        <v>12172</v>
      </c>
      <c r="B2008" s="22" t="s">
        <v>15</v>
      </c>
      <c r="C2008" s="22" t="s">
        <v>3787</v>
      </c>
      <c r="D2008" s="22" t="s">
        <v>3800</v>
      </c>
      <c r="E2008" s="22" t="s">
        <v>3801</v>
      </c>
      <c r="F2008" s="22">
        <v>36.549999999999997</v>
      </c>
      <c r="G2008" s="22">
        <v>44.35</v>
      </c>
      <c r="H2008" s="21" t="s">
        <v>3500</v>
      </c>
      <c r="I2008" s="21" t="s">
        <v>3790</v>
      </c>
      <c r="J2008" s="21" t="s">
        <v>3802</v>
      </c>
      <c r="K2008" s="24">
        <v>1003</v>
      </c>
      <c r="L2008" s="24">
        <v>6018</v>
      </c>
      <c r="M2008" s="23">
        <v>947</v>
      </c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56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>
        <v>1003</v>
      </c>
      <c r="AL2008" s="23"/>
      <c r="AM2008" s="23"/>
      <c r="AN2008" s="23"/>
      <c r="AO2008" s="23">
        <v>179</v>
      </c>
      <c r="AP2008" s="23">
        <v>31</v>
      </c>
      <c r="AQ2008" s="23"/>
      <c r="AR2008" s="23">
        <v>671</v>
      </c>
      <c r="AS2008" s="23"/>
      <c r="AT2008" s="23">
        <v>122</v>
      </c>
      <c r="AU2008" s="14" t="str">
        <f>HYPERLINK("http://www.openstreetmap.org/?mlat=36.55&amp;mlon=44.35&amp;zoom=12#map=12/36.55/44.35","Maplink1")</f>
        <v>Maplink1</v>
      </c>
      <c r="AV2008" s="14" t="str">
        <f>HYPERLINK("https://www.google.iq/maps/search/+36.55,44.35/@36.55,44.35,14z?hl=en","Maplink2")</f>
        <v>Maplink2</v>
      </c>
      <c r="AW2008" s="14" t="str">
        <f>HYPERLINK("http://www.bing.com/maps/?lvl=14&amp;sty=h&amp;cp=36.55~44.35&amp;sp=point.36.55_44.35_Harir","Maplink3")</f>
        <v>Maplink3</v>
      </c>
    </row>
    <row r="2009" spans="1:49" ht="15" customHeight="1" x14ac:dyDescent="0.25">
      <c r="A2009" s="21">
        <v>13372</v>
      </c>
      <c r="B2009" s="22" t="s">
        <v>15</v>
      </c>
      <c r="C2009" s="22" t="s">
        <v>3787</v>
      </c>
      <c r="D2009" s="22" t="s">
        <v>3803</v>
      </c>
      <c r="E2009" s="22" t="s">
        <v>8821</v>
      </c>
      <c r="F2009" s="22">
        <v>36.565908899999997</v>
      </c>
      <c r="G2009" s="22">
        <v>44.329141989999997</v>
      </c>
      <c r="H2009" s="21" t="s">
        <v>3500</v>
      </c>
      <c r="I2009" s="21" t="s">
        <v>3790</v>
      </c>
      <c r="J2009" s="21" t="s">
        <v>3804</v>
      </c>
      <c r="K2009" s="24">
        <v>400</v>
      </c>
      <c r="L2009" s="24">
        <v>2400</v>
      </c>
      <c r="M2009" s="23">
        <v>346</v>
      </c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>
        <v>54</v>
      </c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400</v>
      </c>
      <c r="AL2009" s="23"/>
      <c r="AM2009" s="23"/>
      <c r="AN2009" s="23"/>
      <c r="AO2009" s="23">
        <v>120</v>
      </c>
      <c r="AP2009" s="23">
        <v>31</v>
      </c>
      <c r="AQ2009" s="23"/>
      <c r="AR2009" s="23"/>
      <c r="AS2009" s="23">
        <v>140</v>
      </c>
      <c r="AT2009" s="23">
        <v>109</v>
      </c>
      <c r="AU2009" s="14" t="str">
        <f>HYPERLINK("http://www.openstreetmap.org/?mlat=36.55&amp;mlon=44.33&amp;zoom=12#map=12/36.55/44.33","Maplink1")</f>
        <v>Maplink1</v>
      </c>
      <c r="AV2009" s="14" t="str">
        <f>HYPERLINK("https://www.google.iq/maps/search/+36.55,44.33/@36.55,44.33,14z?hl=en","Maplink2")</f>
        <v>Maplink2</v>
      </c>
      <c r="AW2009" s="14" t="str">
        <f>HYPERLINK("http://www.bing.com/maps/?lvl=14&amp;sty=h&amp;cp=36.55~44.33&amp;sp=point.36.55_44.33_Harir-Batas","Maplink3")</f>
        <v>Maplink3</v>
      </c>
    </row>
    <row r="2010" spans="1:49" ht="15" customHeight="1" x14ac:dyDescent="0.25">
      <c r="A2010" s="21">
        <v>12079</v>
      </c>
      <c r="B2010" s="22" t="s">
        <v>15</v>
      </c>
      <c r="C2010" s="22" t="s">
        <v>3787</v>
      </c>
      <c r="D2010" s="22" t="s">
        <v>3805</v>
      </c>
      <c r="E2010" s="22" t="s">
        <v>3806</v>
      </c>
      <c r="F2010" s="22">
        <v>36.270000000000003</v>
      </c>
      <c r="G2010" s="22">
        <v>44.49</v>
      </c>
      <c r="H2010" s="21" t="s">
        <v>3500</v>
      </c>
      <c r="I2010" s="21" t="s">
        <v>3790</v>
      </c>
      <c r="J2010" s="21" t="s">
        <v>3807</v>
      </c>
      <c r="K2010" s="24">
        <v>268</v>
      </c>
      <c r="L2010" s="24">
        <v>1608</v>
      </c>
      <c r="M2010" s="23">
        <v>268</v>
      </c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>
        <v>268</v>
      </c>
      <c r="AL2010" s="23"/>
      <c r="AM2010" s="23"/>
      <c r="AN2010" s="23"/>
      <c r="AO2010" s="23">
        <v>110</v>
      </c>
      <c r="AP2010" s="23"/>
      <c r="AQ2010" s="23"/>
      <c r="AR2010" s="23"/>
      <c r="AS2010" s="23">
        <v>158</v>
      </c>
      <c r="AT2010" s="23"/>
      <c r="AU2010" s="14" t="str">
        <f>HYPERLINK("http://www.openstreetmap.org/?mlat=36.27&amp;mlon=44.49&amp;zoom=12#map=12/36.27/44.49","Maplink1")</f>
        <v>Maplink1</v>
      </c>
      <c r="AV2010" s="14" t="str">
        <f>HYPERLINK("https://www.google.iq/maps/search/+36.27,44.49/@36.27,44.49,14z?hl=en","Maplink2")</f>
        <v>Maplink2</v>
      </c>
      <c r="AW2010" s="14" t="str">
        <f>HYPERLINK("http://www.bing.com/maps/?lvl=14&amp;sty=h&amp;cp=36.27~44.49&amp;sp=point.36.27_44.49_Hiran","Maplink3")</f>
        <v>Maplink3</v>
      </c>
    </row>
    <row r="2011" spans="1:49" ht="15" customHeight="1" x14ac:dyDescent="0.25">
      <c r="A2011" s="21">
        <v>12090</v>
      </c>
      <c r="B2011" s="22" t="s">
        <v>15</v>
      </c>
      <c r="C2011" s="22" t="s">
        <v>3787</v>
      </c>
      <c r="D2011" s="22" t="s">
        <v>8822</v>
      </c>
      <c r="E2011" s="22" t="s">
        <v>3796</v>
      </c>
      <c r="F2011" s="22">
        <v>36.371741999999998</v>
      </c>
      <c r="G2011" s="22">
        <v>44.200564999999997</v>
      </c>
      <c r="H2011" s="21" t="s">
        <v>3500</v>
      </c>
      <c r="I2011" s="21" t="s">
        <v>3790</v>
      </c>
      <c r="J2011" s="21" t="s">
        <v>3797</v>
      </c>
      <c r="K2011" s="24">
        <v>10</v>
      </c>
      <c r="L2011" s="24">
        <v>60</v>
      </c>
      <c r="M2011" s="23">
        <v>10</v>
      </c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10</v>
      </c>
      <c r="AL2011" s="23"/>
      <c r="AM2011" s="23"/>
      <c r="AN2011" s="23"/>
      <c r="AO2011" s="23"/>
      <c r="AP2011" s="23"/>
      <c r="AQ2011" s="23"/>
      <c r="AR2011" s="23"/>
      <c r="AS2011" s="23">
        <v>10</v>
      </c>
      <c r="AT2011" s="23"/>
      <c r="AU2011" s="14" t="str">
        <f>HYPERLINK("http://www.openstreetmap.org/?mlat=36.3717&amp;mlon=44.2006&amp;zoom=12#map=12/36.3717/44.2006","Maplink1")</f>
        <v>Maplink1</v>
      </c>
      <c r="AV2011" s="14" t="str">
        <f>HYPERLINK("https://www.google.iq/maps/search/+36.3717,44.2006/@36.3717,44.2006,14z?hl=en","Maplink2")</f>
        <v>Maplink2</v>
      </c>
      <c r="AW2011" s="14" t="str">
        <f>HYPERLINK("http://www.bing.com/maps/?lvl=14&amp;sty=h&amp;cp=36.3717~44.2006&amp;sp=point.36.3717_44.2006_Gawrtan","Maplink3")</f>
        <v>Maplink3</v>
      </c>
    </row>
    <row r="2012" spans="1:49" ht="15" customHeight="1" x14ac:dyDescent="0.25">
      <c r="A2012" s="21">
        <v>27143</v>
      </c>
      <c r="B2012" s="22" t="s">
        <v>15</v>
      </c>
      <c r="C2012" s="22" t="s">
        <v>3787</v>
      </c>
      <c r="D2012" s="22" t="s">
        <v>3594</v>
      </c>
      <c r="E2012" s="22" t="s">
        <v>3808</v>
      </c>
      <c r="F2012" s="22">
        <v>36.505699999999997</v>
      </c>
      <c r="G2012" s="22">
        <v>44.345599999999997</v>
      </c>
      <c r="H2012" s="21" t="s">
        <v>3500</v>
      </c>
      <c r="I2012" s="21" t="s">
        <v>3790</v>
      </c>
      <c r="J2012" s="21"/>
      <c r="K2012" s="24">
        <v>57</v>
      </c>
      <c r="L2012" s="24">
        <v>342</v>
      </c>
      <c r="M2012" s="23">
        <v>57</v>
      </c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>
        <v>57</v>
      </c>
      <c r="AL2012" s="23"/>
      <c r="AM2012" s="23"/>
      <c r="AN2012" s="23"/>
      <c r="AO2012" s="23"/>
      <c r="AP2012" s="23"/>
      <c r="AQ2012" s="23">
        <v>57</v>
      </c>
      <c r="AR2012" s="23"/>
      <c r="AS2012" s="23"/>
      <c r="AT2012" s="23"/>
      <c r="AU2012" s="14" t="str">
        <f>HYPERLINK("http://www.openstreetmap.org/?mlat=36.5057&amp;mlon=44.3456&amp;zoom=12#map=12/36.5057/44.3456","Maplink1")</f>
        <v>Maplink1</v>
      </c>
      <c r="AV2012" s="14" t="str">
        <f>HYPERLINK("https://www.google.iq/maps/search/+36.5057,44.3456/@36.5057,44.3456,14z?hl=en","Maplink2")</f>
        <v>Maplink2</v>
      </c>
      <c r="AW2012" s="14" t="str">
        <f>HYPERLINK("http://www.bing.com/maps/?lvl=14&amp;sty=h&amp;cp=36.5057~44.3456&amp;sp=point.36.5057_44.3456_Khabat","Maplink3")</f>
        <v>Maplink3</v>
      </c>
    </row>
    <row r="2013" spans="1:49" ht="15" customHeight="1" x14ac:dyDescent="0.25">
      <c r="A2013" s="21">
        <v>27142</v>
      </c>
      <c r="B2013" s="22" t="s">
        <v>15</v>
      </c>
      <c r="C2013" s="22" t="s">
        <v>3787</v>
      </c>
      <c r="D2013" s="22" t="s">
        <v>3809</v>
      </c>
      <c r="E2013" s="22" t="s">
        <v>3810</v>
      </c>
      <c r="F2013" s="22">
        <v>36.501100000000001</v>
      </c>
      <c r="G2013" s="22">
        <v>44.346699999999998</v>
      </c>
      <c r="H2013" s="21" t="s">
        <v>3500</v>
      </c>
      <c r="I2013" s="21" t="s">
        <v>3790</v>
      </c>
      <c r="J2013" s="21"/>
      <c r="K2013" s="24">
        <v>27</v>
      </c>
      <c r="L2013" s="24">
        <v>162</v>
      </c>
      <c r="M2013" s="23">
        <v>27</v>
      </c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27</v>
      </c>
      <c r="AL2013" s="23"/>
      <c r="AM2013" s="23"/>
      <c r="AN2013" s="23"/>
      <c r="AO2013" s="23"/>
      <c r="AP2013" s="23"/>
      <c r="AQ2013" s="23">
        <v>27</v>
      </c>
      <c r="AR2013" s="23"/>
      <c r="AS2013" s="23"/>
      <c r="AT2013" s="23"/>
      <c r="AU2013" s="14" t="str">
        <f>HYPERLINK("http://www.openstreetmap.org/?mlat=36.5011&amp;mlon=44.3467&amp;zoom=12#map=12/36.5011/44.3467","Maplink1")</f>
        <v>Maplink1</v>
      </c>
      <c r="AV2013" s="14" t="str">
        <f>HYPERLINK("https://www.google.iq/maps/search/+36.5011,44.3467/@36.5011,44.3467,14z?hl=en","Maplink2")</f>
        <v>Maplink2</v>
      </c>
      <c r="AW2013" s="14" t="str">
        <f>HYPERLINK("http://www.bing.com/maps/?lvl=14&amp;sty=h&amp;cp=36.5011~44.3467&amp;sp=point.36.5011_44.3467_Kurdistan","Maplink3")</f>
        <v>Maplink3</v>
      </c>
    </row>
    <row r="2014" spans="1:49" ht="15" customHeight="1" x14ac:dyDescent="0.25">
      <c r="A2014" s="21">
        <v>12155</v>
      </c>
      <c r="B2014" s="22" t="s">
        <v>15</v>
      </c>
      <c r="C2014" s="22" t="s">
        <v>3787</v>
      </c>
      <c r="D2014" s="22" t="s">
        <v>8823</v>
      </c>
      <c r="E2014" s="22" t="s">
        <v>3811</v>
      </c>
      <c r="F2014" s="22">
        <v>36.39762786</v>
      </c>
      <c r="G2014" s="22">
        <v>44.385880440000001</v>
      </c>
      <c r="H2014" s="21" t="s">
        <v>3500</v>
      </c>
      <c r="I2014" s="21" t="s">
        <v>3790</v>
      </c>
      <c r="J2014" s="21" t="s">
        <v>3812</v>
      </c>
      <c r="K2014" s="24">
        <v>56</v>
      </c>
      <c r="L2014" s="24">
        <v>336</v>
      </c>
      <c r="M2014" s="23">
        <v>56</v>
      </c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56</v>
      </c>
      <c r="AL2014" s="23"/>
      <c r="AM2014" s="23"/>
      <c r="AN2014" s="23"/>
      <c r="AO2014" s="23">
        <v>23</v>
      </c>
      <c r="AP2014" s="23"/>
      <c r="AQ2014" s="23"/>
      <c r="AR2014" s="23"/>
      <c r="AS2014" s="23">
        <v>33</v>
      </c>
      <c r="AT2014" s="23"/>
      <c r="AU2014" s="14" t="str">
        <f>HYPERLINK("http://www.openstreetmap.org/?mlat=36.39&amp;mlon=44.38&amp;zoom=12#map=12/36.39/44.38","Maplink1")</f>
        <v>Maplink1</v>
      </c>
      <c r="AV2014" s="14" t="str">
        <f>HYPERLINK("https://www.google.iq/maps/search/+36.39,44.38/@36.39,44.38,14z?hl=en","Maplink2")</f>
        <v>Maplink2</v>
      </c>
      <c r="AW2014" s="14" t="str">
        <f>HYPERLINK("http://www.bing.com/maps/?lvl=14&amp;sty=h&amp;cp=36.39~44.38&amp;sp=point.36.39_44.38_Lasa","Maplink3")</f>
        <v>Maplink3</v>
      </c>
    </row>
    <row r="2015" spans="1:49" ht="15" customHeight="1" x14ac:dyDescent="0.25">
      <c r="A2015" s="21">
        <v>24910</v>
      </c>
      <c r="B2015" s="22" t="s">
        <v>15</v>
      </c>
      <c r="C2015" s="22" t="s">
        <v>3787</v>
      </c>
      <c r="D2015" s="22" t="s">
        <v>3146</v>
      </c>
      <c r="E2015" s="22" t="s">
        <v>3147</v>
      </c>
      <c r="F2015" s="22">
        <v>36.515832000000003</v>
      </c>
      <c r="G2015" s="22">
        <v>44.340978</v>
      </c>
      <c r="H2015" s="21" t="s">
        <v>3500</v>
      </c>
      <c r="I2015" s="21" t="s">
        <v>3790</v>
      </c>
      <c r="J2015" s="21"/>
      <c r="K2015" s="24">
        <v>106</v>
      </c>
      <c r="L2015" s="24">
        <v>636</v>
      </c>
      <c r="M2015" s="23">
        <v>106</v>
      </c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106</v>
      </c>
      <c r="AL2015" s="23"/>
      <c r="AM2015" s="23"/>
      <c r="AN2015" s="23"/>
      <c r="AO2015" s="23"/>
      <c r="AP2015" s="23"/>
      <c r="AQ2015" s="23">
        <v>106</v>
      </c>
      <c r="AR2015" s="23"/>
      <c r="AS2015" s="23"/>
      <c r="AT2015" s="23"/>
      <c r="AU2015" s="14" t="str">
        <f>HYPERLINK("http://www.openstreetmap.org/?mlat=36.5158&amp;mlon=44.341&amp;zoom=12#map=12/36.5158/44.341","Maplink1")</f>
        <v>Maplink1</v>
      </c>
      <c r="AV2015" s="14" t="str">
        <f>HYPERLINK("https://www.google.iq/maps/search/+36.5158,44.341/@36.5158,44.341,14z?hl=en","Maplink2")</f>
        <v>Maplink2</v>
      </c>
      <c r="AW2015" s="14" t="str">
        <f>HYPERLINK("http://www.bing.com/maps/?lvl=14&amp;sty=h&amp;cp=36.5158~44.341&amp;sp=point.36.5158_44.341_Shaqlawa-Rizgari","Maplink3")</f>
        <v>Maplink3</v>
      </c>
    </row>
    <row r="2016" spans="1:49" ht="15" customHeight="1" x14ac:dyDescent="0.25">
      <c r="A2016" s="21">
        <v>23698</v>
      </c>
      <c r="B2016" s="22" t="s">
        <v>15</v>
      </c>
      <c r="C2016" s="22" t="s">
        <v>3787</v>
      </c>
      <c r="D2016" s="22" t="s">
        <v>3813</v>
      </c>
      <c r="E2016" s="22" t="s">
        <v>3814</v>
      </c>
      <c r="F2016" s="22">
        <v>36.40108</v>
      </c>
      <c r="G2016" s="22">
        <v>44.344070000000002</v>
      </c>
      <c r="H2016" s="21" t="s">
        <v>3500</v>
      </c>
      <c r="I2016" s="21" t="s">
        <v>3790</v>
      </c>
      <c r="J2016" s="21" t="s">
        <v>3815</v>
      </c>
      <c r="K2016" s="24">
        <v>171</v>
      </c>
      <c r="L2016" s="24">
        <v>1026</v>
      </c>
      <c r="M2016" s="23">
        <v>94</v>
      </c>
      <c r="N2016" s="23"/>
      <c r="O2016" s="23">
        <v>6</v>
      </c>
      <c r="P2016" s="23"/>
      <c r="Q2016" s="23"/>
      <c r="R2016" s="23">
        <v>16</v>
      </c>
      <c r="S2016" s="23"/>
      <c r="T2016" s="23"/>
      <c r="U2016" s="23"/>
      <c r="V2016" s="23"/>
      <c r="W2016" s="23"/>
      <c r="X2016" s="23"/>
      <c r="Y2016" s="23">
        <v>35</v>
      </c>
      <c r="Z2016" s="23"/>
      <c r="AA2016" s="23">
        <v>20</v>
      </c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>
        <v>171</v>
      </c>
      <c r="AL2016" s="23"/>
      <c r="AM2016" s="23"/>
      <c r="AN2016" s="23"/>
      <c r="AO2016" s="23">
        <v>25</v>
      </c>
      <c r="AP2016" s="23"/>
      <c r="AQ2016" s="23">
        <v>20</v>
      </c>
      <c r="AR2016" s="23">
        <v>57</v>
      </c>
      <c r="AS2016" s="23">
        <v>29</v>
      </c>
      <c r="AT2016" s="23">
        <v>40</v>
      </c>
      <c r="AU2016" s="14" t="str">
        <f>HYPERLINK("http://www.openstreetmap.org/?mlat=36.4011&amp;mlon=44.3441&amp;zoom=12#map=12/36.4011/44.3441","Maplink1")</f>
        <v>Maplink1</v>
      </c>
      <c r="AV2016" s="14" t="str">
        <f>HYPERLINK("https://www.google.iq/maps/search/+36.4011,44.3441/@36.4011,44.3441,14z?hl=en","Maplink2")</f>
        <v>Maplink2</v>
      </c>
      <c r="AW2016" s="14" t="str">
        <f>HYPERLINK("http://www.bing.com/maps/?lvl=14&amp;sty=h&amp;cp=36.4011~44.3441&amp;sp=point.36.4011_44.3441_Sabirawa","Maplink3")</f>
        <v>Maplink3</v>
      </c>
    </row>
    <row r="2017" spans="1:49" ht="15" customHeight="1" x14ac:dyDescent="0.25">
      <c r="A2017" s="21">
        <v>23741</v>
      </c>
      <c r="B2017" s="22" t="s">
        <v>15</v>
      </c>
      <c r="C2017" s="22" t="s">
        <v>3787</v>
      </c>
      <c r="D2017" s="22" t="s">
        <v>8824</v>
      </c>
      <c r="E2017" s="22" t="s">
        <v>3816</v>
      </c>
      <c r="F2017" s="22">
        <v>36.408180000000002</v>
      </c>
      <c r="G2017" s="22">
        <v>44.308219999999999</v>
      </c>
      <c r="H2017" s="21" t="s">
        <v>3500</v>
      </c>
      <c r="I2017" s="21" t="s">
        <v>3790</v>
      </c>
      <c r="J2017" s="21" t="s">
        <v>3817</v>
      </c>
      <c r="K2017" s="24">
        <v>209</v>
      </c>
      <c r="L2017" s="24">
        <v>1254</v>
      </c>
      <c r="M2017" s="23">
        <v>139</v>
      </c>
      <c r="N2017" s="23"/>
      <c r="O2017" s="23">
        <v>6</v>
      </c>
      <c r="P2017" s="23"/>
      <c r="Q2017" s="23"/>
      <c r="R2017" s="23">
        <v>21</v>
      </c>
      <c r="S2017" s="23"/>
      <c r="T2017" s="23"/>
      <c r="U2017" s="23"/>
      <c r="V2017" s="23"/>
      <c r="W2017" s="23"/>
      <c r="X2017" s="23"/>
      <c r="Y2017" s="23">
        <v>31</v>
      </c>
      <c r="Z2017" s="23"/>
      <c r="AA2017" s="23">
        <v>12</v>
      </c>
      <c r="AB2017" s="23"/>
      <c r="AC2017" s="23"/>
      <c r="AD2017" s="23"/>
      <c r="AE2017" s="23"/>
      <c r="AF2017" s="23"/>
      <c r="AG2017" s="23">
        <v>18</v>
      </c>
      <c r="AH2017" s="23"/>
      <c r="AI2017" s="23"/>
      <c r="AJ2017" s="23"/>
      <c r="AK2017" s="23">
        <v>191</v>
      </c>
      <c r="AL2017" s="23"/>
      <c r="AM2017" s="23"/>
      <c r="AN2017" s="23"/>
      <c r="AO2017" s="23">
        <v>50</v>
      </c>
      <c r="AP2017" s="23"/>
      <c r="AQ2017" s="23">
        <v>12</v>
      </c>
      <c r="AR2017" s="23">
        <v>58</v>
      </c>
      <c r="AS2017" s="23">
        <v>49</v>
      </c>
      <c r="AT2017" s="23">
        <v>40</v>
      </c>
      <c r="AU2017" s="14" t="str">
        <f>HYPERLINK("http://www.openstreetmap.org/?mlat=36.4082&amp;mlon=44.3082&amp;zoom=12#map=12/36.4082/44.3082","Maplink1")</f>
        <v>Maplink1</v>
      </c>
      <c r="AV2017" s="14" t="str">
        <f>HYPERLINK("https://www.google.iq/maps/search/+36.4082,44.3082/@36.4082,44.3082,14z?hl=en","Maplink2")</f>
        <v>Maplink2</v>
      </c>
      <c r="AW2017" s="14" t="str">
        <f>HYPERLINK("http://www.bing.com/maps/?lvl=14&amp;sty=h&amp;cp=36.4082~44.3082&amp;sp=point.36.4082_44.3082_Safin","Maplink3")</f>
        <v>Maplink3</v>
      </c>
    </row>
    <row r="2018" spans="1:49" ht="15" customHeight="1" x14ac:dyDescent="0.25">
      <c r="A2018" s="21">
        <v>12948</v>
      </c>
      <c r="B2018" s="22" t="s">
        <v>15</v>
      </c>
      <c r="C2018" s="22" t="s">
        <v>3787</v>
      </c>
      <c r="D2018" s="22" t="s">
        <v>7329</v>
      </c>
      <c r="E2018" s="22" t="s">
        <v>8032</v>
      </c>
      <c r="F2018" s="22">
        <v>36.410170000000001</v>
      </c>
      <c r="G2018" s="22">
        <v>44.308140000000002</v>
      </c>
      <c r="H2018" s="21" t="s">
        <v>3500</v>
      </c>
      <c r="I2018" s="21" t="s">
        <v>3790</v>
      </c>
      <c r="J2018" s="21" t="s">
        <v>3818</v>
      </c>
      <c r="K2018" s="24">
        <v>132</v>
      </c>
      <c r="L2018" s="24">
        <v>792</v>
      </c>
      <c r="M2018" s="23">
        <v>85</v>
      </c>
      <c r="N2018" s="23"/>
      <c r="O2018" s="23">
        <v>5</v>
      </c>
      <c r="P2018" s="23"/>
      <c r="Q2018" s="23"/>
      <c r="R2018" s="23">
        <v>17</v>
      </c>
      <c r="S2018" s="23"/>
      <c r="T2018" s="23"/>
      <c r="U2018" s="23"/>
      <c r="V2018" s="23"/>
      <c r="W2018" s="23"/>
      <c r="X2018" s="23"/>
      <c r="Y2018" s="23">
        <v>15</v>
      </c>
      <c r="Z2018" s="23"/>
      <c r="AA2018" s="23">
        <v>10</v>
      </c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>
        <v>132</v>
      </c>
      <c r="AL2018" s="23"/>
      <c r="AM2018" s="23"/>
      <c r="AN2018" s="23"/>
      <c r="AO2018" s="23">
        <v>60</v>
      </c>
      <c r="AP2018" s="23"/>
      <c r="AQ2018" s="23">
        <v>13</v>
      </c>
      <c r="AR2018" s="23">
        <v>22</v>
      </c>
      <c r="AS2018" s="23">
        <v>25</v>
      </c>
      <c r="AT2018" s="23">
        <v>12</v>
      </c>
      <c r="AU2018" s="14" t="str">
        <f>HYPERLINK("http://www.openstreetmap.org/?mlat=36.4102&amp;mlon=44.3081&amp;zoom=12#map=12/36.4102/44.3081","Maplink1")</f>
        <v>Maplink1</v>
      </c>
      <c r="AV2018" s="14" t="str">
        <f>HYPERLINK("https://www.google.iq/maps/search/+36.4102,44.3081/@36.4102,44.3081,14z?hl=en","Maplink2")</f>
        <v>Maplink2</v>
      </c>
      <c r="AW2018" s="14" t="str">
        <f>HYPERLINK("http://www.bing.com/maps/?lvl=14&amp;sty=h&amp;cp=36.4102~44.3081&amp;sp=point.36.4102_44.3081_Sarmidan-1","Maplink3")</f>
        <v>Maplink3</v>
      </c>
    </row>
    <row r="2019" spans="1:49" ht="15" customHeight="1" x14ac:dyDescent="0.25">
      <c r="A2019" s="21">
        <v>23783</v>
      </c>
      <c r="B2019" s="22" t="s">
        <v>15</v>
      </c>
      <c r="C2019" s="22" t="s">
        <v>3787</v>
      </c>
      <c r="D2019" s="22" t="s">
        <v>7330</v>
      </c>
      <c r="E2019" s="22" t="s">
        <v>8033</v>
      </c>
      <c r="F2019" s="22">
        <v>36.410589999999999</v>
      </c>
      <c r="G2019" s="22">
        <v>44.31467</v>
      </c>
      <c r="H2019" s="21" t="s">
        <v>3500</v>
      </c>
      <c r="I2019" s="21" t="s">
        <v>3790</v>
      </c>
      <c r="J2019" s="21" t="s">
        <v>3819</v>
      </c>
      <c r="K2019" s="24">
        <v>306</v>
      </c>
      <c r="L2019" s="24">
        <v>1836</v>
      </c>
      <c r="M2019" s="23">
        <v>251</v>
      </c>
      <c r="N2019" s="23"/>
      <c r="O2019" s="23">
        <v>16</v>
      </c>
      <c r="P2019" s="23"/>
      <c r="Q2019" s="23"/>
      <c r="R2019" s="23">
        <v>8</v>
      </c>
      <c r="S2019" s="23"/>
      <c r="T2019" s="23"/>
      <c r="U2019" s="23"/>
      <c r="V2019" s="23"/>
      <c r="W2019" s="23"/>
      <c r="X2019" s="23"/>
      <c r="Y2019" s="23">
        <v>21</v>
      </c>
      <c r="Z2019" s="23"/>
      <c r="AA2019" s="23">
        <v>10</v>
      </c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306</v>
      </c>
      <c r="AL2019" s="23"/>
      <c r="AM2019" s="23"/>
      <c r="AN2019" s="23"/>
      <c r="AO2019" s="23">
        <v>80</v>
      </c>
      <c r="AP2019" s="23"/>
      <c r="AQ2019" s="23">
        <v>10</v>
      </c>
      <c r="AR2019" s="23">
        <v>45</v>
      </c>
      <c r="AS2019" s="23">
        <v>86</v>
      </c>
      <c r="AT2019" s="23">
        <v>85</v>
      </c>
      <c r="AU2019" s="14" t="str">
        <f>HYPERLINK("http://www.openstreetmap.org/?mlat=36.4106&amp;mlon=44.3147&amp;zoom=12#map=12/36.4106/44.3147","Maplink1")</f>
        <v>Maplink1</v>
      </c>
      <c r="AV2019" s="14" t="str">
        <f>HYPERLINK("https://www.google.iq/maps/search/+36.4106,44.3147/@36.4106,44.3147,14z?hl=en","Maplink2")</f>
        <v>Maplink2</v>
      </c>
      <c r="AW2019" s="14" t="str">
        <f>HYPERLINK("http://www.bing.com/maps/?lvl=14&amp;sty=h&amp;cp=36.4106~44.3147&amp;sp=point.36.4106_44.3147_Sarmidan-2","Maplink3")</f>
        <v>Maplink3</v>
      </c>
    </row>
    <row r="2020" spans="1:49" ht="15" customHeight="1" x14ac:dyDescent="0.25">
      <c r="A2020" s="21">
        <v>23784</v>
      </c>
      <c r="B2020" s="22" t="s">
        <v>15</v>
      </c>
      <c r="C2020" s="22" t="s">
        <v>3787</v>
      </c>
      <c r="D2020" s="22" t="s">
        <v>7331</v>
      </c>
      <c r="E2020" s="22" t="s">
        <v>8034</v>
      </c>
      <c r="F2020" s="22">
        <v>36.413020000000003</v>
      </c>
      <c r="G2020" s="22">
        <v>44.307429999999997</v>
      </c>
      <c r="H2020" s="21" t="s">
        <v>3500</v>
      </c>
      <c r="I2020" s="21" t="s">
        <v>3790</v>
      </c>
      <c r="J2020" s="21" t="s">
        <v>3820</v>
      </c>
      <c r="K2020" s="24">
        <v>55</v>
      </c>
      <c r="L2020" s="24">
        <v>330</v>
      </c>
      <c r="M2020" s="23">
        <v>30</v>
      </c>
      <c r="N2020" s="23"/>
      <c r="O2020" s="23">
        <v>5</v>
      </c>
      <c r="P2020" s="23"/>
      <c r="Q2020" s="23"/>
      <c r="R2020" s="23">
        <v>5</v>
      </c>
      <c r="S2020" s="23"/>
      <c r="T2020" s="23"/>
      <c r="U2020" s="23"/>
      <c r="V2020" s="23"/>
      <c r="W2020" s="23"/>
      <c r="X2020" s="23"/>
      <c r="Y2020" s="23">
        <v>10</v>
      </c>
      <c r="Z2020" s="23"/>
      <c r="AA2020" s="23">
        <v>5</v>
      </c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>
        <v>55</v>
      </c>
      <c r="AL2020" s="23"/>
      <c r="AM2020" s="23"/>
      <c r="AN2020" s="23"/>
      <c r="AO2020" s="23">
        <v>5</v>
      </c>
      <c r="AP2020" s="23"/>
      <c r="AQ2020" s="23">
        <v>5</v>
      </c>
      <c r="AR2020" s="23">
        <v>15</v>
      </c>
      <c r="AS2020" s="23">
        <v>10</v>
      </c>
      <c r="AT2020" s="23">
        <v>20</v>
      </c>
      <c r="AU2020" s="14" t="str">
        <f>HYPERLINK("http://www.openstreetmap.org/?mlat=36.413&amp;mlon=44.3074&amp;zoom=12#map=12/36.413/44.3074","Maplink1")</f>
        <v>Maplink1</v>
      </c>
      <c r="AV2020" s="14" t="str">
        <f>HYPERLINK("https://www.google.iq/maps/search/+36.413,44.3074/@36.413,44.3074,14z?hl=en","Maplink2")</f>
        <v>Maplink2</v>
      </c>
      <c r="AW2020" s="14" t="str">
        <f>HYPERLINK("http://www.bing.com/maps/?lvl=14&amp;sty=h&amp;cp=36.413~44.3074&amp;sp=point.36.413_44.3074_Sarmidan-3","Maplink3")</f>
        <v>Maplink3</v>
      </c>
    </row>
    <row r="2021" spans="1:49" ht="15" customHeight="1" x14ac:dyDescent="0.25">
      <c r="A2021" s="21">
        <v>23742</v>
      </c>
      <c r="B2021" s="22" t="s">
        <v>15</v>
      </c>
      <c r="C2021" s="22" t="s">
        <v>3787</v>
      </c>
      <c r="D2021" s="22" t="s">
        <v>8825</v>
      </c>
      <c r="E2021" s="22" t="s">
        <v>2968</v>
      </c>
      <c r="F2021" s="22">
        <v>36.407829999999997</v>
      </c>
      <c r="G2021" s="22">
        <v>44.31955</v>
      </c>
      <c r="H2021" s="21" t="s">
        <v>3500</v>
      </c>
      <c r="I2021" s="21" t="s">
        <v>3790</v>
      </c>
      <c r="J2021" s="21" t="s">
        <v>3821</v>
      </c>
      <c r="K2021" s="24">
        <v>398</v>
      </c>
      <c r="L2021" s="24">
        <v>2388</v>
      </c>
      <c r="M2021" s="23">
        <v>348</v>
      </c>
      <c r="N2021" s="23"/>
      <c r="O2021" s="23">
        <v>5</v>
      </c>
      <c r="P2021" s="23"/>
      <c r="Q2021" s="23"/>
      <c r="R2021" s="23">
        <v>7</v>
      </c>
      <c r="S2021" s="23"/>
      <c r="T2021" s="23"/>
      <c r="U2021" s="23"/>
      <c r="V2021" s="23"/>
      <c r="W2021" s="23"/>
      <c r="X2021" s="23"/>
      <c r="Y2021" s="23">
        <v>22</v>
      </c>
      <c r="Z2021" s="23"/>
      <c r="AA2021" s="23">
        <v>16</v>
      </c>
      <c r="AB2021" s="23"/>
      <c r="AC2021" s="23"/>
      <c r="AD2021" s="23"/>
      <c r="AE2021" s="23"/>
      <c r="AF2021" s="23"/>
      <c r="AG2021" s="23">
        <v>80</v>
      </c>
      <c r="AH2021" s="23"/>
      <c r="AI2021" s="23"/>
      <c r="AJ2021" s="23"/>
      <c r="AK2021" s="23">
        <v>318</v>
      </c>
      <c r="AL2021" s="23"/>
      <c r="AM2021" s="23"/>
      <c r="AN2021" s="23"/>
      <c r="AO2021" s="23">
        <v>141</v>
      </c>
      <c r="AP2021" s="23"/>
      <c r="AQ2021" s="23">
        <v>16</v>
      </c>
      <c r="AR2021" s="23">
        <v>34</v>
      </c>
      <c r="AS2021" s="23">
        <v>152</v>
      </c>
      <c r="AT2021" s="23">
        <v>55</v>
      </c>
      <c r="AU2021" s="14" t="str">
        <f>HYPERLINK("http://www.openstreetmap.org/?mlat=36.4078&amp;mlon=44.3196&amp;zoom=12#map=12/36.4078/44.3196","Maplink1")</f>
        <v>Maplink1</v>
      </c>
      <c r="AV2021" s="14" t="str">
        <f>HYPERLINK("https://www.google.iq/maps/search/+36.4078,44.3196/@36.4078,44.3196,14z?hl=en","Maplink2")</f>
        <v>Maplink2</v>
      </c>
      <c r="AW2021" s="14" t="str">
        <f>HYPERLINK("http://www.bing.com/maps/?lvl=14&amp;sty=h&amp;cp=36.4078~44.3196&amp;sp=point.36.4078_44.3196_Shahidan","Maplink3")</f>
        <v>Maplink3</v>
      </c>
    </row>
    <row r="2022" spans="1:49" ht="15" customHeight="1" x14ac:dyDescent="0.25">
      <c r="A2022" s="21">
        <v>27144</v>
      </c>
      <c r="B2022" s="22" t="s">
        <v>15</v>
      </c>
      <c r="C2022" s="22" t="s">
        <v>3787</v>
      </c>
      <c r="D2022" s="22" t="s">
        <v>3822</v>
      </c>
      <c r="E2022" s="22" t="s">
        <v>3066</v>
      </c>
      <c r="F2022" s="22">
        <v>36.502299999999998</v>
      </c>
      <c r="G2022" s="22">
        <v>44.343299999999999</v>
      </c>
      <c r="H2022" s="21" t="s">
        <v>3500</v>
      </c>
      <c r="I2022" s="21" t="s">
        <v>3790</v>
      </c>
      <c r="J2022" s="21"/>
      <c r="K2022" s="24">
        <v>67</v>
      </c>
      <c r="L2022" s="24">
        <v>402</v>
      </c>
      <c r="M2022" s="23">
        <v>67</v>
      </c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>
        <v>67</v>
      </c>
      <c r="AL2022" s="23"/>
      <c r="AM2022" s="23"/>
      <c r="AN2022" s="23"/>
      <c r="AO2022" s="23"/>
      <c r="AP2022" s="23"/>
      <c r="AQ2022" s="23">
        <v>67</v>
      </c>
      <c r="AR2022" s="23"/>
      <c r="AS2022" s="23"/>
      <c r="AT2022" s="23"/>
      <c r="AU2022" s="14" t="str">
        <f>HYPERLINK("http://www.openstreetmap.org/?mlat=36.5023&amp;mlon=44.3433&amp;zoom=12#map=12/36.5023/44.3433","Maplink1")</f>
        <v>Maplink1</v>
      </c>
      <c r="AV2022" s="14" t="str">
        <f>HYPERLINK("https://www.google.iq/maps/search/+36.5023,44.3433/@36.5023,44.3433,14z?hl=en","Maplink2")</f>
        <v>Maplink2</v>
      </c>
      <c r="AW2022" s="14" t="str">
        <f>HYPERLINK("http://www.bing.com/maps/?lvl=14&amp;sty=h&amp;cp=36.5023~44.3433&amp;sp=point.36.5023_44.3433_Shorsh","Maplink3")</f>
        <v>Maplink3</v>
      </c>
    </row>
    <row r="2023" spans="1:49" ht="15" customHeight="1" x14ac:dyDescent="0.25">
      <c r="A2023" s="21">
        <v>12957</v>
      </c>
      <c r="B2023" s="22" t="s">
        <v>15</v>
      </c>
      <c r="C2023" s="22" t="s">
        <v>3787</v>
      </c>
      <c r="D2023" s="22" t="s">
        <v>3823</v>
      </c>
      <c r="E2023" s="22" t="s">
        <v>3824</v>
      </c>
      <c r="F2023" s="22">
        <v>36.38328748</v>
      </c>
      <c r="G2023" s="22">
        <v>44.375082450000001</v>
      </c>
      <c r="H2023" s="21" t="s">
        <v>3500</v>
      </c>
      <c r="I2023" s="21" t="s">
        <v>3790</v>
      </c>
      <c r="J2023" s="21" t="s">
        <v>3825</v>
      </c>
      <c r="K2023" s="24">
        <v>99</v>
      </c>
      <c r="L2023" s="24">
        <v>594</v>
      </c>
      <c r="M2023" s="23">
        <v>71</v>
      </c>
      <c r="N2023" s="23"/>
      <c r="O2023" s="23">
        <v>5</v>
      </c>
      <c r="P2023" s="23"/>
      <c r="Q2023" s="23"/>
      <c r="R2023" s="23">
        <v>5</v>
      </c>
      <c r="S2023" s="23"/>
      <c r="T2023" s="23"/>
      <c r="U2023" s="23"/>
      <c r="V2023" s="23"/>
      <c r="W2023" s="23"/>
      <c r="X2023" s="23"/>
      <c r="Y2023" s="23">
        <v>8</v>
      </c>
      <c r="Z2023" s="23"/>
      <c r="AA2023" s="23">
        <v>10</v>
      </c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>
        <v>99</v>
      </c>
      <c r="AL2023" s="23"/>
      <c r="AM2023" s="23"/>
      <c r="AN2023" s="23"/>
      <c r="AO2023" s="23">
        <v>35</v>
      </c>
      <c r="AP2023" s="23"/>
      <c r="AQ2023" s="23">
        <v>10</v>
      </c>
      <c r="AR2023" s="23">
        <v>7</v>
      </c>
      <c r="AS2023" s="23">
        <v>36</v>
      </c>
      <c r="AT2023" s="23">
        <v>11</v>
      </c>
      <c r="AU2023" s="14" t="str">
        <f>HYPERLINK("http://www.openstreetmap.org/?mlat=36.37&amp;mlon=44.37&amp;zoom=12#map=12/36.37/44.37","Maplink1")</f>
        <v>Maplink1</v>
      </c>
      <c r="AV2023" s="14" t="str">
        <f>HYPERLINK("https://www.google.iq/maps/search/+36.37,44.37/@36.37,44.37,14z?hl=en","Maplink2")</f>
        <v>Maplink2</v>
      </c>
      <c r="AW2023" s="14" t="str">
        <f>HYPERLINK("http://www.bing.com/maps/?lvl=14&amp;sty=h&amp;cp=36.37~44.37&amp;sp=point.36.37_44.37_Spigra","Maplink3")</f>
        <v>Maplink3</v>
      </c>
    </row>
    <row r="2024" spans="1:49" ht="15" customHeight="1" x14ac:dyDescent="0.25">
      <c r="A2024" s="21">
        <v>27201</v>
      </c>
      <c r="B2024" s="22" t="s">
        <v>15</v>
      </c>
      <c r="C2024" s="22" t="s">
        <v>3826</v>
      </c>
      <c r="D2024" s="22" t="s">
        <v>3827</v>
      </c>
      <c r="E2024" s="22" t="s">
        <v>3828</v>
      </c>
      <c r="F2024" s="22">
        <v>36.578644400000002</v>
      </c>
      <c r="G2024" s="22">
        <v>44.54429889</v>
      </c>
      <c r="H2024" s="21"/>
      <c r="I2024" s="21"/>
      <c r="J2024" s="21"/>
      <c r="K2024" s="24">
        <v>14</v>
      </c>
      <c r="L2024" s="24">
        <v>84</v>
      </c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>
        <v>14</v>
      </c>
      <c r="Z2024" s="23"/>
      <c r="AA2024" s="23"/>
      <c r="AB2024" s="23"/>
      <c r="AC2024" s="23"/>
      <c r="AD2024" s="23"/>
      <c r="AE2024" s="23">
        <v>14</v>
      </c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>
        <v>14</v>
      </c>
      <c r="AR2024" s="23"/>
      <c r="AS2024" s="23"/>
      <c r="AT2024" s="23"/>
      <c r="AU2024" s="14" t="str">
        <f>HYPERLINK("http://www.openstreetmap.org/?mlat=36.372&amp;mlon=44.3242&amp;zoom=12#map=12/36.372/44.3242","Maplink1")</f>
        <v>Maplink1</v>
      </c>
      <c r="AV2024" s="14" t="str">
        <f>HYPERLINK("https://www.google.iq/maps/search/+36.372,44.3242/@36.372,44.3242,14z?hl=en","Maplink2")</f>
        <v>Maplink2</v>
      </c>
      <c r="AW2024" s="14" t="str">
        <f>HYPERLINK("http://www.bing.com/maps/?lvl=14&amp;sty=h&amp;cp=36.372~44.3242&amp;sp=point.36.372_44.3242_Ako Camp","Maplink3")</f>
        <v>Maplink3</v>
      </c>
    </row>
    <row r="2025" spans="1:49" ht="15" customHeight="1" x14ac:dyDescent="0.25">
      <c r="A2025" s="21">
        <v>12467</v>
      </c>
      <c r="B2025" s="22" t="s">
        <v>15</v>
      </c>
      <c r="C2025" s="22" t="s">
        <v>3826</v>
      </c>
      <c r="D2025" s="22" t="s">
        <v>3829</v>
      </c>
      <c r="E2025" s="22" t="s">
        <v>3830</v>
      </c>
      <c r="F2025" s="22">
        <v>36.599283300000003</v>
      </c>
      <c r="G2025" s="22">
        <v>44.504276820000001</v>
      </c>
      <c r="H2025" s="21"/>
      <c r="I2025" s="21"/>
      <c r="J2025" s="21" t="s">
        <v>3831</v>
      </c>
      <c r="K2025" s="24">
        <v>51</v>
      </c>
      <c r="L2025" s="24">
        <v>306</v>
      </c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>
        <v>51</v>
      </c>
      <c r="Z2025" s="23"/>
      <c r="AA2025" s="23"/>
      <c r="AB2025" s="23"/>
      <c r="AC2025" s="23"/>
      <c r="AD2025" s="23"/>
      <c r="AE2025" s="23">
        <v>51</v>
      </c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>
        <v>51</v>
      </c>
      <c r="AR2025" s="23"/>
      <c r="AS2025" s="23"/>
      <c r="AT2025" s="23"/>
      <c r="AU2025" s="14" t="str">
        <f>HYPERLINK("http://www.openstreetmap.org/?mlat=36.12&amp;mlon=44.3019&amp;zoom=12#map=12/36.12/44.3019","Maplink1")</f>
        <v>Maplink1</v>
      </c>
      <c r="AV2025" s="14" t="str">
        <f>HYPERLINK("https://www.google.iq/maps/search/+36.12,44.3019/@36.12,44.3019,14z?hl=en","Maplink2")</f>
        <v>Maplink2</v>
      </c>
      <c r="AW2025" s="14" t="str">
        <f>HYPERLINK("http://www.bing.com/maps/?lvl=14&amp;sty=h&amp;cp=36.12~44.3019&amp;sp=point.36.12_44.3019_Bana ziwak Camp","Maplink3")</f>
        <v>Maplink3</v>
      </c>
    </row>
    <row r="2026" spans="1:49" ht="15" customHeight="1" x14ac:dyDescent="0.25">
      <c r="A2026" s="21">
        <v>12325</v>
      </c>
      <c r="B2026" s="22" t="s">
        <v>15</v>
      </c>
      <c r="C2026" s="22" t="s">
        <v>3826</v>
      </c>
      <c r="D2026" s="22" t="s">
        <v>3832</v>
      </c>
      <c r="E2026" s="22" t="s">
        <v>3833</v>
      </c>
      <c r="F2026" s="22">
        <v>36.616700000000002</v>
      </c>
      <c r="G2026" s="22">
        <v>44.4968</v>
      </c>
      <c r="H2026" s="21"/>
      <c r="I2026" s="21"/>
      <c r="J2026" s="21" t="s">
        <v>3834</v>
      </c>
      <c r="K2026" s="24">
        <v>26</v>
      </c>
      <c r="L2026" s="24">
        <v>156</v>
      </c>
      <c r="M2026" s="23">
        <v>26</v>
      </c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>
        <v>26</v>
      </c>
      <c r="AL2026" s="23"/>
      <c r="AM2026" s="23"/>
      <c r="AN2026" s="23"/>
      <c r="AO2026" s="23"/>
      <c r="AP2026" s="23"/>
      <c r="AQ2026" s="23"/>
      <c r="AR2026" s="23"/>
      <c r="AS2026" s="23">
        <v>26</v>
      </c>
      <c r="AT2026" s="23"/>
      <c r="AU2026" s="14" t="str">
        <f>HYPERLINK("http://www.openstreetmap.org/?mlat=36.6167&amp;mlon=44.4968&amp;zoom=12#map=12/36.6167/44.4968","Maplink1")</f>
        <v>Maplink1</v>
      </c>
      <c r="AV2026" s="14" t="str">
        <f>HYPERLINK("https://www.google.iq/maps/search/+36.6167,44.4968/@36.6167,44.4968,14z?hl=en","Maplink2")</f>
        <v>Maplink2</v>
      </c>
      <c r="AW2026" s="14" t="str">
        <f>HYPERLINK("http://www.bing.com/maps/?lvl=14&amp;sty=h&amp;cp=36.6167~44.4968&amp;sp=point.36.6167_44.4968_Bekhal","Maplink3")</f>
        <v>Maplink3</v>
      </c>
    </row>
    <row r="2027" spans="1:49" ht="15" customHeight="1" x14ac:dyDescent="0.25">
      <c r="A2027" s="21">
        <v>24577</v>
      </c>
      <c r="B2027" s="22" t="s">
        <v>15</v>
      </c>
      <c r="C2027" s="22" t="s">
        <v>3826</v>
      </c>
      <c r="D2027" s="22" t="s">
        <v>3835</v>
      </c>
      <c r="E2027" s="22" t="s">
        <v>3836</v>
      </c>
      <c r="F2027" s="22">
        <v>36.661960499999999</v>
      </c>
      <c r="G2027" s="22">
        <v>44.544586469999999</v>
      </c>
      <c r="H2027" s="21" t="s">
        <v>3500</v>
      </c>
      <c r="I2027" s="21" t="s">
        <v>3837</v>
      </c>
      <c r="J2027" s="21"/>
      <c r="K2027" s="24">
        <v>31</v>
      </c>
      <c r="L2027" s="24">
        <v>186</v>
      </c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>
        <v>31</v>
      </c>
      <c r="Z2027" s="23"/>
      <c r="AA2027" s="23"/>
      <c r="AB2027" s="23"/>
      <c r="AC2027" s="23"/>
      <c r="AD2027" s="23"/>
      <c r="AE2027" s="23"/>
      <c r="AF2027" s="23"/>
      <c r="AG2027" s="23"/>
      <c r="AH2027" s="23">
        <v>31</v>
      </c>
      <c r="AI2027" s="23"/>
      <c r="AJ2027" s="23"/>
      <c r="AK2027" s="23"/>
      <c r="AL2027" s="23"/>
      <c r="AM2027" s="23"/>
      <c r="AN2027" s="23"/>
      <c r="AO2027" s="23"/>
      <c r="AP2027" s="23">
        <v>26</v>
      </c>
      <c r="AQ2027" s="23"/>
      <c r="AR2027" s="23"/>
      <c r="AS2027" s="23"/>
      <c r="AT2027" s="23">
        <v>5</v>
      </c>
      <c r="AU2027" s="14" t="str">
        <f>HYPERLINK("http://www.openstreetmap.org/?mlat=36.654&amp;mlon=44.537&amp;zoom=12#map=12/36.654/44.537","Maplink1")</f>
        <v>Maplink1</v>
      </c>
      <c r="AV2027" s="14" t="str">
        <f>HYPERLINK("https://www.google.iq/maps/search/+36.654,44.537/@36.654,44.537,14z?hl=en","Maplink2")</f>
        <v>Maplink2</v>
      </c>
      <c r="AW2027" s="14" t="str">
        <f>HYPERLINK("http://www.bing.com/maps/?lvl=14&amp;sty=h&amp;cp=36.654~44.537&amp;sp=point.36.654_44.537_Diana","Maplink3")</f>
        <v>Maplink3</v>
      </c>
    </row>
    <row r="2028" spans="1:49" ht="15" customHeight="1" x14ac:dyDescent="0.25">
      <c r="A2028" s="21">
        <v>27218</v>
      </c>
      <c r="B2028" s="22" t="s">
        <v>15</v>
      </c>
      <c r="C2028" s="22" t="s">
        <v>3826</v>
      </c>
      <c r="D2028" s="22" t="s">
        <v>8826</v>
      </c>
      <c r="E2028" s="22" t="s">
        <v>3838</v>
      </c>
      <c r="F2028" s="22">
        <v>36.667749299999997</v>
      </c>
      <c r="G2028" s="22">
        <v>44.53763738</v>
      </c>
      <c r="H2028" s="21"/>
      <c r="I2028" s="21"/>
      <c r="J2028" s="21"/>
      <c r="K2028" s="24">
        <v>145</v>
      </c>
      <c r="L2028" s="24">
        <v>870</v>
      </c>
      <c r="M2028" s="23">
        <v>80</v>
      </c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>
        <v>65</v>
      </c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>
        <v>145</v>
      </c>
      <c r="AL2028" s="23"/>
      <c r="AM2028" s="23"/>
      <c r="AN2028" s="23"/>
      <c r="AO2028" s="23">
        <v>60</v>
      </c>
      <c r="AP2028" s="23">
        <v>65</v>
      </c>
      <c r="AQ2028" s="23"/>
      <c r="AR2028" s="23"/>
      <c r="AS2028" s="23">
        <v>20</v>
      </c>
      <c r="AT2028" s="23"/>
      <c r="AU2028" s="14" t="str">
        <f>HYPERLINK("http://www.openstreetmap.org/?mlat=36.4005&amp;mlon=44.3216&amp;zoom=12#map=12/36.4005/44.3216","Maplink1")</f>
        <v>Maplink1</v>
      </c>
      <c r="AV2028" s="14" t="str">
        <f>HYPERLINK("https://www.google.iq/maps/search/+36.4005,44.3216/@36.4005,44.3216,14z?hl=en","Maplink2")</f>
        <v>Maplink2</v>
      </c>
      <c r="AW2028" s="14" t="str">
        <f>HYPERLINK("http://www.bing.com/maps/?lvl=14&amp;sty=h&amp;cp=36.4005~44.3216&amp;sp=point.36.4005_44.3216_Diana (Shahiddan azady)","Maplink3")</f>
        <v>Maplink3</v>
      </c>
    </row>
    <row r="2029" spans="1:49" ht="15" customHeight="1" x14ac:dyDescent="0.25">
      <c r="A2029" s="21">
        <v>27200</v>
      </c>
      <c r="B2029" s="22" t="s">
        <v>15</v>
      </c>
      <c r="C2029" s="22" t="s">
        <v>3826</v>
      </c>
      <c r="D2029" s="22" t="s">
        <v>3839</v>
      </c>
      <c r="E2029" s="22" t="s">
        <v>3840</v>
      </c>
      <c r="F2029" s="22">
        <v>36.621700500000003</v>
      </c>
      <c r="G2029" s="22">
        <v>44.544850029999999</v>
      </c>
      <c r="H2029" s="21"/>
      <c r="I2029" s="21"/>
      <c r="J2029" s="21"/>
      <c r="K2029" s="24">
        <v>29</v>
      </c>
      <c r="L2029" s="24">
        <v>174</v>
      </c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>
        <v>29</v>
      </c>
      <c r="Z2029" s="23"/>
      <c r="AA2029" s="23"/>
      <c r="AB2029" s="23"/>
      <c r="AC2029" s="23"/>
      <c r="AD2029" s="23"/>
      <c r="AE2029" s="23">
        <v>29</v>
      </c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>
        <v>29</v>
      </c>
      <c r="AR2029" s="23"/>
      <c r="AS2029" s="23"/>
      <c r="AT2029" s="23"/>
      <c r="AU2029" s="14" t="str">
        <f>HYPERLINK("http://www.openstreetmap.org/?mlat=36.3505&amp;mlon=44.3223&amp;zoom=12#map=12/36.3505/44.3223","Maplink1")</f>
        <v>Maplink1</v>
      </c>
      <c r="AV2029" s="14" t="str">
        <f>HYPERLINK("https://www.google.iq/maps/search/+36.3505,44.3223/@36.3505,44.3223,14z?hl=en","Maplink2")</f>
        <v>Maplink2</v>
      </c>
      <c r="AW2029" s="14" t="str">
        <f>HYPERLINK("http://www.bing.com/maps/?lvl=14&amp;sty=h&amp;cp=36.3505~44.3223&amp;sp=point.36.3505_44.3223_Hamya Camp","Maplink3")</f>
        <v>Maplink3</v>
      </c>
    </row>
    <row r="2030" spans="1:49" ht="15" customHeight="1" x14ac:dyDescent="0.25">
      <c r="A2030" s="21">
        <v>27198</v>
      </c>
      <c r="B2030" s="22" t="s">
        <v>15</v>
      </c>
      <c r="C2030" s="22" t="s">
        <v>3826</v>
      </c>
      <c r="D2030" s="22" t="s">
        <v>7468</v>
      </c>
      <c r="E2030" s="22" t="s">
        <v>3841</v>
      </c>
      <c r="F2030" s="22">
        <v>36.595255999999999</v>
      </c>
      <c r="G2030" s="22">
        <v>44.395296010000003</v>
      </c>
      <c r="H2030" s="21"/>
      <c r="I2030" s="21"/>
      <c r="J2030" s="21"/>
      <c r="K2030" s="24">
        <v>190</v>
      </c>
      <c r="L2030" s="24">
        <v>1140</v>
      </c>
      <c r="M2030" s="23">
        <v>171</v>
      </c>
      <c r="N2030" s="23"/>
      <c r="O2030" s="23">
        <v>15</v>
      </c>
      <c r="P2030" s="23"/>
      <c r="Q2030" s="23"/>
      <c r="R2030" s="23"/>
      <c r="S2030" s="23"/>
      <c r="T2030" s="23"/>
      <c r="U2030" s="23"/>
      <c r="V2030" s="23"/>
      <c r="W2030" s="23"/>
      <c r="X2030" s="23"/>
      <c r="Y2030" s="23">
        <v>4</v>
      </c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190</v>
      </c>
      <c r="AL2030" s="23"/>
      <c r="AM2030" s="23"/>
      <c r="AN2030" s="23"/>
      <c r="AO2030" s="23">
        <v>52</v>
      </c>
      <c r="AP2030" s="23">
        <v>4</v>
      </c>
      <c r="AQ2030" s="23"/>
      <c r="AR2030" s="23"/>
      <c r="AS2030" s="23">
        <v>119</v>
      </c>
      <c r="AT2030" s="23">
        <v>15</v>
      </c>
      <c r="AU2030" s="14" t="str">
        <f>HYPERLINK("http://www.openstreetmap.org/?mlat=36.3619&amp;mlon=44.2359&amp;zoom=12#map=12/36.3619/44.2359","Maplink1")</f>
        <v>Maplink1</v>
      </c>
      <c r="AV2030" s="14" t="str">
        <f>HYPERLINK("https://www.google.iq/maps/search/+36.3619,44.2359/@36.3619,44.2359,14z?hl=en","Maplink2")</f>
        <v>Maplink2</v>
      </c>
      <c r="AW2030" s="14" t="str">
        <f>HYPERLINK("http://www.bing.com/maps/?lvl=14&amp;sty=h&amp;cp=36.3619~44.2359&amp;sp=point.36.3619_44.2359_Hay mameel  al qeer","Maplink3")</f>
        <v>Maplink3</v>
      </c>
    </row>
    <row r="2031" spans="1:49" ht="15" customHeight="1" x14ac:dyDescent="0.25">
      <c r="A2031" s="21">
        <v>12255</v>
      </c>
      <c r="B2031" s="22" t="s">
        <v>15</v>
      </c>
      <c r="C2031" s="22" t="s">
        <v>3826</v>
      </c>
      <c r="D2031" s="22" t="s">
        <v>3842</v>
      </c>
      <c r="E2031" s="22" t="s">
        <v>3843</v>
      </c>
      <c r="F2031" s="22">
        <v>36.589925999999998</v>
      </c>
      <c r="G2031" s="22">
        <v>44.41471619</v>
      </c>
      <c r="H2031" s="21"/>
      <c r="I2031" s="21"/>
      <c r="J2031" s="21" t="s">
        <v>3844</v>
      </c>
      <c r="K2031" s="24">
        <v>11</v>
      </c>
      <c r="L2031" s="24">
        <v>66</v>
      </c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>
        <v>11</v>
      </c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>
        <v>11</v>
      </c>
      <c r="AL2031" s="23"/>
      <c r="AM2031" s="23"/>
      <c r="AN2031" s="23"/>
      <c r="AO2031" s="23"/>
      <c r="AP2031" s="23"/>
      <c r="AQ2031" s="23">
        <v>11</v>
      </c>
      <c r="AR2031" s="23"/>
      <c r="AS2031" s="23"/>
      <c r="AT2031" s="23"/>
      <c r="AU2031" s="14" t="str">
        <f>HYPERLINK("http://www.openstreetmap.org/?mlat=36.3528&amp;mlon=44.245&amp;zoom=12#map=12/36.3528/44.245","Maplink1")</f>
        <v>Maplink1</v>
      </c>
      <c r="AV2031" s="14" t="str">
        <f>HYPERLINK("https://www.google.iq/maps/search/+36.3528,44.245/@36.3528,44.245,14z?hl=en","Maplink2")</f>
        <v>Maplink2</v>
      </c>
      <c r="AW2031" s="14" t="str">
        <f>HYPERLINK("http://www.bing.com/maps/?lvl=14&amp;sty=h&amp;cp=36.3528~44.245&amp;sp=point.36.3528_44.245_Julamerg","Maplink3")</f>
        <v>Maplink3</v>
      </c>
    </row>
    <row r="2032" spans="1:49" ht="15" customHeight="1" x14ac:dyDescent="0.25">
      <c r="A2032" s="21">
        <v>27199</v>
      </c>
      <c r="B2032" s="22" t="s">
        <v>15</v>
      </c>
      <c r="C2032" s="22" t="s">
        <v>3826</v>
      </c>
      <c r="D2032" s="22" t="s">
        <v>3845</v>
      </c>
      <c r="E2032" s="22" t="s">
        <v>3846</v>
      </c>
      <c r="F2032" s="22">
        <v>36.609808700000002</v>
      </c>
      <c r="G2032" s="22">
        <v>44.403854989999999</v>
      </c>
      <c r="H2032" s="21"/>
      <c r="I2032" s="21"/>
      <c r="J2032" s="21"/>
      <c r="K2032" s="24">
        <v>104</v>
      </c>
      <c r="L2032" s="24">
        <v>624</v>
      </c>
      <c r="M2032" s="23">
        <v>82</v>
      </c>
      <c r="N2032" s="23"/>
      <c r="O2032" s="23">
        <v>15</v>
      </c>
      <c r="P2032" s="23"/>
      <c r="Q2032" s="23"/>
      <c r="R2032" s="23"/>
      <c r="S2032" s="23"/>
      <c r="T2032" s="23"/>
      <c r="U2032" s="23"/>
      <c r="V2032" s="23"/>
      <c r="W2032" s="23"/>
      <c r="X2032" s="23"/>
      <c r="Y2032" s="23">
        <v>7</v>
      </c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>
        <v>104</v>
      </c>
      <c r="AL2032" s="23"/>
      <c r="AM2032" s="23"/>
      <c r="AN2032" s="23"/>
      <c r="AO2032" s="23"/>
      <c r="AP2032" s="23">
        <v>7</v>
      </c>
      <c r="AQ2032" s="23"/>
      <c r="AR2032" s="23"/>
      <c r="AS2032" s="23">
        <v>82</v>
      </c>
      <c r="AT2032" s="23">
        <v>15</v>
      </c>
      <c r="AU2032" s="14" t="str">
        <f>HYPERLINK("http://www.openstreetmap.org/?mlat=36.3636&amp;mlon=44.2415&amp;zoom=12#map=12/36.3636/44.2415","Maplink1")</f>
        <v>Maplink1</v>
      </c>
      <c r="AV2032" s="14" t="str">
        <f>HYPERLINK("https://www.google.iq/maps/search/+36.3636,44.2415/@36.3636,44.2415,14z?hl=en","Maplink2")</f>
        <v>Maplink2</v>
      </c>
      <c r="AW2032" s="14" t="str">
        <f>HYPERLINK("http://www.bing.com/maps/?lvl=14&amp;sty=h&amp;cp=36.3636~44.2415&amp;sp=point.36.3636_44.2415_kawrarash","Maplink3")</f>
        <v>Maplink3</v>
      </c>
    </row>
    <row r="2033" spans="1:49" ht="15" customHeight="1" x14ac:dyDescent="0.25">
      <c r="A2033" s="21">
        <v>12277</v>
      </c>
      <c r="B2033" s="22" t="s">
        <v>15</v>
      </c>
      <c r="C2033" s="22" t="s">
        <v>3826</v>
      </c>
      <c r="D2033" s="22" t="s">
        <v>7332</v>
      </c>
      <c r="E2033" s="22" t="s">
        <v>8035</v>
      </c>
      <c r="F2033" s="22">
        <v>36.61</v>
      </c>
      <c r="G2033" s="22">
        <v>44.4</v>
      </c>
      <c r="H2033" s="21" t="s">
        <v>3500</v>
      </c>
      <c r="I2033" s="21" t="s">
        <v>3837</v>
      </c>
      <c r="J2033" s="21" t="s">
        <v>3847</v>
      </c>
      <c r="K2033" s="24">
        <v>378</v>
      </c>
      <c r="L2033" s="24">
        <v>2268</v>
      </c>
      <c r="M2033" s="23">
        <v>219</v>
      </c>
      <c r="N2033" s="23"/>
      <c r="O2033" s="23">
        <v>20</v>
      </c>
      <c r="P2033" s="23"/>
      <c r="Q2033" s="23"/>
      <c r="R2033" s="23"/>
      <c r="S2033" s="23"/>
      <c r="T2033" s="23"/>
      <c r="U2033" s="23"/>
      <c r="V2033" s="23"/>
      <c r="W2033" s="23"/>
      <c r="X2033" s="23"/>
      <c r="Y2033" s="23">
        <v>25</v>
      </c>
      <c r="Z2033" s="23"/>
      <c r="AA2033" s="23">
        <v>114</v>
      </c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>
        <v>371</v>
      </c>
      <c r="AL2033" s="23">
        <v>7</v>
      </c>
      <c r="AM2033" s="23"/>
      <c r="AN2033" s="23"/>
      <c r="AO2033" s="23">
        <v>53</v>
      </c>
      <c r="AP2033" s="23">
        <v>25</v>
      </c>
      <c r="AQ2033" s="23">
        <v>117</v>
      </c>
      <c r="AR2033" s="23"/>
      <c r="AS2033" s="23">
        <v>141</v>
      </c>
      <c r="AT2033" s="23">
        <v>42</v>
      </c>
      <c r="AU2033" s="14" t="str">
        <f>HYPERLINK("http://www.openstreetmap.org/?mlat=36.61&amp;mlon=44.4&amp;zoom=12#map=12/36.61/44.4","Maplink1")</f>
        <v>Maplink1</v>
      </c>
      <c r="AV2033" s="14" t="str">
        <f>HYPERLINK("https://www.google.iq/maps/search/+36.61,44.4/@36.61,44.4,14z?hl=en","Maplink2")</f>
        <v>Maplink2</v>
      </c>
      <c r="AW2033" s="14" t="str">
        <f>HYPERLINK("http://www.bing.com/maps/?lvl=14&amp;sty=h&amp;cp=36.61~44.4&amp;sp=point.36.61_44.4_Khalifan","Maplink3")</f>
        <v>Maplink3</v>
      </c>
    </row>
    <row r="2034" spans="1:49" ht="15" customHeight="1" x14ac:dyDescent="0.25">
      <c r="A2034" s="21">
        <v>12597</v>
      </c>
      <c r="B2034" s="22" t="s">
        <v>15</v>
      </c>
      <c r="C2034" s="22" t="s">
        <v>3826</v>
      </c>
      <c r="D2034" s="22" t="s">
        <v>8827</v>
      </c>
      <c r="E2034" s="22" t="s">
        <v>8036</v>
      </c>
      <c r="F2034" s="22">
        <v>36.611820000000002</v>
      </c>
      <c r="G2034" s="22">
        <v>44.52505</v>
      </c>
      <c r="H2034" s="21" t="s">
        <v>3500</v>
      </c>
      <c r="I2034" s="21" t="s">
        <v>3837</v>
      </c>
      <c r="J2034" s="21" t="s">
        <v>3848</v>
      </c>
      <c r="K2034" s="24">
        <v>300</v>
      </c>
      <c r="L2034" s="24">
        <v>1800</v>
      </c>
      <c r="M2034" s="23">
        <v>126</v>
      </c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74</v>
      </c>
      <c r="Z2034" s="23"/>
      <c r="AA2034" s="23">
        <v>100</v>
      </c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300</v>
      </c>
      <c r="AL2034" s="23"/>
      <c r="AM2034" s="23"/>
      <c r="AN2034" s="23"/>
      <c r="AO2034" s="23">
        <v>28</v>
      </c>
      <c r="AP2034" s="23">
        <v>100</v>
      </c>
      <c r="AQ2034" s="23">
        <v>74</v>
      </c>
      <c r="AR2034" s="23"/>
      <c r="AS2034" s="23">
        <v>98</v>
      </c>
      <c r="AT2034" s="23"/>
      <c r="AU2034" s="14" t="str">
        <f>HYPERLINK("http://www.openstreetmap.org/?mlat=36.6118&amp;mlon=44.5251&amp;zoom=12#map=12/36.6118/44.5251","Maplink1")</f>
        <v>Maplink1</v>
      </c>
      <c r="AV2034" s="14" t="str">
        <f>HYPERLINK("https://www.google.iq/maps/search/+36.6118,44.5251/@36.6118,44.5251,14z?hl=en","Maplink2")</f>
        <v>Maplink2</v>
      </c>
      <c r="AW2034" s="14" t="str">
        <f>HYPERLINK("http://www.bing.com/maps/?lvl=14&amp;sty=h&amp;cp=36.6118~44.5251&amp;sp=point.36.6118_44.5251_Rawanduz","Maplink3")</f>
        <v>Maplink3</v>
      </c>
    </row>
    <row r="2035" spans="1:49" ht="15" customHeight="1" x14ac:dyDescent="0.25">
      <c r="A2035" s="21">
        <v>27203</v>
      </c>
      <c r="B2035" s="22" t="s">
        <v>15</v>
      </c>
      <c r="C2035" s="22" t="s">
        <v>3826</v>
      </c>
      <c r="D2035" s="22" t="s">
        <v>3851</v>
      </c>
      <c r="E2035" s="22" t="s">
        <v>3852</v>
      </c>
      <c r="F2035" s="22">
        <v>36.657678300000001</v>
      </c>
      <c r="G2035" s="22">
        <v>44.543891250000001</v>
      </c>
      <c r="H2035" s="21"/>
      <c r="I2035" s="21"/>
      <c r="J2035" s="21"/>
      <c r="K2035" s="24">
        <v>100</v>
      </c>
      <c r="L2035" s="24">
        <v>600</v>
      </c>
      <c r="M2035" s="23">
        <v>55</v>
      </c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>
        <v>45</v>
      </c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>
        <v>100</v>
      </c>
      <c r="AL2035" s="23"/>
      <c r="AM2035" s="23"/>
      <c r="AN2035" s="23"/>
      <c r="AO2035" s="23">
        <v>55</v>
      </c>
      <c r="AP2035" s="23">
        <v>45</v>
      </c>
      <c r="AQ2035" s="23"/>
      <c r="AR2035" s="23"/>
      <c r="AS2035" s="23"/>
      <c r="AT2035" s="23"/>
      <c r="AU2035" s="14" t="str">
        <f>HYPERLINK("http://www.openstreetmap.org/?mlat=36.3907&amp;mlon=44.3307&amp;zoom=12#map=12/36.3907/44.3307","Maplink1")</f>
        <v>Maplink1</v>
      </c>
      <c r="AV2035" s="14" t="str">
        <f>HYPERLINK("https://www.google.iq/maps/search/+36.3907,44.3307/@36.3907,44.3307,14z?hl=en","Maplink2")</f>
        <v>Maplink2</v>
      </c>
      <c r="AW2035" s="14" t="str">
        <f>HYPERLINK("http://www.bing.com/maps/?lvl=14&amp;sty=h&amp;cp=36.3907~44.3307&amp;sp=point.36.3907_44.3307_Soran ( 26 Gulan )","Maplink3")</f>
        <v>Maplink3</v>
      </c>
    </row>
    <row r="2036" spans="1:49" ht="15" customHeight="1" x14ac:dyDescent="0.25">
      <c r="A2036" s="21">
        <v>27204</v>
      </c>
      <c r="B2036" s="22" t="s">
        <v>15</v>
      </c>
      <c r="C2036" s="22" t="s">
        <v>3826</v>
      </c>
      <c r="D2036" s="22" t="s">
        <v>3853</v>
      </c>
      <c r="E2036" s="22" t="s">
        <v>3854</v>
      </c>
      <c r="F2036" s="22">
        <v>36.6494711</v>
      </c>
      <c r="G2036" s="22">
        <v>44.528833779999999</v>
      </c>
      <c r="H2036" s="21"/>
      <c r="I2036" s="21"/>
      <c r="J2036" s="21"/>
      <c r="K2036" s="24">
        <v>115</v>
      </c>
      <c r="L2036" s="24">
        <v>690</v>
      </c>
      <c r="M2036" s="23">
        <v>65</v>
      </c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>
        <v>50</v>
      </c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115</v>
      </c>
      <c r="AL2036" s="23"/>
      <c r="AM2036" s="23"/>
      <c r="AN2036" s="23"/>
      <c r="AO2036" s="23"/>
      <c r="AP2036" s="23">
        <v>50</v>
      </c>
      <c r="AQ2036" s="23"/>
      <c r="AR2036" s="23"/>
      <c r="AS2036" s="23">
        <v>65</v>
      </c>
      <c r="AT2036" s="23"/>
      <c r="AU2036" s="14" t="str">
        <f>HYPERLINK("http://www.openstreetmap.org/?mlat=36.6485&amp;mlon=44.5445&amp;zoom=12#map=12/36.6485/44.5445","Maplink1")</f>
        <v>Maplink1</v>
      </c>
      <c r="AV2036" s="14" t="str">
        <f>HYPERLINK("https://www.google.iq/maps/search/+36.6485,44.5445/@36.6485,44.5445,14z?hl=en","Maplink2")</f>
        <v>Maplink2</v>
      </c>
      <c r="AW2036" s="14" t="str">
        <f>HYPERLINK("http://www.bing.com/maps/?lvl=14&amp;sty=h&amp;cp=36.6485~44.5445&amp;sp=point.36.6485_44.5445_Soran (hay al etfaa)","Maplink3")</f>
        <v>Maplink3</v>
      </c>
    </row>
    <row r="2037" spans="1:49" ht="15" customHeight="1" x14ac:dyDescent="0.25">
      <c r="A2037" s="21">
        <v>27202</v>
      </c>
      <c r="B2037" s="22" t="s">
        <v>15</v>
      </c>
      <c r="C2037" s="22" t="s">
        <v>3826</v>
      </c>
      <c r="D2037" s="22" t="s">
        <v>3855</v>
      </c>
      <c r="E2037" s="22" t="s">
        <v>3856</v>
      </c>
      <c r="F2037" s="22">
        <v>36.651518299999999</v>
      </c>
      <c r="G2037" s="22">
        <v>44.545496049999997</v>
      </c>
      <c r="H2037" s="21"/>
      <c r="I2037" s="21"/>
      <c r="J2037" s="21"/>
      <c r="K2037" s="24">
        <v>125</v>
      </c>
      <c r="L2037" s="24">
        <v>750</v>
      </c>
      <c r="M2037" s="23">
        <v>75</v>
      </c>
      <c r="N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>
        <v>50</v>
      </c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>
        <v>125</v>
      </c>
      <c r="AL2037" s="23"/>
      <c r="AM2037" s="23"/>
      <c r="AN2037" s="23"/>
      <c r="AO2037" s="23">
        <v>75</v>
      </c>
      <c r="AP2037" s="23">
        <v>50</v>
      </c>
      <c r="AQ2037" s="23"/>
      <c r="AR2037" s="23"/>
      <c r="AS2037" s="23"/>
      <c r="AT2037" s="23"/>
      <c r="AU2037" s="14" t="str">
        <f>HYPERLINK("http://www.openstreetmap.org/?mlat=36.3927&amp;mlon=44.3331&amp;zoom=12#map=12/36.3927/44.3331","Maplink1")</f>
        <v>Maplink1</v>
      </c>
      <c r="AV2037" s="14" t="str">
        <f>HYPERLINK("https://www.google.iq/maps/search/+36.3927,44.3331/@36.3927,44.3331,14z?hl=en","Maplink2")</f>
        <v>Maplink2</v>
      </c>
      <c r="AW2037" s="14" t="str">
        <f>HYPERLINK("http://www.bing.com/maps/?lvl=14&amp;sty=h&amp;cp=36.3927~44.3331&amp;sp=point.36.3927_44.3331_Soran (Hay al matar)","Maplink3")</f>
        <v>Maplink3</v>
      </c>
    </row>
    <row r="2038" spans="1:49" ht="15" customHeight="1" x14ac:dyDescent="0.25">
      <c r="A2038" s="21">
        <v>13141</v>
      </c>
      <c r="B2038" s="22" t="s">
        <v>15</v>
      </c>
      <c r="C2038" s="22" t="s">
        <v>3826</v>
      </c>
      <c r="D2038" s="22" t="s">
        <v>8828</v>
      </c>
      <c r="E2038" s="22" t="s">
        <v>3849</v>
      </c>
      <c r="F2038" s="22">
        <v>36.656023699999999</v>
      </c>
      <c r="G2038" s="22">
        <v>44.54197216</v>
      </c>
      <c r="H2038" s="21" t="s">
        <v>3500</v>
      </c>
      <c r="I2038" s="21" t="s">
        <v>3837</v>
      </c>
      <c r="J2038" s="21" t="s">
        <v>3850</v>
      </c>
      <c r="K2038" s="24">
        <v>885</v>
      </c>
      <c r="L2038" s="24">
        <v>5310</v>
      </c>
      <c r="M2038" s="23">
        <v>715</v>
      </c>
      <c r="N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>
        <v>23</v>
      </c>
      <c r="Z2038" s="23"/>
      <c r="AA2038" s="23">
        <v>147</v>
      </c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>
        <v>885</v>
      </c>
      <c r="AL2038" s="23"/>
      <c r="AM2038" s="23"/>
      <c r="AN2038" s="23"/>
      <c r="AO2038" s="23">
        <v>435</v>
      </c>
      <c r="AP2038" s="23">
        <v>23</v>
      </c>
      <c r="AQ2038" s="23">
        <v>147</v>
      </c>
      <c r="AR2038" s="23"/>
      <c r="AS2038" s="23">
        <v>182</v>
      </c>
      <c r="AT2038" s="23">
        <v>98</v>
      </c>
      <c r="AU2038" s="14" t="str">
        <f>HYPERLINK("http://www.openstreetmap.org/?mlat=36.65&amp;mlon=44.53&amp;zoom=12#map=12/36.65/44.53","Maplink1")</f>
        <v>Maplink1</v>
      </c>
      <c r="AV2038" s="14" t="str">
        <f>HYPERLINK("https://www.google.iq/maps/search/+36.65,44.53/@36.65,44.53,14z?hl=en","Maplink2")</f>
        <v>Maplink2</v>
      </c>
      <c r="AW2038" s="14" t="str">
        <f>HYPERLINK("http://www.bing.com/maps/?lvl=14&amp;sty=h&amp;cp=36.65~44.53&amp;sp=point.36.65_44.53_Soran","Maplink3")</f>
        <v>Maplink3</v>
      </c>
    </row>
    <row r="2039" spans="1:49" ht="15" customHeight="1" x14ac:dyDescent="0.25">
      <c r="A2039" s="21">
        <v>23744</v>
      </c>
      <c r="B2039" s="22" t="s">
        <v>16</v>
      </c>
      <c r="C2039" s="22" t="s">
        <v>3857</v>
      </c>
      <c r="D2039" s="22" t="s">
        <v>8829</v>
      </c>
      <c r="E2039" s="22" t="s">
        <v>8830</v>
      </c>
      <c r="F2039" s="22">
        <v>32.5674411189</v>
      </c>
      <c r="G2039" s="22">
        <v>43.484855582900003</v>
      </c>
      <c r="H2039" s="21" t="s">
        <v>3858</v>
      </c>
      <c r="I2039" s="21" t="s">
        <v>3859</v>
      </c>
      <c r="J2039" s="21" t="s">
        <v>3875</v>
      </c>
      <c r="K2039" s="24">
        <v>35</v>
      </c>
      <c r="L2039" s="24">
        <v>210</v>
      </c>
      <c r="M2039" s="23">
        <v>35</v>
      </c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>
        <v>35</v>
      </c>
      <c r="AL2039" s="23"/>
      <c r="AM2039" s="23"/>
      <c r="AN2039" s="23"/>
      <c r="AO2039" s="23">
        <v>24</v>
      </c>
      <c r="AP2039" s="23"/>
      <c r="AQ2039" s="23">
        <v>11</v>
      </c>
      <c r="AR2039" s="23"/>
      <c r="AS2039" s="23"/>
      <c r="AT2039" s="23"/>
      <c r="AU2039" s="14" t="str">
        <f>HYPERLINK("http://www.openstreetmap.org/?mlat=32.566&amp;mlon=43.4904&amp;zoom=12#map=12/32.566/43.4904","Maplink1")</f>
        <v>Maplink1</v>
      </c>
      <c r="AV2039" s="14" t="str">
        <f>HYPERLINK("https://www.google.iq/maps/search/+32.566,43.4904/@32.566,43.4904,14z?hl=en","Maplink2")</f>
        <v>Maplink2</v>
      </c>
      <c r="AW2039" s="14" t="str">
        <f>HYPERLINK("http://www.bing.com/maps/?lvl=14&amp;sty=h&amp;cp=32.566~43.4904&amp;sp=point.32.566_43.4904_Hay Al Hussein","Maplink3")</f>
        <v>Maplink3</v>
      </c>
    </row>
    <row r="2040" spans="1:49" ht="15" customHeight="1" x14ac:dyDescent="0.25">
      <c r="A2040" s="21">
        <v>25843</v>
      </c>
      <c r="B2040" s="22" t="s">
        <v>16</v>
      </c>
      <c r="C2040" s="22" t="s">
        <v>3857</v>
      </c>
      <c r="D2040" s="22" t="s">
        <v>3860</v>
      </c>
      <c r="E2040" s="22" t="s">
        <v>3861</v>
      </c>
      <c r="F2040" s="22">
        <v>32.581749991499997</v>
      </c>
      <c r="G2040" s="22">
        <v>43.512645950500001</v>
      </c>
      <c r="H2040" s="21" t="s">
        <v>3858</v>
      </c>
      <c r="I2040" s="21" t="s">
        <v>3859</v>
      </c>
      <c r="J2040" s="21"/>
      <c r="K2040" s="24">
        <v>2</v>
      </c>
      <c r="L2040" s="24">
        <v>12</v>
      </c>
      <c r="M2040" s="23">
        <v>2</v>
      </c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>
        <v>2</v>
      </c>
      <c r="AL2040" s="23"/>
      <c r="AM2040" s="23"/>
      <c r="AN2040" s="23"/>
      <c r="AO2040" s="23">
        <v>2</v>
      </c>
      <c r="AP2040" s="23"/>
      <c r="AQ2040" s="23"/>
      <c r="AR2040" s="23"/>
      <c r="AS2040" s="23"/>
      <c r="AT2040" s="23"/>
      <c r="AU2040" s="14" t="str">
        <f>HYPERLINK("http://www.openstreetmap.org/?mlat=32.6042&amp;mlon=43.5376&amp;zoom=12#map=12/32.6042/43.5376","Maplink1")</f>
        <v>Maplink1</v>
      </c>
      <c r="AV2040" s="14" t="str">
        <f>HYPERLINK("https://www.google.iq/maps/search/+32.6042,43.5376/@32.6042,43.5376,14z?hl=en","Maplink2")</f>
        <v>Maplink2</v>
      </c>
      <c r="AW2040" s="14" t="str">
        <f>HYPERLINK("http://www.bing.com/maps/?lvl=14&amp;sty=h&amp;cp=32.6042~43.5376&amp;sp=point.32.6042_43.5376_Al Hasawen","Maplink3")</f>
        <v>Maplink3</v>
      </c>
    </row>
    <row r="2041" spans="1:49" ht="15" customHeight="1" x14ac:dyDescent="0.25">
      <c r="A2041" s="21">
        <v>23706</v>
      </c>
      <c r="B2041" s="22" t="s">
        <v>16</v>
      </c>
      <c r="C2041" s="22" t="s">
        <v>3857</v>
      </c>
      <c r="D2041" s="22" t="s">
        <v>3862</v>
      </c>
      <c r="E2041" s="22" t="s">
        <v>3863</v>
      </c>
      <c r="F2041" s="22">
        <v>32.477177660899997</v>
      </c>
      <c r="G2041" s="22">
        <v>43.731062672999997</v>
      </c>
      <c r="H2041" s="21" t="s">
        <v>3858</v>
      </c>
      <c r="I2041" s="21" t="s">
        <v>3859</v>
      </c>
      <c r="J2041" s="21" t="s">
        <v>3864</v>
      </c>
      <c r="K2041" s="24">
        <v>8</v>
      </c>
      <c r="L2041" s="24">
        <v>48</v>
      </c>
      <c r="M2041" s="23">
        <v>8</v>
      </c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>
        <v>8</v>
      </c>
      <c r="AG2041" s="23"/>
      <c r="AH2041" s="23"/>
      <c r="AI2041" s="23"/>
      <c r="AJ2041" s="23"/>
      <c r="AK2041" s="23"/>
      <c r="AL2041" s="23"/>
      <c r="AM2041" s="23"/>
      <c r="AN2041" s="23"/>
      <c r="AO2041" s="23">
        <v>8</v>
      </c>
      <c r="AP2041" s="23"/>
      <c r="AQ2041" s="23"/>
      <c r="AR2041" s="23"/>
      <c r="AS2041" s="23"/>
      <c r="AT2041" s="23"/>
      <c r="AU2041" s="14" t="str">
        <f>HYPERLINK("http://www.openstreetmap.org/?mlat=32.4749&amp;mlon=43.9946&amp;zoom=12#map=12/32.4749/43.9946","Maplink1")</f>
        <v>Maplink1</v>
      </c>
      <c r="AV2041" s="14" t="str">
        <f>HYPERLINK("https://www.google.iq/maps/search/+32.4749,43.9946/@32.4749,43.9946,14z?hl=en","Maplink2")</f>
        <v>Maplink2</v>
      </c>
      <c r="AW2041" s="14" t="str">
        <f>HYPERLINK("http://www.bing.com/maps/?lvl=14&amp;sty=h&amp;cp=32.4749~43.9946&amp;sp=point.32.4749_43.9946_Al Zakareet","Maplink3")</f>
        <v>Maplink3</v>
      </c>
    </row>
    <row r="2042" spans="1:49" ht="15" customHeight="1" x14ac:dyDescent="0.25">
      <c r="A2042" s="21">
        <v>25734</v>
      </c>
      <c r="B2042" s="22" t="s">
        <v>16</v>
      </c>
      <c r="C2042" s="22" t="s">
        <v>3857</v>
      </c>
      <c r="D2042" s="22" t="s">
        <v>8831</v>
      </c>
      <c r="E2042" s="22" t="s">
        <v>3880</v>
      </c>
      <c r="F2042" s="22">
        <v>32.565471455500003</v>
      </c>
      <c r="G2042" s="22">
        <v>43.487659078100002</v>
      </c>
      <c r="H2042" s="21" t="s">
        <v>3858</v>
      </c>
      <c r="I2042" s="21" t="s">
        <v>3859</v>
      </c>
      <c r="J2042" s="21"/>
      <c r="K2042" s="24">
        <v>5</v>
      </c>
      <c r="L2042" s="24">
        <v>30</v>
      </c>
      <c r="M2042" s="23">
        <v>5</v>
      </c>
      <c r="N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>
        <v>5</v>
      </c>
      <c r="AL2042" s="23"/>
      <c r="AM2042" s="23"/>
      <c r="AN2042" s="23"/>
      <c r="AO2042" s="23">
        <v>5</v>
      </c>
      <c r="AP2042" s="23"/>
      <c r="AQ2042" s="23"/>
      <c r="AR2042" s="23"/>
      <c r="AS2042" s="23"/>
      <c r="AT2042" s="23"/>
      <c r="AU2042" s="14" t="str">
        <f>HYPERLINK("http://www.openstreetmap.org/?mlat=32.5599&amp;mlon=43.4843&amp;zoom=12#map=12/32.5599/43.4843","Maplink1")</f>
        <v>Maplink1</v>
      </c>
      <c r="AV2042" s="14" t="str">
        <f>HYPERLINK("https://www.google.iq/maps/search/+32.5599,43.4843/@32.5599,43.4843,14z?hl=en","Maplink2")</f>
        <v>Maplink2</v>
      </c>
      <c r="AW2042" s="14" t="str">
        <f>HYPERLINK("http://www.bing.com/maps/?lvl=14&amp;sty=h&amp;cp=32.5599~43.4843&amp;sp=point.32.5599_43.4843_Markaz Ain Al-Tamur-Al-Ain","Maplink3")</f>
        <v>Maplink3</v>
      </c>
    </row>
    <row r="2043" spans="1:49" ht="15" customHeight="1" x14ac:dyDescent="0.25">
      <c r="A2043" s="21">
        <v>14055</v>
      </c>
      <c r="B2043" s="22" t="s">
        <v>16</v>
      </c>
      <c r="C2043" s="22" t="s">
        <v>3857</v>
      </c>
      <c r="D2043" s="22" t="s">
        <v>3865</v>
      </c>
      <c r="E2043" s="22" t="s">
        <v>8832</v>
      </c>
      <c r="F2043" s="22">
        <v>32.592532178399999</v>
      </c>
      <c r="G2043" s="22">
        <v>43.504705689799998</v>
      </c>
      <c r="H2043" s="21" t="s">
        <v>3858</v>
      </c>
      <c r="I2043" s="21" t="s">
        <v>3859</v>
      </c>
      <c r="J2043" s="21" t="s">
        <v>3866</v>
      </c>
      <c r="K2043" s="24">
        <v>2</v>
      </c>
      <c r="L2043" s="24">
        <v>12</v>
      </c>
      <c r="M2043" s="23">
        <v>2</v>
      </c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>
        <v>2</v>
      </c>
      <c r="AG2043" s="23"/>
      <c r="AH2043" s="23"/>
      <c r="AI2043" s="23"/>
      <c r="AJ2043" s="23"/>
      <c r="AK2043" s="23"/>
      <c r="AL2043" s="23"/>
      <c r="AM2043" s="23"/>
      <c r="AN2043" s="23"/>
      <c r="AO2043" s="23">
        <v>2</v>
      </c>
      <c r="AP2043" s="23"/>
      <c r="AQ2043" s="23"/>
      <c r="AR2043" s="23"/>
      <c r="AS2043" s="23"/>
      <c r="AT2043" s="23"/>
      <c r="AU2043" s="14" t="str">
        <f>HYPERLINK("http://www.openstreetmap.org/?mlat=32.5889&amp;mlon=43.4839&amp;zoom=12#map=12/32.5889/43.4839","Maplink1")</f>
        <v>Maplink1</v>
      </c>
      <c r="AV2043" s="14" t="str">
        <f>HYPERLINK("https://www.google.iq/maps/search/+32.5889,43.4839/@32.5889,43.4839,14z?hl=en","Maplink2")</f>
        <v>Maplink2</v>
      </c>
      <c r="AW2043" s="14" t="str">
        <f>HYPERLINK("http://www.bing.com/maps/?lvl=14&amp;sty=h&amp;cp=32.5889~43.4839&amp;sp=point.32.5889_43.4839_Al-Darwashah","Maplink3")</f>
        <v>Maplink3</v>
      </c>
    </row>
    <row r="2044" spans="1:49" ht="15" customHeight="1" x14ac:dyDescent="0.25">
      <c r="A2044" s="21">
        <v>13994</v>
      </c>
      <c r="B2044" s="22" t="s">
        <v>16</v>
      </c>
      <c r="C2044" s="22" t="s">
        <v>3857</v>
      </c>
      <c r="D2044" s="22" t="s">
        <v>3867</v>
      </c>
      <c r="E2044" s="22" t="s">
        <v>3868</v>
      </c>
      <c r="F2044" s="22">
        <v>32.567127887200002</v>
      </c>
      <c r="G2044" s="22">
        <v>43.495425665799999</v>
      </c>
      <c r="H2044" s="21" t="s">
        <v>3858</v>
      </c>
      <c r="I2044" s="21" t="s">
        <v>3859</v>
      </c>
      <c r="J2044" s="21" t="s">
        <v>3869</v>
      </c>
      <c r="K2044" s="24">
        <v>20</v>
      </c>
      <c r="L2044" s="24">
        <v>120</v>
      </c>
      <c r="M2044" s="23">
        <v>15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5</v>
      </c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20</v>
      </c>
      <c r="AL2044" s="23"/>
      <c r="AM2044" s="23"/>
      <c r="AN2044" s="23"/>
      <c r="AO2044" s="23">
        <v>15</v>
      </c>
      <c r="AP2044" s="23">
        <v>5</v>
      </c>
      <c r="AQ2044" s="23"/>
      <c r="AR2044" s="23"/>
      <c r="AS2044" s="23"/>
      <c r="AT2044" s="23"/>
      <c r="AU2044" s="14" t="str">
        <f>HYPERLINK("http://www.openstreetmap.org/?mlat=32.5922&amp;mlon=43.5185&amp;zoom=12#map=12/32.5922/43.5185","Maplink1")</f>
        <v>Maplink1</v>
      </c>
      <c r="AV2044" s="14" t="str">
        <f>HYPERLINK("https://www.google.iq/maps/search/+32.5922,43.5185/@32.5922,43.5185,14z?hl=en","Maplink2")</f>
        <v>Maplink2</v>
      </c>
      <c r="AW2044" s="14" t="str">
        <f>HYPERLINK("http://www.bing.com/maps/?lvl=14&amp;sty=h&amp;cp=32.5922~43.5185&amp;sp=point.32.5922_43.5185_Albo Hardan","Maplink3")</f>
        <v>Maplink3</v>
      </c>
    </row>
    <row r="2045" spans="1:49" ht="15" customHeight="1" x14ac:dyDescent="0.25">
      <c r="A2045" s="21">
        <v>14313</v>
      </c>
      <c r="B2045" s="22" t="s">
        <v>16</v>
      </c>
      <c r="C2045" s="22" t="s">
        <v>3857</v>
      </c>
      <c r="D2045" s="22" t="s">
        <v>3870</v>
      </c>
      <c r="E2045" s="22" t="s">
        <v>3871</v>
      </c>
      <c r="F2045" s="22">
        <v>32.591560506299999</v>
      </c>
      <c r="G2045" s="22">
        <v>43.490121262099997</v>
      </c>
      <c r="H2045" s="21" t="s">
        <v>3858</v>
      </c>
      <c r="I2045" s="21" t="s">
        <v>3859</v>
      </c>
      <c r="J2045" s="21" t="s">
        <v>3872</v>
      </c>
      <c r="K2045" s="24">
        <v>2</v>
      </c>
      <c r="L2045" s="24">
        <v>12</v>
      </c>
      <c r="M2045" s="23">
        <v>2</v>
      </c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2</v>
      </c>
      <c r="AL2045" s="23"/>
      <c r="AM2045" s="23"/>
      <c r="AN2045" s="23"/>
      <c r="AO2045" s="23">
        <v>2</v>
      </c>
      <c r="AP2045" s="23"/>
      <c r="AQ2045" s="23"/>
      <c r="AR2045" s="23"/>
      <c r="AS2045" s="23"/>
      <c r="AT2045" s="23"/>
      <c r="AU2045" s="14" t="str">
        <f>HYPERLINK("http://www.openstreetmap.org/?mlat=32.6022&amp;mlon=43.53&amp;zoom=12#map=12/32.6022/43.53","Maplink1")</f>
        <v>Maplink1</v>
      </c>
      <c r="AV2045" s="14" t="str">
        <f>HYPERLINK("https://www.google.iq/maps/search/+32.6022,43.53/@32.6022,43.53,14z?hl=en","Maplink2")</f>
        <v>Maplink2</v>
      </c>
      <c r="AW2045" s="14" t="str">
        <f>HYPERLINK("http://www.bing.com/maps/?lvl=14&amp;sty=h&amp;cp=32.6022~43.53&amp;sp=point.32.6022_43.53_Albu Hassan","Maplink3")</f>
        <v>Maplink3</v>
      </c>
    </row>
    <row r="2046" spans="1:49" ht="15" customHeight="1" x14ac:dyDescent="0.25">
      <c r="A2046" s="21">
        <v>14029</v>
      </c>
      <c r="B2046" s="22" t="s">
        <v>16</v>
      </c>
      <c r="C2046" s="22" t="s">
        <v>3857</v>
      </c>
      <c r="D2046" s="22" t="s">
        <v>3873</v>
      </c>
      <c r="E2046" s="22" t="s">
        <v>8037</v>
      </c>
      <c r="F2046" s="22">
        <v>32.569069680799998</v>
      </c>
      <c r="G2046" s="22">
        <v>43.491628328300003</v>
      </c>
      <c r="H2046" s="21" t="s">
        <v>3858</v>
      </c>
      <c r="I2046" s="21" t="s">
        <v>3859</v>
      </c>
      <c r="J2046" s="21" t="s">
        <v>3874</v>
      </c>
      <c r="K2046" s="24">
        <v>8</v>
      </c>
      <c r="L2046" s="24">
        <v>48</v>
      </c>
      <c r="M2046" s="23">
        <v>8</v>
      </c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>
        <v>8</v>
      </c>
      <c r="AG2046" s="23"/>
      <c r="AH2046" s="23"/>
      <c r="AI2046" s="23"/>
      <c r="AJ2046" s="23"/>
      <c r="AK2046" s="23"/>
      <c r="AL2046" s="23"/>
      <c r="AM2046" s="23"/>
      <c r="AN2046" s="23"/>
      <c r="AO2046" s="23">
        <v>8</v>
      </c>
      <c r="AP2046" s="23"/>
      <c r="AQ2046" s="23"/>
      <c r="AR2046" s="23"/>
      <c r="AS2046" s="23"/>
      <c r="AT2046" s="23"/>
      <c r="AU2046" s="14" t="str">
        <f>HYPERLINK("http://www.openstreetmap.org/?mlat=32.5814&amp;mlon=43.4803&amp;zoom=12#map=12/32.5814/43.4803","Maplink1")</f>
        <v>Maplink1</v>
      </c>
      <c r="AV2046" s="14" t="str">
        <f>HYPERLINK("https://www.google.iq/maps/search/+32.5814,43.4803/@32.5814,43.4803,14z?hl=en","Maplink2")</f>
        <v>Maplink2</v>
      </c>
      <c r="AW2046" s="14" t="str">
        <f>HYPERLINK("http://www.bing.com/maps/?lvl=14&amp;sty=h&amp;cp=32.5814~43.4803&amp;sp=point.32.5814_43.4803_Albu Hawa-102","Maplink3")</f>
        <v>Maplink3</v>
      </c>
    </row>
    <row r="2047" spans="1:49" ht="15" customHeight="1" x14ac:dyDescent="0.25">
      <c r="A2047" s="21">
        <v>25737</v>
      </c>
      <c r="B2047" s="22" t="s">
        <v>16</v>
      </c>
      <c r="C2047" s="22" t="s">
        <v>3857</v>
      </c>
      <c r="D2047" s="22" t="s">
        <v>8833</v>
      </c>
      <c r="E2047" s="22" t="s">
        <v>3881</v>
      </c>
      <c r="F2047" s="22">
        <v>32.5735879876</v>
      </c>
      <c r="G2047" s="22">
        <v>43.474347274800003</v>
      </c>
      <c r="H2047" s="21" t="s">
        <v>3858</v>
      </c>
      <c r="I2047" s="21" t="s">
        <v>3859</v>
      </c>
      <c r="J2047" s="21"/>
      <c r="K2047" s="24">
        <v>2</v>
      </c>
      <c r="L2047" s="24">
        <v>12</v>
      </c>
      <c r="M2047" s="23">
        <v>2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2</v>
      </c>
      <c r="AL2047" s="23"/>
      <c r="AM2047" s="23"/>
      <c r="AN2047" s="23"/>
      <c r="AO2047" s="23">
        <v>2</v>
      </c>
      <c r="AP2047" s="23"/>
      <c r="AQ2047" s="23"/>
      <c r="AR2047" s="23"/>
      <c r="AS2047" s="23"/>
      <c r="AT2047" s="23"/>
      <c r="AU2047" s="14" t="str">
        <f>HYPERLINK("http://www.openstreetmap.org/?mlat=32.5668&amp;mlon=43.4871&amp;zoom=12#map=12/32.5668/43.4871","Maplink1")</f>
        <v>Maplink1</v>
      </c>
      <c r="AV2047" s="14" t="str">
        <f>HYPERLINK("https://www.google.iq/maps/search/+32.5668,43.4871/@32.5668,43.4871,14z?hl=en","Maplink2")</f>
        <v>Maplink2</v>
      </c>
      <c r="AW2047" s="14" t="str">
        <f>HYPERLINK("http://www.bing.com/maps/?lvl=14&amp;sty=h&amp;cp=32.5668~43.4871&amp;sp=point.32.5668_43.4871_Markaz Ain Al-Tamur-Hay al jihad","Maplink3")</f>
        <v>Maplink3</v>
      </c>
    </row>
    <row r="2048" spans="1:49" ht="15" customHeight="1" x14ac:dyDescent="0.25">
      <c r="A2048" s="21">
        <v>23938</v>
      </c>
      <c r="B2048" s="22" t="s">
        <v>16</v>
      </c>
      <c r="C2048" s="22" t="s">
        <v>3857</v>
      </c>
      <c r="D2048" s="22" t="s">
        <v>872</v>
      </c>
      <c r="E2048" s="22" t="s">
        <v>8834</v>
      </c>
      <c r="F2048" s="22">
        <v>32.570871245100001</v>
      </c>
      <c r="G2048" s="22">
        <v>43.485351540099998</v>
      </c>
      <c r="H2048" s="21" t="s">
        <v>3858</v>
      </c>
      <c r="I2048" s="21" t="s">
        <v>3859</v>
      </c>
      <c r="J2048" s="21" t="s">
        <v>3876</v>
      </c>
      <c r="K2048" s="24">
        <v>10</v>
      </c>
      <c r="L2048" s="24">
        <v>60</v>
      </c>
      <c r="M2048" s="23">
        <v>10</v>
      </c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>
        <v>10</v>
      </c>
      <c r="AL2048" s="23"/>
      <c r="AM2048" s="23"/>
      <c r="AN2048" s="23"/>
      <c r="AO2048" s="23">
        <v>10</v>
      </c>
      <c r="AP2048" s="23"/>
      <c r="AQ2048" s="23"/>
      <c r="AR2048" s="23"/>
      <c r="AS2048" s="23"/>
      <c r="AT2048" s="23"/>
      <c r="AU2048" s="14" t="str">
        <f>HYPERLINK("http://www.openstreetmap.org/?mlat=32.5761&amp;mlon=43.4774&amp;zoom=12#map=12/32.5761/43.4774","Maplink1")</f>
        <v>Maplink1</v>
      </c>
      <c r="AV2048" s="14" t="str">
        <f>HYPERLINK("https://www.google.iq/maps/search/+32.5761,43.4774/@32.5761,43.4774,14z?hl=en","Maplink2")</f>
        <v>Maplink2</v>
      </c>
      <c r="AW2048" s="14" t="str">
        <f>HYPERLINK("http://www.bing.com/maps/?lvl=14&amp;sty=h&amp;cp=32.5761~43.4774&amp;sp=point.32.5761_43.4774_Hay Al Zahraa","Maplink3")</f>
        <v>Maplink3</v>
      </c>
    </row>
    <row r="2049" spans="1:49" ht="15" customHeight="1" x14ac:dyDescent="0.25">
      <c r="A2049" s="21">
        <v>14020</v>
      </c>
      <c r="B2049" s="22" t="s">
        <v>16</v>
      </c>
      <c r="C2049" s="22" t="s">
        <v>3857</v>
      </c>
      <c r="D2049" s="22" t="s">
        <v>3877</v>
      </c>
      <c r="E2049" s="22" t="s">
        <v>3878</v>
      </c>
      <c r="F2049" s="22">
        <v>32.581117702599997</v>
      </c>
      <c r="G2049" s="22">
        <v>43.481231499499998</v>
      </c>
      <c r="H2049" s="21" t="s">
        <v>3858</v>
      </c>
      <c r="I2049" s="21" t="s">
        <v>3859</v>
      </c>
      <c r="J2049" s="21" t="s">
        <v>3879</v>
      </c>
      <c r="K2049" s="24">
        <v>6</v>
      </c>
      <c r="L2049" s="24">
        <v>36</v>
      </c>
      <c r="M2049" s="23">
        <v>6</v>
      </c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6</v>
      </c>
      <c r="AL2049" s="23"/>
      <c r="AM2049" s="23"/>
      <c r="AN2049" s="23"/>
      <c r="AO2049" s="23">
        <v>6</v>
      </c>
      <c r="AP2049" s="23"/>
      <c r="AQ2049" s="23"/>
      <c r="AR2049" s="23"/>
      <c r="AS2049" s="23"/>
      <c r="AT2049" s="23"/>
      <c r="AU2049" s="14" t="str">
        <f>HYPERLINK("http://www.openstreetmap.org/?mlat=32.5628&amp;mlon=43.4994&amp;zoom=12#map=12/32.5628/43.4994","Maplink1")</f>
        <v>Maplink1</v>
      </c>
      <c r="AV2049" s="14" t="str">
        <f>HYPERLINK("https://www.google.iq/maps/search/+32.5628,43.4994/@32.5628,43.4994,14z?hl=en","Maplink2")</f>
        <v>Maplink2</v>
      </c>
      <c r="AW2049" s="14" t="str">
        <f>HYPERLINK("http://www.bing.com/maps/?lvl=14&amp;sty=h&amp;cp=32.5628~43.4994&amp;sp=point.32.5628_43.4994_Hay Um Al-Rumilah","Maplink3")</f>
        <v>Maplink3</v>
      </c>
    </row>
    <row r="2050" spans="1:49" ht="15" customHeight="1" x14ac:dyDescent="0.25">
      <c r="A2050" s="21">
        <v>25736</v>
      </c>
      <c r="B2050" s="22" t="s">
        <v>16</v>
      </c>
      <c r="C2050" s="22" t="s">
        <v>3857</v>
      </c>
      <c r="D2050" s="22" t="s">
        <v>8835</v>
      </c>
      <c r="E2050" s="22" t="s">
        <v>3882</v>
      </c>
      <c r="F2050" s="22">
        <v>32.568677575300001</v>
      </c>
      <c r="G2050" s="22">
        <v>43.488309346100003</v>
      </c>
      <c r="H2050" s="21" t="s">
        <v>3858</v>
      </c>
      <c r="I2050" s="21" t="s">
        <v>3859</v>
      </c>
      <c r="J2050" s="21"/>
      <c r="K2050" s="24">
        <v>4</v>
      </c>
      <c r="L2050" s="24">
        <v>24</v>
      </c>
      <c r="M2050" s="23">
        <v>4</v>
      </c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>
        <v>4</v>
      </c>
      <c r="AL2050" s="23"/>
      <c r="AM2050" s="23"/>
      <c r="AN2050" s="23"/>
      <c r="AO2050" s="23">
        <v>4</v>
      </c>
      <c r="AP2050" s="23"/>
      <c r="AQ2050" s="23"/>
      <c r="AR2050" s="23"/>
      <c r="AS2050" s="23"/>
      <c r="AT2050" s="23"/>
      <c r="AU2050" s="14" t="str">
        <f>HYPERLINK("http://www.openstreetmap.org/?mlat=32.567&amp;mlon=43.4942&amp;zoom=12#map=12/32.567/43.4942","Maplink1")</f>
        <v>Maplink1</v>
      </c>
      <c r="AV2050" s="14" t="str">
        <f>HYPERLINK("https://www.google.iq/maps/search/+32.567,43.4942/@32.567,43.4942,14z?hl=en","Maplink2")</f>
        <v>Maplink2</v>
      </c>
      <c r="AW2050" s="14" t="str">
        <f>HYPERLINK("http://www.bing.com/maps/?lvl=14&amp;sty=h&amp;cp=32.567~43.4942&amp;sp=point.32.567_43.4942_Markaz Ain Al-Tamur-Qasur thamer","Maplink3")</f>
        <v>Maplink3</v>
      </c>
    </row>
    <row r="2051" spans="1:49" ht="15" customHeight="1" x14ac:dyDescent="0.25">
      <c r="A2051" s="21">
        <v>26004</v>
      </c>
      <c r="B2051" s="22" t="s">
        <v>16</v>
      </c>
      <c r="C2051" s="22" t="s">
        <v>3883</v>
      </c>
      <c r="D2051" s="22" t="s">
        <v>3935</v>
      </c>
      <c r="E2051" s="22" t="s">
        <v>8039</v>
      </c>
      <c r="F2051" s="22">
        <v>32.5240256684</v>
      </c>
      <c r="G2051" s="22">
        <v>44.116443973000003</v>
      </c>
      <c r="H2051" s="21" t="s">
        <v>3858</v>
      </c>
      <c r="I2051" s="21" t="s">
        <v>3934</v>
      </c>
      <c r="J2051" s="21"/>
      <c r="K2051" s="24">
        <v>11</v>
      </c>
      <c r="L2051" s="24">
        <v>66</v>
      </c>
      <c r="M2051" s="23"/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>
        <v>11</v>
      </c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>
        <v>11</v>
      </c>
      <c r="AK2051" s="23"/>
      <c r="AL2051" s="23"/>
      <c r="AM2051" s="23"/>
      <c r="AN2051" s="23"/>
      <c r="AO2051" s="23"/>
      <c r="AP2051" s="23">
        <v>11</v>
      </c>
      <c r="AQ2051" s="23"/>
      <c r="AR2051" s="23"/>
      <c r="AS2051" s="23"/>
      <c r="AT2051" s="23"/>
      <c r="AU2051" s="14" t="str">
        <f>HYPERLINK("http://www.openstreetmap.org/?mlat=32.5385&amp;mlon=44.133&amp;zoom=12#map=12/32.5385/44.133","Maplink1")</f>
        <v>Maplink1</v>
      </c>
      <c r="AV2051" s="14" t="str">
        <f>HYPERLINK("https://www.google.iq/maps/search/+32.5385,44.133/@32.5385,44.133,14z?hl=en","Maplink2")</f>
        <v>Maplink2</v>
      </c>
      <c r="AW2051" s="14" t="str">
        <f>HYPERLINK("http://www.bing.com/maps/?lvl=14&amp;sty=h&amp;cp=32.5385~44.133&amp;sp=point.32.5385_44.133_Abo Hussien","Maplink3")</f>
        <v>Maplink3</v>
      </c>
    </row>
    <row r="2052" spans="1:49" ht="15" customHeight="1" x14ac:dyDescent="0.25">
      <c r="A2052" s="21">
        <v>26001</v>
      </c>
      <c r="B2052" s="22" t="s">
        <v>16</v>
      </c>
      <c r="C2052" s="22" t="s">
        <v>3883</v>
      </c>
      <c r="D2052" s="22" t="s">
        <v>3936</v>
      </c>
      <c r="E2052" s="22" t="s">
        <v>3937</v>
      </c>
      <c r="F2052" s="22">
        <v>32.534727011800001</v>
      </c>
      <c r="G2052" s="22">
        <v>44.106296505800003</v>
      </c>
      <c r="H2052" s="21" t="s">
        <v>3858</v>
      </c>
      <c r="I2052" s="21" t="s">
        <v>3934</v>
      </c>
      <c r="J2052" s="21"/>
      <c r="K2052" s="24">
        <v>50</v>
      </c>
      <c r="L2052" s="24">
        <v>300</v>
      </c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>
        <v>50</v>
      </c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>
        <v>50</v>
      </c>
      <c r="AK2052" s="23"/>
      <c r="AL2052" s="23"/>
      <c r="AM2052" s="23"/>
      <c r="AN2052" s="23"/>
      <c r="AO2052" s="23"/>
      <c r="AP2052" s="23">
        <v>50</v>
      </c>
      <c r="AQ2052" s="23"/>
      <c r="AR2052" s="23"/>
      <c r="AS2052" s="23"/>
      <c r="AT2052" s="23"/>
      <c r="AU2052" s="14" t="str">
        <f>HYPERLINK("http://www.openstreetmap.org/?mlat=32.3112&amp;mlon=44.71&amp;zoom=12#map=12/32.3112/44.71","Maplink1")</f>
        <v>Maplink1</v>
      </c>
      <c r="AV2052" s="14" t="str">
        <f>HYPERLINK("https://www.google.iq/maps/search/+32.3112,44.71/@32.3112,44.71,14z?hl=en","Maplink2")</f>
        <v>Maplink2</v>
      </c>
      <c r="AW2052" s="14" t="str">
        <f>HYPERLINK("http://www.bing.com/maps/?lvl=14&amp;sty=h&amp;cp=32.3112~44.71&amp;sp=point.32.3112_44.71_Abo Hussien Al Sharkea","Maplink3")</f>
        <v>Maplink3</v>
      </c>
    </row>
    <row r="2053" spans="1:49" ht="15" customHeight="1" x14ac:dyDescent="0.25">
      <c r="A2053" s="21">
        <v>25999</v>
      </c>
      <c r="B2053" s="22" t="s">
        <v>16</v>
      </c>
      <c r="C2053" s="22" t="s">
        <v>3883</v>
      </c>
      <c r="D2053" s="22" t="s">
        <v>8836</v>
      </c>
      <c r="E2053" s="22" t="s">
        <v>8837</v>
      </c>
      <c r="F2053" s="22">
        <v>32.513990225299999</v>
      </c>
      <c r="G2053" s="22">
        <v>44.206985458699997</v>
      </c>
      <c r="H2053" s="21" t="s">
        <v>3858</v>
      </c>
      <c r="I2053" s="21" t="s">
        <v>3934</v>
      </c>
      <c r="J2053" s="21"/>
      <c r="K2053" s="24">
        <v>25</v>
      </c>
      <c r="L2053" s="24">
        <v>150</v>
      </c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>
        <v>25</v>
      </c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>
        <v>23</v>
      </c>
      <c r="AK2053" s="23">
        <v>2</v>
      </c>
      <c r="AL2053" s="23"/>
      <c r="AM2053" s="23"/>
      <c r="AN2053" s="23"/>
      <c r="AO2053" s="23"/>
      <c r="AP2053" s="23">
        <v>25</v>
      </c>
      <c r="AQ2053" s="23"/>
      <c r="AR2053" s="23"/>
      <c r="AS2053" s="23"/>
      <c r="AT2053" s="23"/>
      <c r="AU2053" s="14" t="str">
        <f>HYPERLINK("http://www.openstreetmap.org/?mlat=32.562&amp;mlon=44.1071&amp;zoom=12#map=12/32.562/44.1071","Maplink1")</f>
        <v>Maplink1</v>
      </c>
      <c r="AV2053" s="14" t="str">
        <f>HYPERLINK("https://www.google.iq/maps/search/+32.562,44.1071/@32.562,44.1071,14z?hl=en","Maplink2")</f>
        <v>Maplink2</v>
      </c>
      <c r="AW2053" s="14" t="str">
        <f>HYPERLINK("http://www.bing.com/maps/?lvl=14&amp;sty=h&amp;cp=32.562~44.1071&amp;sp=point.32.562_44.1071_Al Abd Awetat","Maplink3")</f>
        <v>Maplink3</v>
      </c>
    </row>
    <row r="2054" spans="1:49" ht="15" customHeight="1" x14ac:dyDescent="0.25">
      <c r="A2054" s="21">
        <v>27336</v>
      </c>
      <c r="B2054" s="22" t="s">
        <v>16</v>
      </c>
      <c r="C2054" s="22" t="s">
        <v>3883</v>
      </c>
      <c r="D2054" s="22" t="s">
        <v>3884</v>
      </c>
      <c r="E2054" s="22" t="s">
        <v>3885</v>
      </c>
      <c r="F2054" s="22">
        <v>32.488552113099999</v>
      </c>
      <c r="G2054" s="22">
        <v>44.147300776100003</v>
      </c>
      <c r="H2054" s="21" t="s">
        <v>3858</v>
      </c>
      <c r="I2054" s="21" t="s">
        <v>3886</v>
      </c>
      <c r="J2054" s="21"/>
      <c r="K2054" s="24">
        <v>49</v>
      </c>
      <c r="L2054" s="24">
        <v>294</v>
      </c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>
        <v>49</v>
      </c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>
        <v>49</v>
      </c>
      <c r="AK2054" s="23"/>
      <c r="AL2054" s="23"/>
      <c r="AM2054" s="23"/>
      <c r="AN2054" s="23"/>
      <c r="AO2054" s="23"/>
      <c r="AP2054" s="23">
        <v>49</v>
      </c>
      <c r="AQ2054" s="23"/>
      <c r="AR2054" s="23"/>
      <c r="AS2054" s="23"/>
      <c r="AT2054" s="23"/>
      <c r="AU2054" s="14" t="str">
        <f>HYPERLINK("http://www.openstreetmap.org/?mlat=32.5011&amp;mlon=44.1369&amp;zoom=12#map=12/32.5011/44.1369","Maplink1")</f>
        <v>Maplink1</v>
      </c>
      <c r="AV2054" s="14" t="str">
        <f>HYPERLINK("https://www.google.iq/maps/search/+32.5011,44.1369/@32.5011,44.1369,14z?hl=en","Maplink2")</f>
        <v>Maplink2</v>
      </c>
      <c r="AW2054" s="14" t="str">
        <f>HYPERLINK("http://www.bing.com/maps/?lvl=14&amp;sty=h&amp;cp=32.5011~44.1369&amp;sp=point.32.5011_44.1369_Al abodea","Maplink3")</f>
        <v>Maplink3</v>
      </c>
    </row>
    <row r="2055" spans="1:49" ht="15" customHeight="1" x14ac:dyDescent="0.25">
      <c r="A2055" s="21">
        <v>26003</v>
      </c>
      <c r="B2055" s="22" t="s">
        <v>16</v>
      </c>
      <c r="C2055" s="22" t="s">
        <v>3883</v>
      </c>
      <c r="D2055" s="22" t="s">
        <v>3983</v>
      </c>
      <c r="E2055" s="22" t="s">
        <v>3984</v>
      </c>
      <c r="F2055" s="22">
        <v>32.508330512800001</v>
      </c>
      <c r="G2055" s="22">
        <v>44.130116114400003</v>
      </c>
      <c r="H2055" s="21" t="s">
        <v>3858</v>
      </c>
      <c r="I2055" s="21" t="s">
        <v>3934</v>
      </c>
      <c r="J2055" s="21"/>
      <c r="K2055" s="24">
        <v>42</v>
      </c>
      <c r="L2055" s="24">
        <v>252</v>
      </c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>
        <v>42</v>
      </c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>
        <v>42</v>
      </c>
      <c r="AK2055" s="23"/>
      <c r="AL2055" s="23"/>
      <c r="AM2055" s="23"/>
      <c r="AN2055" s="23"/>
      <c r="AO2055" s="23"/>
      <c r="AP2055" s="23">
        <v>42</v>
      </c>
      <c r="AQ2055" s="23"/>
      <c r="AR2055" s="23"/>
      <c r="AS2055" s="23"/>
      <c r="AT2055" s="23"/>
      <c r="AU2055" s="14" t="str">
        <f>HYPERLINK("http://www.openstreetmap.org/?mlat=32.521&amp;mlon=44.1397&amp;zoom=12#map=12/32.521/44.1397","Maplink1")</f>
        <v>Maplink1</v>
      </c>
      <c r="AV2055" s="14" t="str">
        <f>HYPERLINK("https://www.google.iq/maps/search/+32.521,44.1397/@32.521,44.1397,14z?hl=en","Maplink2")</f>
        <v>Maplink2</v>
      </c>
      <c r="AW2055" s="14" t="str">
        <f>HYPERLINK("http://www.bing.com/maps/?lvl=14&amp;sty=h&amp;cp=32.521~44.1397&amp;sp=point.32.521_44.1397_Al Asra","Maplink3")</f>
        <v>Maplink3</v>
      </c>
    </row>
    <row r="2056" spans="1:49" ht="15" customHeight="1" x14ac:dyDescent="0.25">
      <c r="A2056" s="21">
        <v>13947</v>
      </c>
      <c r="B2056" s="22" t="s">
        <v>16</v>
      </c>
      <c r="C2056" s="22" t="s">
        <v>3883</v>
      </c>
      <c r="D2056" s="22" t="s">
        <v>3887</v>
      </c>
      <c r="E2056" s="22" t="s">
        <v>3888</v>
      </c>
      <c r="F2056" s="22">
        <v>32.509440151</v>
      </c>
      <c r="G2056" s="22">
        <v>44.202727116600002</v>
      </c>
      <c r="H2056" s="21" t="s">
        <v>3858</v>
      </c>
      <c r="I2056" s="21" t="s">
        <v>3886</v>
      </c>
      <c r="J2056" s="21" t="s">
        <v>3889</v>
      </c>
      <c r="K2056" s="24">
        <v>21</v>
      </c>
      <c r="L2056" s="24">
        <v>126</v>
      </c>
      <c r="M2056" s="23"/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>
        <v>21</v>
      </c>
      <c r="Z2056" s="23"/>
      <c r="AA2056" s="23"/>
      <c r="AB2056" s="23"/>
      <c r="AC2056" s="23"/>
      <c r="AD2056" s="23"/>
      <c r="AE2056" s="23"/>
      <c r="AF2056" s="23">
        <v>21</v>
      </c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>
        <v>21</v>
      </c>
      <c r="AQ2056" s="23"/>
      <c r="AR2056" s="23"/>
      <c r="AS2056" s="23"/>
      <c r="AT2056" s="23"/>
      <c r="AU2056" s="14" t="str">
        <f>HYPERLINK("http://www.openstreetmap.org/?mlat=32.0589&amp;mlon=44.2023&amp;zoom=12#map=12/32.0589/44.2023","Maplink1")</f>
        <v>Maplink1</v>
      </c>
      <c r="AV2056" s="14" t="str">
        <f>HYPERLINK("https://www.google.iq/maps/search/+32.0589,44.2023/@32.0589,44.2023,14z?hl=en","Maplink2")</f>
        <v>Maplink2</v>
      </c>
      <c r="AW2056" s="14" t="str">
        <f>HYPERLINK("http://www.bing.com/maps/?lvl=14&amp;sty=h&amp;cp=32.0589~44.2023&amp;sp=point.32.0589_44.2023_Al beash","Maplink3")</f>
        <v>Maplink3</v>
      </c>
    </row>
    <row r="2057" spans="1:49" ht="15" customHeight="1" x14ac:dyDescent="0.25">
      <c r="A2057" s="21">
        <v>26013</v>
      </c>
      <c r="B2057" s="22" t="s">
        <v>16</v>
      </c>
      <c r="C2057" s="22" t="s">
        <v>3883</v>
      </c>
      <c r="D2057" s="22" t="s">
        <v>2468</v>
      </c>
      <c r="E2057" s="22" t="s">
        <v>3991</v>
      </c>
      <c r="F2057" s="22">
        <v>32.536204783199999</v>
      </c>
      <c r="G2057" s="22">
        <v>44.102916251899998</v>
      </c>
      <c r="H2057" s="21" t="s">
        <v>3858</v>
      </c>
      <c r="I2057" s="21" t="s">
        <v>3934</v>
      </c>
      <c r="J2057" s="21"/>
      <c r="K2057" s="24">
        <v>29</v>
      </c>
      <c r="L2057" s="24">
        <v>174</v>
      </c>
      <c r="M2057" s="23"/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>
        <v>29</v>
      </c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>
        <v>29</v>
      </c>
      <c r="AK2057" s="23"/>
      <c r="AL2057" s="23"/>
      <c r="AM2057" s="23"/>
      <c r="AN2057" s="23"/>
      <c r="AO2057" s="23"/>
      <c r="AP2057" s="23"/>
      <c r="AQ2057" s="23">
        <v>29</v>
      </c>
      <c r="AR2057" s="23"/>
      <c r="AS2057" s="23"/>
      <c r="AT2057" s="23"/>
      <c r="AU2057" s="14" t="str">
        <f>HYPERLINK("http://www.openstreetmap.org/?mlat=32.5106&amp;mlon=44.1095&amp;zoom=12#map=12/32.5106/44.1095","Maplink1")</f>
        <v>Maplink1</v>
      </c>
      <c r="AV2057" s="14" t="str">
        <f>HYPERLINK("https://www.google.iq/maps/search/+32.5106,44.1095/@32.5106,44.1095,14z?hl=en","Maplink2")</f>
        <v>Maplink2</v>
      </c>
      <c r="AW2057" s="14" t="str">
        <f>HYPERLINK("http://www.bing.com/maps/?lvl=14&amp;sty=h&amp;cp=32.5106~44.1095&amp;sp=point.32.5106_44.1095_Al Dawajin","Maplink3")</f>
        <v>Maplink3</v>
      </c>
    </row>
    <row r="2058" spans="1:49" ht="15" customHeight="1" x14ac:dyDescent="0.25">
      <c r="A2058" s="21">
        <v>26008</v>
      </c>
      <c r="B2058" s="22" t="s">
        <v>16</v>
      </c>
      <c r="C2058" s="22" t="s">
        <v>3883</v>
      </c>
      <c r="D2058" s="22" t="s">
        <v>8838</v>
      </c>
      <c r="E2058" s="22" t="s">
        <v>3992</v>
      </c>
      <c r="F2058" s="22">
        <v>32.588147227699999</v>
      </c>
      <c r="G2058" s="22">
        <v>44.134374624099998</v>
      </c>
      <c r="H2058" s="21" t="s">
        <v>3858</v>
      </c>
      <c r="I2058" s="21" t="s">
        <v>3934</v>
      </c>
      <c r="J2058" s="21"/>
      <c r="K2058" s="24">
        <v>25</v>
      </c>
      <c r="L2058" s="24">
        <v>150</v>
      </c>
      <c r="M2058" s="23"/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>
        <v>25</v>
      </c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>
        <v>25</v>
      </c>
      <c r="AL2058" s="23"/>
      <c r="AM2058" s="23"/>
      <c r="AN2058" s="23"/>
      <c r="AO2058" s="23"/>
      <c r="AP2058" s="23">
        <v>25</v>
      </c>
      <c r="AQ2058" s="23"/>
      <c r="AR2058" s="23"/>
      <c r="AS2058" s="23"/>
      <c r="AT2058" s="23"/>
      <c r="AU2058" s="14" t="str">
        <f>HYPERLINK("http://www.openstreetmap.org/?mlat=32.5444&amp;mlon=44.14&amp;zoom=12#map=12/32.5444/44.14","Maplink1")</f>
        <v>Maplink1</v>
      </c>
      <c r="AV2058" s="14" t="str">
        <f>HYPERLINK("https://www.google.iq/maps/search/+32.5444,44.14/@32.5444,44.14,14z?hl=en","Maplink2")</f>
        <v>Maplink2</v>
      </c>
      <c r="AW2058" s="14" t="str">
        <f>HYPERLINK("http://www.bing.com/maps/?lvl=14&amp;sty=h&amp;cp=32.5444~44.14&amp;sp=point.32.5444_44.14_Al Dokanea Al Gharbiya","Maplink3")</f>
        <v>Maplink3</v>
      </c>
    </row>
    <row r="2059" spans="1:49" ht="15" customHeight="1" x14ac:dyDescent="0.25">
      <c r="A2059" s="21">
        <v>26012</v>
      </c>
      <c r="B2059" s="22" t="s">
        <v>16</v>
      </c>
      <c r="C2059" s="22" t="s">
        <v>3883</v>
      </c>
      <c r="D2059" s="22" t="s">
        <v>4007</v>
      </c>
      <c r="E2059" s="22" t="s">
        <v>4008</v>
      </c>
      <c r="F2059" s="22">
        <v>32.405624203400002</v>
      </c>
      <c r="G2059" s="22">
        <v>44.199857572100001</v>
      </c>
      <c r="H2059" s="21" t="s">
        <v>3858</v>
      </c>
      <c r="I2059" s="21" t="s">
        <v>3934</v>
      </c>
      <c r="J2059" s="21"/>
      <c r="K2059" s="24">
        <v>12</v>
      </c>
      <c r="L2059" s="24">
        <v>72</v>
      </c>
      <c r="M2059" s="23"/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>
        <v>12</v>
      </c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>
        <v>12</v>
      </c>
      <c r="AK2059" s="23"/>
      <c r="AL2059" s="23"/>
      <c r="AM2059" s="23"/>
      <c r="AN2059" s="23"/>
      <c r="AO2059" s="23"/>
      <c r="AP2059" s="23"/>
      <c r="AQ2059" s="23">
        <v>12</v>
      </c>
      <c r="AR2059" s="23"/>
      <c r="AS2059" s="23"/>
      <c r="AT2059" s="23"/>
      <c r="AU2059" s="14" t="str">
        <f>HYPERLINK("http://www.openstreetmap.org/?mlat=32.4197&amp;mlon=44.19&amp;zoom=12#map=12/32.4197/44.19","Maplink1")</f>
        <v>Maplink1</v>
      </c>
      <c r="AV2059" s="14" t="str">
        <f>HYPERLINK("https://www.google.iq/maps/search/+32.4197,44.19/@32.4197,44.19,14z?hl=en","Maplink2")</f>
        <v>Maplink2</v>
      </c>
      <c r="AW2059" s="14" t="str">
        <f>HYPERLINK("http://www.bing.com/maps/?lvl=14&amp;sty=h&amp;cp=32.4197~44.19&amp;sp=point.32.4197_44.19_Al Hakem","Maplink3")</f>
        <v>Maplink3</v>
      </c>
    </row>
    <row r="2060" spans="1:49" ht="15" customHeight="1" x14ac:dyDescent="0.25">
      <c r="A2060" s="21">
        <v>24198</v>
      </c>
      <c r="B2060" s="22" t="s">
        <v>16</v>
      </c>
      <c r="C2060" s="22" t="s">
        <v>3883</v>
      </c>
      <c r="D2060" s="22" t="s">
        <v>2870</v>
      </c>
      <c r="E2060" s="22" t="s">
        <v>3890</v>
      </c>
      <c r="F2060" s="22">
        <v>32.5547560304</v>
      </c>
      <c r="G2060" s="22">
        <v>44.222328281000003</v>
      </c>
      <c r="H2060" s="21" t="s">
        <v>3858</v>
      </c>
      <c r="I2060" s="21" t="s">
        <v>3886</v>
      </c>
      <c r="J2060" s="21" t="s">
        <v>3891</v>
      </c>
      <c r="K2060" s="24">
        <v>80</v>
      </c>
      <c r="L2060" s="24">
        <v>480</v>
      </c>
      <c r="M2060" s="23">
        <v>6</v>
      </c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>
        <v>71</v>
      </c>
      <c r="Z2060" s="23"/>
      <c r="AA2060" s="23">
        <v>3</v>
      </c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66</v>
      </c>
      <c r="AL2060" s="23"/>
      <c r="AM2060" s="23">
        <v>14</v>
      </c>
      <c r="AN2060" s="23"/>
      <c r="AO2060" s="23">
        <v>6</v>
      </c>
      <c r="AP2060" s="23">
        <v>74</v>
      </c>
      <c r="AQ2060" s="23"/>
      <c r="AR2060" s="23"/>
      <c r="AS2060" s="23"/>
      <c r="AT2060" s="23"/>
      <c r="AU2060" s="14" t="str">
        <f>HYPERLINK("http://www.openstreetmap.org/?mlat=32.5599&amp;mlon=44.2201&amp;zoom=12#map=12/32.5599/44.2201","Maplink1")</f>
        <v>Maplink1</v>
      </c>
      <c r="AV2060" s="14" t="str">
        <f>HYPERLINK("https://www.google.iq/maps/search/+32.5599,44.2201/@32.5599,44.2201,14z?hl=en","Maplink2")</f>
        <v>Maplink2</v>
      </c>
      <c r="AW2060" s="14" t="str">
        <f>HYPERLINK("http://www.bing.com/maps/?lvl=14&amp;sty=h&amp;cp=32.5599~44.2201&amp;sp=point.32.5599_44.2201_Al Jamyah","Maplink3")</f>
        <v>Maplink3</v>
      </c>
    </row>
    <row r="2061" spans="1:49" ht="15" customHeight="1" x14ac:dyDescent="0.25">
      <c r="A2061" s="21">
        <v>27334</v>
      </c>
      <c r="B2061" s="22" t="s">
        <v>16</v>
      </c>
      <c r="C2061" s="22" t="s">
        <v>3883</v>
      </c>
      <c r="D2061" s="22" t="s">
        <v>3892</v>
      </c>
      <c r="E2061" s="22" t="s">
        <v>3893</v>
      </c>
      <c r="F2061" s="22">
        <v>32.527423482400003</v>
      </c>
      <c r="G2061" s="22">
        <v>44.214896717999999</v>
      </c>
      <c r="H2061" s="21" t="s">
        <v>3858</v>
      </c>
      <c r="I2061" s="21" t="s">
        <v>3886</v>
      </c>
      <c r="J2061" s="21"/>
      <c r="K2061" s="24">
        <v>15</v>
      </c>
      <c r="L2061" s="24">
        <v>90</v>
      </c>
      <c r="M2061" s="23">
        <v>1</v>
      </c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>
        <v>14</v>
      </c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15</v>
      </c>
      <c r="AL2061" s="23"/>
      <c r="AM2061" s="23"/>
      <c r="AN2061" s="23"/>
      <c r="AO2061" s="23">
        <v>1</v>
      </c>
      <c r="AP2061" s="23">
        <v>14</v>
      </c>
      <c r="AQ2061" s="23"/>
      <c r="AR2061" s="23"/>
      <c r="AS2061" s="23"/>
      <c r="AT2061" s="23"/>
      <c r="AU2061" s="14" t="str">
        <f>HYPERLINK("http://www.openstreetmap.org/?mlat=32.0575&amp;mlon=44.2016&amp;zoom=12#map=12/32.0575/44.2016","Maplink1")</f>
        <v>Maplink1</v>
      </c>
      <c r="AV2061" s="14" t="str">
        <f>HYPERLINK("https://www.google.iq/maps/search/+32.0575,44.2016/@32.0575,44.2016,14z?hl=en","Maplink2")</f>
        <v>Maplink2</v>
      </c>
      <c r="AW2061" s="14" t="str">
        <f>HYPERLINK("http://www.bing.com/maps/?lvl=14&amp;sty=h&amp;cp=32.0575~44.2016&amp;sp=point.32.0575_44.2016_Al Jazra walwasab","Maplink3")</f>
        <v>Maplink3</v>
      </c>
    </row>
    <row r="2062" spans="1:49" ht="15" customHeight="1" x14ac:dyDescent="0.25">
      <c r="A2062" s="21">
        <v>25995</v>
      </c>
      <c r="B2062" s="22" t="s">
        <v>16</v>
      </c>
      <c r="C2062" s="22" t="s">
        <v>3883</v>
      </c>
      <c r="D2062" s="22" t="s">
        <v>8839</v>
      </c>
      <c r="E2062" s="22" t="s">
        <v>4028</v>
      </c>
      <c r="F2062" s="22">
        <v>32.500355173800003</v>
      </c>
      <c r="G2062" s="22">
        <v>44.137783795600001</v>
      </c>
      <c r="H2062" s="21" t="s">
        <v>3858</v>
      </c>
      <c r="I2062" s="21" t="s">
        <v>3934</v>
      </c>
      <c r="J2062" s="21"/>
      <c r="K2062" s="24">
        <v>170</v>
      </c>
      <c r="L2062" s="24">
        <v>1020</v>
      </c>
      <c r="M2062" s="23"/>
      <c r="N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>
        <v>170</v>
      </c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>
        <v>164</v>
      </c>
      <c r="AK2062" s="23"/>
      <c r="AL2062" s="23"/>
      <c r="AM2062" s="23">
        <v>6</v>
      </c>
      <c r="AN2062" s="23"/>
      <c r="AO2062" s="23"/>
      <c r="AP2062" s="23">
        <v>170</v>
      </c>
      <c r="AQ2062" s="23"/>
      <c r="AR2062" s="23"/>
      <c r="AS2062" s="23"/>
      <c r="AT2062" s="23"/>
      <c r="AU2062" s="14" t="str">
        <f>HYPERLINK("http://www.openstreetmap.org/?mlat=32.3218&amp;mlon=44.63&amp;zoom=12#map=12/32.3218/44.63","Maplink1")</f>
        <v>Maplink1</v>
      </c>
      <c r="AV2062" s="14" t="str">
        <f>HYPERLINK("https://www.google.iq/maps/search/+32.3218,44.63/@32.3218,44.63,14z?hl=en","Maplink2")</f>
        <v>Maplink2</v>
      </c>
      <c r="AW2062" s="14" t="str">
        <f>HYPERLINK("http://www.bing.com/maps/?lvl=14&amp;sty=h&amp;cp=32.3218~44.63&amp;sp=point.32.3218_44.63_Al Jedar Al Ghrabi","Maplink3")</f>
        <v>Maplink3</v>
      </c>
    </row>
    <row r="2063" spans="1:49" ht="15" customHeight="1" x14ac:dyDescent="0.25">
      <c r="A2063" s="21">
        <v>25058</v>
      </c>
      <c r="B2063" s="22" t="s">
        <v>16</v>
      </c>
      <c r="C2063" s="22" t="s">
        <v>3883</v>
      </c>
      <c r="D2063" s="22" t="s">
        <v>4032</v>
      </c>
      <c r="E2063" s="22" t="s">
        <v>4033</v>
      </c>
      <c r="F2063" s="22">
        <v>32.402821630200002</v>
      </c>
      <c r="G2063" s="22">
        <v>44.202763829399998</v>
      </c>
      <c r="H2063" s="21" t="s">
        <v>3858</v>
      </c>
      <c r="I2063" s="21" t="s">
        <v>3934</v>
      </c>
      <c r="J2063" s="21"/>
      <c r="K2063" s="24">
        <v>250</v>
      </c>
      <c r="L2063" s="24">
        <v>1500</v>
      </c>
      <c r="M2063" s="23"/>
      <c r="N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>
        <v>250</v>
      </c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>
        <v>250</v>
      </c>
      <c r="AK2063" s="23"/>
      <c r="AL2063" s="23"/>
      <c r="AM2063" s="23"/>
      <c r="AN2063" s="23"/>
      <c r="AO2063" s="23"/>
      <c r="AP2063" s="23">
        <v>250</v>
      </c>
      <c r="AQ2063" s="23"/>
      <c r="AR2063" s="23"/>
      <c r="AS2063" s="23"/>
      <c r="AT2063" s="23"/>
      <c r="AU2063" s="14" t="str">
        <f>HYPERLINK("http://www.openstreetmap.org/?mlat=32.4755&amp;mlon=44.1469&amp;zoom=12#map=12/32.4755/44.1469","Maplink1")</f>
        <v>Maplink1</v>
      </c>
      <c r="AV2063" s="14" t="str">
        <f>HYPERLINK("https://www.google.iq/maps/search/+32.4755,44.1469/@32.4755,44.1469,14z?hl=en","Maplink2")</f>
        <v>Maplink2</v>
      </c>
      <c r="AW2063" s="14" t="str">
        <f>HYPERLINK("http://www.bing.com/maps/?lvl=14&amp;sty=h&amp;cp=32.4755~44.1469&amp;sp=point.32.4755_44.1469_Al Kreat","Maplink3")</f>
        <v>Maplink3</v>
      </c>
    </row>
    <row r="2064" spans="1:49" ht="15" customHeight="1" x14ac:dyDescent="0.25">
      <c r="A2064" s="21">
        <v>26011</v>
      </c>
      <c r="B2064" s="22" t="s">
        <v>16</v>
      </c>
      <c r="C2064" s="22" t="s">
        <v>3883</v>
      </c>
      <c r="D2064" s="22" t="s">
        <v>4036</v>
      </c>
      <c r="E2064" s="22" t="s">
        <v>4037</v>
      </c>
      <c r="F2064" s="22">
        <v>32.366051855499997</v>
      </c>
      <c r="G2064" s="22">
        <v>44.228331064800003</v>
      </c>
      <c r="H2064" s="21" t="s">
        <v>3858</v>
      </c>
      <c r="I2064" s="21" t="s">
        <v>3934</v>
      </c>
      <c r="J2064" s="21"/>
      <c r="K2064" s="24">
        <v>25</v>
      </c>
      <c r="L2064" s="24">
        <v>150</v>
      </c>
      <c r="M2064" s="23"/>
      <c r="N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>
        <v>25</v>
      </c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>
        <v>25</v>
      </c>
      <c r="AK2064" s="23"/>
      <c r="AL2064" s="23"/>
      <c r="AM2064" s="23"/>
      <c r="AN2064" s="23"/>
      <c r="AO2064" s="23"/>
      <c r="AP2064" s="23"/>
      <c r="AQ2064" s="23">
        <v>25</v>
      </c>
      <c r="AR2064" s="23"/>
      <c r="AS2064" s="23"/>
      <c r="AT2064" s="23"/>
      <c r="AU2064" s="14" t="str">
        <f>HYPERLINK("http://www.openstreetmap.org/?mlat=32.5004&amp;mlon=44.1215&amp;zoom=12#map=12/32.5004/44.1215","Maplink1")</f>
        <v>Maplink1</v>
      </c>
      <c r="AV2064" s="14" t="str">
        <f>HYPERLINK("https://www.google.iq/maps/search/+32.5004,44.1215/@32.5004,44.1215,14z?hl=en","Maplink2")</f>
        <v>Maplink2</v>
      </c>
      <c r="AW2064" s="14" t="str">
        <f>HYPERLINK("http://www.bing.com/maps/?lvl=14&amp;sty=h&amp;cp=32.5004~44.1215&amp;sp=point.32.5004_44.1215_Al Matar","Maplink3")</f>
        <v>Maplink3</v>
      </c>
    </row>
    <row r="2065" spans="1:49" ht="15" customHeight="1" x14ac:dyDescent="0.25">
      <c r="A2065" s="21">
        <v>25494</v>
      </c>
      <c r="B2065" s="22" t="s">
        <v>16</v>
      </c>
      <c r="C2065" s="22" t="s">
        <v>3883</v>
      </c>
      <c r="D2065" s="22" t="s">
        <v>3894</v>
      </c>
      <c r="E2065" s="22" t="s">
        <v>3895</v>
      </c>
      <c r="F2065" s="22">
        <v>32.471031923799998</v>
      </c>
      <c r="G2065" s="22">
        <v>44.157986445399999</v>
      </c>
      <c r="H2065" s="21" t="s">
        <v>3858</v>
      </c>
      <c r="I2065" s="21" t="s">
        <v>3886</v>
      </c>
      <c r="J2065" s="21"/>
      <c r="K2065" s="24">
        <v>32</v>
      </c>
      <c r="L2065" s="24">
        <v>192</v>
      </c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>
        <v>32</v>
      </c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>
        <v>32</v>
      </c>
      <c r="AL2065" s="23"/>
      <c r="AM2065" s="23"/>
      <c r="AN2065" s="23"/>
      <c r="AO2065" s="23"/>
      <c r="AP2065" s="23">
        <v>32</v>
      </c>
      <c r="AQ2065" s="23"/>
      <c r="AR2065" s="23"/>
      <c r="AS2065" s="23"/>
      <c r="AT2065" s="23"/>
      <c r="AU2065" s="14" t="str">
        <f>HYPERLINK("http://www.openstreetmap.org/?mlat=32.0583&amp;mlon=44.2012&amp;zoom=12#map=12/32.0583/44.2012","Maplink1")</f>
        <v>Maplink1</v>
      </c>
      <c r="AV2065" s="14" t="str">
        <f>HYPERLINK("https://www.google.iq/maps/search/+32.0583,44.2012/@32.0583,44.2012,14z?hl=en","Maplink2")</f>
        <v>Maplink2</v>
      </c>
      <c r="AW2065" s="14" t="str">
        <f>HYPERLINK("http://www.bing.com/maps/?lvl=14&amp;sty=h&amp;cp=32.0583~44.2012&amp;sp=point.32.0583_44.2012_Al Rejeba","Maplink3")</f>
        <v>Maplink3</v>
      </c>
    </row>
    <row r="2066" spans="1:49" ht="15" customHeight="1" x14ac:dyDescent="0.25">
      <c r="A2066" s="21">
        <v>25845</v>
      </c>
      <c r="B2066" s="22" t="s">
        <v>16</v>
      </c>
      <c r="C2066" s="22" t="s">
        <v>3883</v>
      </c>
      <c r="D2066" s="22" t="s">
        <v>8840</v>
      </c>
      <c r="E2066" s="22" t="s">
        <v>2174</v>
      </c>
      <c r="F2066" s="22">
        <v>32.557553323</v>
      </c>
      <c r="G2066" s="22">
        <v>44.2247571889</v>
      </c>
      <c r="H2066" s="21" t="s">
        <v>3858</v>
      </c>
      <c r="I2066" s="21" t="s">
        <v>3886</v>
      </c>
      <c r="J2066" s="21"/>
      <c r="K2066" s="24">
        <v>33</v>
      </c>
      <c r="L2066" s="24">
        <v>198</v>
      </c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33</v>
      </c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>
        <v>4</v>
      </c>
      <c r="AK2066" s="23">
        <v>29</v>
      </c>
      <c r="AL2066" s="23"/>
      <c r="AM2066" s="23"/>
      <c r="AN2066" s="23"/>
      <c r="AO2066" s="23"/>
      <c r="AP2066" s="23">
        <v>33</v>
      </c>
      <c r="AQ2066" s="23"/>
      <c r="AR2066" s="23"/>
      <c r="AS2066" s="23"/>
      <c r="AT2066" s="23"/>
      <c r="AU2066" s="14" t="str">
        <f>HYPERLINK("http://www.openstreetmap.org/?mlat=32.5488&amp;mlon=44.2233&amp;zoom=12#map=12/32.5488/44.2233","Maplink1")</f>
        <v>Maplink1</v>
      </c>
      <c r="AV2066" s="14" t="str">
        <f>HYPERLINK("https://www.google.iq/maps/search/+32.5488,44.2233/@32.5488,44.2233,14z?hl=en","Maplink2")</f>
        <v>Maplink2</v>
      </c>
      <c r="AW2066" s="14" t="str">
        <f>HYPERLINK("http://www.bing.com/maps/?lvl=14&amp;sty=h&amp;cp=32.5488~44.2233&amp;sp=point.32.5488_44.2233_Al-Hindiya-Al Riyadh","Maplink3")</f>
        <v>Maplink3</v>
      </c>
    </row>
    <row r="2067" spans="1:49" ht="15" customHeight="1" x14ac:dyDescent="0.25">
      <c r="A2067" s="21">
        <v>14098</v>
      </c>
      <c r="B2067" s="22" t="s">
        <v>16</v>
      </c>
      <c r="C2067" s="22" t="s">
        <v>3883</v>
      </c>
      <c r="D2067" s="22" t="s">
        <v>4095</v>
      </c>
      <c r="E2067" s="22" t="s">
        <v>4096</v>
      </c>
      <c r="F2067" s="22">
        <v>32.586630648000003</v>
      </c>
      <c r="G2067" s="22">
        <v>44.147870829299997</v>
      </c>
      <c r="H2067" s="21" t="s">
        <v>3858</v>
      </c>
      <c r="I2067" s="21" t="s">
        <v>3934</v>
      </c>
      <c r="J2067" s="21" t="s">
        <v>4097</v>
      </c>
      <c r="K2067" s="24">
        <v>20</v>
      </c>
      <c r="L2067" s="24">
        <v>120</v>
      </c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>
        <v>20</v>
      </c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>
        <v>20</v>
      </c>
      <c r="AL2067" s="23"/>
      <c r="AM2067" s="23"/>
      <c r="AN2067" s="23"/>
      <c r="AO2067" s="23"/>
      <c r="AP2067" s="23">
        <v>20</v>
      </c>
      <c r="AQ2067" s="23"/>
      <c r="AR2067" s="23"/>
      <c r="AS2067" s="23"/>
      <c r="AT2067" s="23"/>
      <c r="AU2067" s="14" t="str">
        <f>HYPERLINK("http://www.openstreetmap.org/?mlat=32.5429&amp;mlon=44.1509&amp;zoom=12#map=12/32.5429/44.1509","Maplink1")</f>
        <v>Maplink1</v>
      </c>
      <c r="AV2067" s="14" t="str">
        <f>HYPERLINK("https://www.google.iq/maps/search/+32.5429,44.1509/@32.5429,44.1509,14z?hl=en","Maplink2")</f>
        <v>Maplink2</v>
      </c>
      <c r="AW2067" s="14" t="str">
        <f>HYPERLINK("http://www.bing.com/maps/?lvl=14&amp;sty=h&amp;cp=32.5429~44.1509&amp;sp=point.32.5429_44.1509_Al-Dikhaniyah Al-Sharqiyah","Maplink3")</f>
        <v>Maplink3</v>
      </c>
    </row>
    <row r="2068" spans="1:49" ht="15" customHeight="1" x14ac:dyDescent="0.25">
      <c r="A2068" s="21">
        <v>14106</v>
      </c>
      <c r="B2068" s="22" t="s">
        <v>16</v>
      </c>
      <c r="C2068" s="22" t="s">
        <v>3883</v>
      </c>
      <c r="D2068" s="22" t="s">
        <v>4098</v>
      </c>
      <c r="E2068" s="22" t="s">
        <v>4099</v>
      </c>
      <c r="F2068" s="22">
        <v>32.585237827199997</v>
      </c>
      <c r="G2068" s="22">
        <v>44.1578352358</v>
      </c>
      <c r="H2068" s="21" t="s">
        <v>3858</v>
      </c>
      <c r="I2068" s="21" t="s">
        <v>3934</v>
      </c>
      <c r="J2068" s="21" t="s">
        <v>4100</v>
      </c>
      <c r="K2068" s="24">
        <v>37</v>
      </c>
      <c r="L2068" s="24">
        <v>222</v>
      </c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>
        <v>37</v>
      </c>
      <c r="Z2068" s="23"/>
      <c r="AA2068" s="23"/>
      <c r="AB2068" s="23"/>
      <c r="AC2068" s="23"/>
      <c r="AD2068" s="23"/>
      <c r="AE2068" s="23"/>
      <c r="AF2068" s="23">
        <v>4</v>
      </c>
      <c r="AG2068" s="23"/>
      <c r="AH2068" s="23"/>
      <c r="AI2068" s="23"/>
      <c r="AJ2068" s="23"/>
      <c r="AK2068" s="23">
        <v>33</v>
      </c>
      <c r="AL2068" s="23"/>
      <c r="AM2068" s="23"/>
      <c r="AN2068" s="23"/>
      <c r="AO2068" s="23"/>
      <c r="AP2068" s="23">
        <v>37</v>
      </c>
      <c r="AQ2068" s="23"/>
      <c r="AR2068" s="23"/>
      <c r="AS2068" s="23"/>
      <c r="AT2068" s="23"/>
      <c r="AU2068" s="14" t="str">
        <f>HYPERLINK("http://www.openstreetmap.org/?mlat=32.5594&amp;mlon=44.1615&amp;zoom=12#map=12/32.5594/44.1615","Maplink1")</f>
        <v>Maplink1</v>
      </c>
      <c r="AV2068" s="14" t="str">
        <f>HYPERLINK("https://www.google.iq/maps/search/+32.5594,44.1615/@32.5594,44.1615,14z?hl=en","Maplink2")</f>
        <v>Maplink2</v>
      </c>
      <c r="AW2068" s="14" t="str">
        <f>HYPERLINK("http://www.bing.com/maps/?lvl=14&amp;sty=h&amp;cp=32.5594~44.1615&amp;sp=point.32.5594_44.1615_Al-Dikhaniyah Al-Wista","Maplink3")</f>
        <v>Maplink3</v>
      </c>
    </row>
    <row r="2069" spans="1:49" ht="15" customHeight="1" x14ac:dyDescent="0.25">
      <c r="A2069" s="21">
        <v>25553</v>
      </c>
      <c r="B2069" s="22" t="s">
        <v>16</v>
      </c>
      <c r="C2069" s="22" t="s">
        <v>3883</v>
      </c>
      <c r="D2069" s="22" t="s">
        <v>8841</v>
      </c>
      <c r="E2069" s="22" t="s">
        <v>8842</v>
      </c>
      <c r="F2069" s="22">
        <v>32.548511680200001</v>
      </c>
      <c r="G2069" s="22">
        <v>44.243368701999998</v>
      </c>
      <c r="H2069" s="21" t="s">
        <v>3858</v>
      </c>
      <c r="I2069" s="21" t="s">
        <v>3886</v>
      </c>
      <c r="J2069" s="21"/>
      <c r="K2069" s="24">
        <v>4</v>
      </c>
      <c r="L2069" s="24">
        <v>24</v>
      </c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>
        <v>4</v>
      </c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>
        <v>4</v>
      </c>
      <c r="AL2069" s="23"/>
      <c r="AM2069" s="23"/>
      <c r="AN2069" s="23"/>
      <c r="AO2069" s="23"/>
      <c r="AP2069" s="23">
        <v>4</v>
      </c>
      <c r="AQ2069" s="23"/>
      <c r="AR2069" s="23"/>
      <c r="AS2069" s="23"/>
      <c r="AT2069" s="23"/>
      <c r="AU2069" s="14" t="str">
        <f>HYPERLINK("http://www.openstreetmap.org/?mlat=32.541&amp;mlon=44.2148&amp;zoom=12#map=12/32.541/44.2148","Maplink1")</f>
        <v>Maplink1</v>
      </c>
      <c r="AV2069" s="14" t="str">
        <f>HYPERLINK("https://www.google.iq/maps/search/+32.541,44.2148/@32.541,44.2148,14z?hl=en","Maplink2")</f>
        <v>Maplink2</v>
      </c>
      <c r="AW2069" s="14" t="str">
        <f>HYPERLINK("http://www.bing.com/maps/?lvl=14&amp;sty=h&amp;cp=32.541~44.2148&amp;sp=point.32.541_44.2148_Door Al Hajar","Maplink3")</f>
        <v>Maplink3</v>
      </c>
    </row>
    <row r="2070" spans="1:49" ht="15" customHeight="1" x14ac:dyDescent="0.25">
      <c r="A2070" s="21">
        <v>14323</v>
      </c>
      <c r="B2070" s="22" t="s">
        <v>16</v>
      </c>
      <c r="C2070" s="22" t="s">
        <v>3883</v>
      </c>
      <c r="D2070" s="22" t="s">
        <v>8843</v>
      </c>
      <c r="E2070" s="22" t="s">
        <v>8844</v>
      </c>
      <c r="F2070" s="22">
        <v>32.5364572043</v>
      </c>
      <c r="G2070" s="22">
        <v>44.217713205099997</v>
      </c>
      <c r="H2070" s="21" t="s">
        <v>3858</v>
      </c>
      <c r="I2070" s="21" t="s">
        <v>3886</v>
      </c>
      <c r="J2070" s="21" t="s">
        <v>3923</v>
      </c>
      <c r="K2070" s="24">
        <v>65</v>
      </c>
      <c r="L2070" s="24">
        <v>390</v>
      </c>
      <c r="M2070" s="23"/>
      <c r="N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>
        <v>65</v>
      </c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>
        <v>10</v>
      </c>
      <c r="AK2070" s="23">
        <v>55</v>
      </c>
      <c r="AL2070" s="23"/>
      <c r="AM2070" s="23"/>
      <c r="AN2070" s="23"/>
      <c r="AO2070" s="23"/>
      <c r="AP2070" s="23">
        <v>65</v>
      </c>
      <c r="AQ2070" s="23"/>
      <c r="AR2070" s="23"/>
      <c r="AS2070" s="23"/>
      <c r="AT2070" s="23"/>
      <c r="AU2070" s="14" t="str">
        <f>HYPERLINK("http://www.openstreetmap.org/?mlat=32.5417&amp;mlon=44.2166&amp;zoom=12#map=12/32.5417/44.2166","Maplink1")</f>
        <v>Maplink1</v>
      </c>
      <c r="AV2070" s="14" t="str">
        <f>HYPERLINK("https://www.google.iq/maps/search/+32.5417,44.2166/@32.5417,44.2166,14z?hl=en","Maplink2")</f>
        <v>Maplink2</v>
      </c>
      <c r="AW2070" s="14" t="str">
        <f>HYPERLINK("http://www.bing.com/maps/?lvl=14&amp;sty=h&amp;cp=32.5417~44.2166&amp;sp=point.32.5417_44.2166_Hay Al-Amel","Maplink3")</f>
        <v>Maplink3</v>
      </c>
    </row>
    <row r="2071" spans="1:49" ht="15" customHeight="1" x14ac:dyDescent="0.25">
      <c r="A2071" s="21">
        <v>14097</v>
      </c>
      <c r="B2071" s="22" t="s">
        <v>16</v>
      </c>
      <c r="C2071" s="22" t="s">
        <v>3883</v>
      </c>
      <c r="D2071" s="22" t="s">
        <v>4116</v>
      </c>
      <c r="E2071" s="22" t="s">
        <v>4117</v>
      </c>
      <c r="F2071" s="22">
        <v>32.499903347299998</v>
      </c>
      <c r="G2071" s="22">
        <v>44.196943435800002</v>
      </c>
      <c r="H2071" s="21" t="s">
        <v>3858</v>
      </c>
      <c r="I2071" s="21" t="s">
        <v>3934</v>
      </c>
      <c r="J2071" s="21" t="s">
        <v>4118</v>
      </c>
      <c r="K2071" s="24">
        <v>25</v>
      </c>
      <c r="L2071" s="24">
        <v>150</v>
      </c>
      <c r="M2071" s="23">
        <v>4</v>
      </c>
      <c r="N2071" s="23"/>
      <c r="O2071" s="23">
        <v>1</v>
      </c>
      <c r="P2071" s="23"/>
      <c r="Q2071" s="23"/>
      <c r="R2071" s="23"/>
      <c r="S2071" s="23"/>
      <c r="T2071" s="23"/>
      <c r="U2071" s="23">
        <v>1</v>
      </c>
      <c r="V2071" s="23"/>
      <c r="W2071" s="23"/>
      <c r="X2071" s="23"/>
      <c r="Y2071" s="23">
        <v>19</v>
      </c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>
        <v>25</v>
      </c>
      <c r="AL2071" s="23"/>
      <c r="AM2071" s="23"/>
      <c r="AN2071" s="23"/>
      <c r="AO2071" s="23"/>
      <c r="AP2071" s="23">
        <v>25</v>
      </c>
      <c r="AQ2071" s="23"/>
      <c r="AR2071" s="23"/>
      <c r="AS2071" s="23"/>
      <c r="AT2071" s="23"/>
      <c r="AU2071" s="14" t="str">
        <f>HYPERLINK("http://www.openstreetmap.org/?mlat=32.4923&amp;mlon=44.1932&amp;zoom=12#map=12/32.4923/44.1932","Maplink1")</f>
        <v>Maplink1</v>
      </c>
      <c r="AV2071" s="14" t="str">
        <f>HYPERLINK("https://www.google.iq/maps/search/+32.4923,44.1932/@32.4923,44.1932,14z?hl=en","Maplink2")</f>
        <v>Maplink2</v>
      </c>
      <c r="AW2071" s="14" t="str">
        <f>HYPERLINK("http://www.bing.com/maps/?lvl=14&amp;sty=h&amp;cp=32.4923~44.1932&amp;sp=point.32.4923_44.1932_Al-Jadwal Al-Ghrabi-Al Askary","Maplink3")</f>
        <v>Maplink3</v>
      </c>
    </row>
    <row r="2072" spans="1:49" ht="15" customHeight="1" x14ac:dyDescent="0.25">
      <c r="A2072" s="21">
        <v>21235</v>
      </c>
      <c r="B2072" s="22" t="s">
        <v>16</v>
      </c>
      <c r="C2072" s="22" t="s">
        <v>3883</v>
      </c>
      <c r="D2072" s="22" t="s">
        <v>3896</v>
      </c>
      <c r="E2072" s="22" t="s">
        <v>3897</v>
      </c>
      <c r="F2072" s="22">
        <v>32.546128202200002</v>
      </c>
      <c r="G2072" s="22">
        <v>44.222657773599998</v>
      </c>
      <c r="H2072" s="21" t="s">
        <v>3858</v>
      </c>
      <c r="I2072" s="21" t="s">
        <v>3886</v>
      </c>
      <c r="J2072" s="21" t="s">
        <v>3898</v>
      </c>
      <c r="K2072" s="24">
        <v>8</v>
      </c>
      <c r="L2072" s="24">
        <v>48</v>
      </c>
      <c r="M2072" s="23"/>
      <c r="N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>
        <v>8</v>
      </c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>
        <v>8</v>
      </c>
      <c r="AL2072" s="23"/>
      <c r="AM2072" s="23"/>
      <c r="AN2072" s="23"/>
      <c r="AO2072" s="23"/>
      <c r="AP2072" s="23">
        <v>8</v>
      </c>
      <c r="AQ2072" s="23"/>
      <c r="AR2072" s="23"/>
      <c r="AS2072" s="23"/>
      <c r="AT2072" s="23"/>
      <c r="AU2072" s="14" t="str">
        <f>HYPERLINK("http://www.openstreetmap.org/?mlat=32.5524&amp;mlon=44.2265&amp;zoom=12#map=12/32.5524/44.2265","Maplink1")</f>
        <v>Maplink1</v>
      </c>
      <c r="AV2072" s="14" t="str">
        <f>HYPERLINK("https://www.google.iq/maps/search/+32.5524,44.2265/@32.5524,44.2265,14z?hl=en","Maplink2")</f>
        <v>Maplink2</v>
      </c>
      <c r="AW2072" s="14" t="str">
        <f>HYPERLINK("http://www.bing.com/maps/?lvl=14&amp;sty=h&amp;cp=32.5524~44.2265&amp;sp=point.32.5524_44.2265_Al-Kas Al Jonoby","Maplink3")</f>
        <v>Maplink3</v>
      </c>
    </row>
    <row r="2073" spans="1:49" ht="15" customHeight="1" x14ac:dyDescent="0.25">
      <c r="A2073" s="21">
        <v>13807</v>
      </c>
      <c r="B2073" s="22" t="s">
        <v>16</v>
      </c>
      <c r="C2073" s="22" t="s">
        <v>3883</v>
      </c>
      <c r="D2073" s="22" t="s">
        <v>3899</v>
      </c>
      <c r="E2073" s="22" t="s">
        <v>3900</v>
      </c>
      <c r="F2073" s="22">
        <v>32.5441419426</v>
      </c>
      <c r="G2073" s="22">
        <v>44.217679174600001</v>
      </c>
      <c r="H2073" s="21" t="s">
        <v>3858</v>
      </c>
      <c r="I2073" s="21" t="s">
        <v>3886</v>
      </c>
      <c r="J2073" s="21" t="s">
        <v>3901</v>
      </c>
      <c r="K2073" s="24">
        <v>12</v>
      </c>
      <c r="L2073" s="24">
        <v>72</v>
      </c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>
        <v>12</v>
      </c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10</v>
      </c>
      <c r="AL2073" s="23"/>
      <c r="AM2073" s="23">
        <v>2</v>
      </c>
      <c r="AN2073" s="23"/>
      <c r="AO2073" s="23"/>
      <c r="AP2073" s="23">
        <v>12</v>
      </c>
      <c r="AQ2073" s="23"/>
      <c r="AR2073" s="23"/>
      <c r="AS2073" s="23"/>
      <c r="AT2073" s="23"/>
      <c r="AU2073" s="14" t="str">
        <f>HYPERLINK("http://www.openstreetmap.org/?mlat=32.5377&amp;mlon=44.2268&amp;zoom=12#map=12/32.5377/44.2268","Maplink1")</f>
        <v>Maplink1</v>
      </c>
      <c r="AV2073" s="14" t="str">
        <f>HYPERLINK("https://www.google.iq/maps/search/+32.5377,44.2268/@32.5377,44.2268,14z?hl=en","Maplink2")</f>
        <v>Maplink2</v>
      </c>
      <c r="AW2073" s="14" t="str">
        <f>HYPERLINK("http://www.bing.com/maps/?lvl=14&amp;sty=h&amp;cp=32.5377~44.2268&amp;sp=point.32.5377_44.2268_Al-Kas Al-Shimaly","Maplink3")</f>
        <v>Maplink3</v>
      </c>
    </row>
    <row r="2074" spans="1:49" ht="15" customHeight="1" x14ac:dyDescent="0.25">
      <c r="A2074" s="21">
        <v>26009</v>
      </c>
      <c r="B2074" s="22" t="s">
        <v>16</v>
      </c>
      <c r="C2074" s="22" t="s">
        <v>3883</v>
      </c>
      <c r="D2074" s="22" t="s">
        <v>4124</v>
      </c>
      <c r="E2074" s="22" t="s">
        <v>4125</v>
      </c>
      <c r="F2074" s="22">
        <v>32.366740973699997</v>
      </c>
      <c r="G2074" s="22">
        <v>44.228686457499997</v>
      </c>
      <c r="H2074" s="21" t="s">
        <v>3858</v>
      </c>
      <c r="I2074" s="21" t="s">
        <v>3934</v>
      </c>
      <c r="J2074" s="21"/>
      <c r="K2074" s="24">
        <v>1595</v>
      </c>
      <c r="L2074" s="24">
        <v>9570</v>
      </c>
      <c r="M2074" s="23">
        <v>2</v>
      </c>
      <c r="N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>
        <v>1593</v>
      </c>
      <c r="Z2074" s="23"/>
      <c r="AA2074" s="23"/>
      <c r="AB2074" s="23"/>
      <c r="AC2074" s="23"/>
      <c r="AD2074" s="23"/>
      <c r="AE2074" s="23"/>
      <c r="AF2074" s="23">
        <v>32</v>
      </c>
      <c r="AG2074" s="23"/>
      <c r="AH2074" s="23"/>
      <c r="AI2074" s="23"/>
      <c r="AJ2074" s="23">
        <v>1510</v>
      </c>
      <c r="AK2074" s="23">
        <v>53</v>
      </c>
      <c r="AL2074" s="23"/>
      <c r="AM2074" s="23"/>
      <c r="AN2074" s="23"/>
      <c r="AO2074" s="23"/>
      <c r="AP2074" s="23"/>
      <c r="AQ2074" s="23">
        <v>1593</v>
      </c>
      <c r="AR2074" s="23"/>
      <c r="AS2074" s="23"/>
      <c r="AT2074" s="23">
        <v>2</v>
      </c>
      <c r="AU2074" s="14" t="str">
        <f>HYPERLINK("http://www.openstreetmap.org/?mlat=32.5222&amp;mlon=44.166&amp;zoom=12#map=12/32.5222/44.166","Maplink1")</f>
        <v>Maplink1</v>
      </c>
      <c r="AV2074" s="14" t="str">
        <f>HYPERLINK("https://www.google.iq/maps/search/+32.5222,44.166/@32.5222,44.166,14z?hl=en","Maplink2")</f>
        <v>Maplink2</v>
      </c>
      <c r="AW2074" s="14" t="str">
        <f>HYPERLINK("http://www.bing.com/maps/?lvl=14&amp;sty=h&amp;cp=32.5222~44.166&amp;sp=point.32.5222_44.166_Al-Khayrat","Maplink3")</f>
        <v>Maplink3</v>
      </c>
    </row>
    <row r="2075" spans="1:49" ht="15" customHeight="1" x14ac:dyDescent="0.25">
      <c r="A2075" s="21">
        <v>14298</v>
      </c>
      <c r="B2075" s="22" t="s">
        <v>16</v>
      </c>
      <c r="C2075" s="22" t="s">
        <v>3883</v>
      </c>
      <c r="D2075" s="22" t="s">
        <v>3902</v>
      </c>
      <c r="E2075" s="22" t="s">
        <v>3903</v>
      </c>
      <c r="F2075" s="22">
        <v>32.550767878999999</v>
      </c>
      <c r="G2075" s="22">
        <v>44.249178869600001</v>
      </c>
      <c r="H2075" s="21" t="s">
        <v>3858</v>
      </c>
      <c r="I2075" s="21" t="s">
        <v>3886</v>
      </c>
      <c r="J2075" s="21" t="s">
        <v>3904</v>
      </c>
      <c r="K2075" s="24">
        <v>30</v>
      </c>
      <c r="L2075" s="24">
        <v>180</v>
      </c>
      <c r="M2075" s="23"/>
      <c r="N2075" s="23"/>
      <c r="O2075" s="23">
        <v>10</v>
      </c>
      <c r="P2075" s="23"/>
      <c r="Q2075" s="23"/>
      <c r="R2075" s="23"/>
      <c r="S2075" s="23"/>
      <c r="T2075" s="23"/>
      <c r="U2075" s="23"/>
      <c r="V2075" s="23"/>
      <c r="W2075" s="23"/>
      <c r="X2075" s="23"/>
      <c r="Y2075" s="23">
        <v>20</v>
      </c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>
        <v>30</v>
      </c>
      <c r="AL2075" s="23"/>
      <c r="AM2075" s="23"/>
      <c r="AN2075" s="23"/>
      <c r="AO2075" s="23"/>
      <c r="AP2075" s="23">
        <v>20</v>
      </c>
      <c r="AQ2075" s="23">
        <v>10</v>
      </c>
      <c r="AR2075" s="23"/>
      <c r="AS2075" s="23"/>
      <c r="AT2075" s="23"/>
      <c r="AU2075" s="14" t="str">
        <f>HYPERLINK("http://www.openstreetmap.org/?mlat=32.5508&amp;mlon=44.2491&amp;zoom=12#map=12/32.5508/44.2491","Maplink1")</f>
        <v>Maplink1</v>
      </c>
      <c r="AV2075" s="14" t="str">
        <f>HYPERLINK("https://www.google.iq/maps/search/+32.5508,44.2491/@32.5508,44.2491,14z?hl=en","Maplink2")</f>
        <v>Maplink2</v>
      </c>
      <c r="AW2075" s="14" t="str">
        <f>HYPERLINK("http://www.bing.com/maps/?lvl=14&amp;sty=h&amp;cp=32.5508~44.2491&amp;sp=point.32.5508_44.2491_Al-Sakbaniyah","Maplink3")</f>
        <v>Maplink3</v>
      </c>
    </row>
    <row r="2076" spans="1:49" ht="15" customHeight="1" x14ac:dyDescent="0.25">
      <c r="A2076" s="21">
        <v>24522</v>
      </c>
      <c r="B2076" s="22" t="s">
        <v>16</v>
      </c>
      <c r="C2076" s="22" t="s">
        <v>3883</v>
      </c>
      <c r="D2076" s="22" t="s">
        <v>3905</v>
      </c>
      <c r="E2076" s="22" t="s">
        <v>3906</v>
      </c>
      <c r="F2076" s="22">
        <v>32.547115883799997</v>
      </c>
      <c r="G2076" s="22">
        <v>44.226733054999997</v>
      </c>
      <c r="H2076" s="21" t="s">
        <v>3858</v>
      </c>
      <c r="I2076" s="21" t="s">
        <v>3886</v>
      </c>
      <c r="J2076" s="21"/>
      <c r="K2076" s="24">
        <v>23</v>
      </c>
      <c r="L2076" s="24">
        <v>138</v>
      </c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>
        <v>23</v>
      </c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>
        <v>23</v>
      </c>
      <c r="AL2076" s="23"/>
      <c r="AM2076" s="23"/>
      <c r="AN2076" s="23"/>
      <c r="AO2076" s="23"/>
      <c r="AP2076" s="23">
        <v>23</v>
      </c>
      <c r="AQ2076" s="23"/>
      <c r="AR2076" s="23"/>
      <c r="AS2076" s="23"/>
      <c r="AT2076" s="23"/>
      <c r="AU2076" s="14" t="str">
        <f>HYPERLINK("http://www.openstreetmap.org/?mlat=32.481&amp;mlon=44.13&amp;zoom=12#map=12/32.481/44.13","Maplink1")</f>
        <v>Maplink1</v>
      </c>
      <c r="AV2076" s="14" t="str">
        <f>HYPERLINK("https://www.google.iq/maps/search/+32.481,44.13/@32.481,44.13,14z?hl=en","Maplink2")</f>
        <v>Maplink2</v>
      </c>
      <c r="AW2076" s="14" t="str">
        <f>HYPERLINK("http://www.bing.com/maps/?lvl=14&amp;sty=h&amp;cp=32.481~44.13&amp;sp=point.32.481_44.13_Al-Tanbi","Maplink3")</f>
        <v>Maplink3</v>
      </c>
    </row>
    <row r="2077" spans="1:49" ht="15" customHeight="1" x14ac:dyDescent="0.25">
      <c r="A2077" s="21">
        <v>26000</v>
      </c>
      <c r="B2077" s="22" t="s">
        <v>16</v>
      </c>
      <c r="C2077" s="22" t="s">
        <v>3883</v>
      </c>
      <c r="D2077" s="22" t="s">
        <v>8845</v>
      </c>
      <c r="E2077" s="22" t="s">
        <v>8846</v>
      </c>
      <c r="F2077" s="22">
        <v>32.556139715</v>
      </c>
      <c r="G2077" s="22">
        <v>44.074312671999998</v>
      </c>
      <c r="H2077" s="21" t="s">
        <v>3858</v>
      </c>
      <c r="I2077" s="21" t="s">
        <v>3934</v>
      </c>
      <c r="J2077" s="21"/>
      <c r="K2077" s="24">
        <v>20</v>
      </c>
      <c r="L2077" s="24">
        <v>120</v>
      </c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>
        <v>20</v>
      </c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>
        <v>20</v>
      </c>
      <c r="AL2077" s="23"/>
      <c r="AM2077" s="23"/>
      <c r="AN2077" s="23"/>
      <c r="AO2077" s="23"/>
      <c r="AP2077" s="23">
        <v>20</v>
      </c>
      <c r="AQ2077" s="23"/>
      <c r="AR2077" s="23"/>
      <c r="AS2077" s="23"/>
      <c r="AT2077" s="23"/>
      <c r="AU2077" s="14" t="str">
        <f>HYPERLINK("http://www.openstreetmap.org/?mlat=32.5689&amp;mlon=44.1065&amp;zoom=12#map=12/32.5689/44.1065","Maplink1")</f>
        <v>Maplink1</v>
      </c>
      <c r="AV2077" s="14" t="str">
        <f>HYPERLINK("https://www.google.iq/maps/search/+32.5689,44.1065/@32.5689,44.1065,14z?hl=en","Maplink2")</f>
        <v>Maplink2</v>
      </c>
      <c r="AW2077" s="14" t="str">
        <f>HYPERLINK("http://www.bing.com/maps/?lvl=14&amp;sty=h&amp;cp=32.5689~44.1065&amp;sp=point.32.5689_44.1065_Albo Saft","Maplink3")</f>
        <v>Maplink3</v>
      </c>
    </row>
    <row r="2078" spans="1:49" ht="15" customHeight="1" x14ac:dyDescent="0.25">
      <c r="A2078" s="21">
        <v>25485</v>
      </c>
      <c r="B2078" s="22" t="s">
        <v>16</v>
      </c>
      <c r="C2078" s="22" t="s">
        <v>3883</v>
      </c>
      <c r="D2078" s="22" t="s">
        <v>3907</v>
      </c>
      <c r="E2078" s="22" t="s">
        <v>3908</v>
      </c>
      <c r="F2078" s="22">
        <v>32.570964577600002</v>
      </c>
      <c r="G2078" s="22">
        <v>44.200469870100001</v>
      </c>
      <c r="H2078" s="21" t="s">
        <v>3858</v>
      </c>
      <c r="I2078" s="21" t="s">
        <v>3886</v>
      </c>
      <c r="J2078" s="21"/>
      <c r="K2078" s="24">
        <v>20</v>
      </c>
      <c r="L2078" s="24">
        <v>120</v>
      </c>
      <c r="M2078" s="23"/>
      <c r="N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>
        <v>20</v>
      </c>
      <c r="Z2078" s="23"/>
      <c r="AA2078" s="23"/>
      <c r="AB2078" s="23"/>
      <c r="AC2078" s="23"/>
      <c r="AD2078" s="23"/>
      <c r="AE2078" s="23"/>
      <c r="AF2078" s="23">
        <v>3</v>
      </c>
      <c r="AG2078" s="23"/>
      <c r="AH2078" s="23"/>
      <c r="AI2078" s="23"/>
      <c r="AJ2078" s="23"/>
      <c r="AK2078" s="23">
        <v>17</v>
      </c>
      <c r="AL2078" s="23"/>
      <c r="AM2078" s="23"/>
      <c r="AN2078" s="23"/>
      <c r="AO2078" s="23"/>
      <c r="AP2078" s="23">
        <v>20</v>
      </c>
      <c r="AQ2078" s="23"/>
      <c r="AR2078" s="23"/>
      <c r="AS2078" s="23"/>
      <c r="AT2078" s="23"/>
      <c r="AU2078" s="14" t="str">
        <f>HYPERLINK("http://www.openstreetmap.org/?mlat=32.5543&amp;mlon=44.2067&amp;zoom=12#map=12/32.5543/44.2067","Maplink1")</f>
        <v>Maplink1</v>
      </c>
      <c r="AV2078" s="14" t="str">
        <f>HYPERLINK("https://www.google.iq/maps/search/+32.5543,44.2067/@32.5543,44.2067,14z?hl=en","Maplink2")</f>
        <v>Maplink2</v>
      </c>
      <c r="AW2078" s="14" t="str">
        <f>HYPERLINK("http://www.bing.com/maps/?lvl=14&amp;sty=h&amp;cp=32.5543~44.2067&amp;sp=point.32.5543_44.2067_Albo Saho","Maplink3")</f>
        <v>Maplink3</v>
      </c>
    </row>
    <row r="2079" spans="1:49" ht="15" customHeight="1" x14ac:dyDescent="0.25">
      <c r="A2079" s="21">
        <v>25996</v>
      </c>
      <c r="B2079" s="22" t="s">
        <v>16</v>
      </c>
      <c r="C2079" s="22" t="s">
        <v>3883</v>
      </c>
      <c r="D2079" s="22" t="s">
        <v>4160</v>
      </c>
      <c r="E2079" s="22" t="s">
        <v>4161</v>
      </c>
      <c r="F2079" s="22">
        <v>32.541062347599997</v>
      </c>
      <c r="G2079" s="22">
        <v>44.096921011799999</v>
      </c>
      <c r="H2079" s="21" t="s">
        <v>3858</v>
      </c>
      <c r="I2079" s="21" t="s">
        <v>3934</v>
      </c>
      <c r="J2079" s="21"/>
      <c r="K2079" s="24">
        <v>65</v>
      </c>
      <c r="L2079" s="24">
        <v>390</v>
      </c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>
        <v>65</v>
      </c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>
        <v>65</v>
      </c>
      <c r="AK2079" s="23"/>
      <c r="AL2079" s="23"/>
      <c r="AM2079" s="23"/>
      <c r="AN2079" s="23"/>
      <c r="AO2079" s="23"/>
      <c r="AP2079" s="23">
        <v>65</v>
      </c>
      <c r="AQ2079" s="23"/>
      <c r="AR2079" s="23"/>
      <c r="AS2079" s="23"/>
      <c r="AT2079" s="23"/>
      <c r="AU2079" s="14" t="str">
        <f>HYPERLINK("http://www.openstreetmap.org/?mlat=32.5303&amp;mlon=44.1109&amp;zoom=12#map=12/32.5303/44.1109","Maplink1")</f>
        <v>Maplink1</v>
      </c>
      <c r="AV2079" s="14" t="str">
        <f>HYPERLINK("https://www.google.iq/maps/search/+32.5303,44.1109/@32.5303,44.1109,14z?hl=en","Maplink2")</f>
        <v>Maplink2</v>
      </c>
      <c r="AW2079" s="14" t="str">
        <f>HYPERLINK("http://www.bing.com/maps/?lvl=14&amp;sty=h&amp;cp=32.5303~44.1109&amp;sp=point.32.5303_44.1109_Albo Soof","Maplink3")</f>
        <v>Maplink3</v>
      </c>
    </row>
    <row r="2080" spans="1:49" ht="15" customHeight="1" x14ac:dyDescent="0.25">
      <c r="A2080" s="21">
        <v>26002</v>
      </c>
      <c r="B2080" s="22" t="s">
        <v>16</v>
      </c>
      <c r="C2080" s="22" t="s">
        <v>3883</v>
      </c>
      <c r="D2080" s="22" t="s">
        <v>4162</v>
      </c>
      <c r="E2080" s="22" t="s">
        <v>4163</v>
      </c>
      <c r="F2080" s="22">
        <v>32.542970278299997</v>
      </c>
      <c r="G2080" s="22">
        <v>44.093932947100001</v>
      </c>
      <c r="H2080" s="21" t="s">
        <v>3858</v>
      </c>
      <c r="I2080" s="21" t="s">
        <v>3934</v>
      </c>
      <c r="J2080" s="21"/>
      <c r="K2080" s="24">
        <v>41</v>
      </c>
      <c r="L2080" s="24">
        <v>246</v>
      </c>
      <c r="M2080" s="23"/>
      <c r="N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>
        <v>41</v>
      </c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>
        <v>41</v>
      </c>
      <c r="AK2080" s="23"/>
      <c r="AL2080" s="23"/>
      <c r="AM2080" s="23"/>
      <c r="AN2080" s="23"/>
      <c r="AO2080" s="23"/>
      <c r="AP2080" s="23">
        <v>41</v>
      </c>
      <c r="AQ2080" s="23"/>
      <c r="AR2080" s="23"/>
      <c r="AS2080" s="23"/>
      <c r="AT2080" s="23"/>
      <c r="AU2080" s="14" t="str">
        <f>HYPERLINK("http://www.openstreetmap.org/?mlat=32.5137&amp;mlon=44.1259&amp;zoom=12#map=12/32.5137/44.1259","Maplink1")</f>
        <v>Maplink1</v>
      </c>
      <c r="AV2080" s="14" t="str">
        <f>HYPERLINK("https://www.google.iq/maps/search/+32.5137,44.1259/@32.5137,44.1259,14z?hl=en","Maplink2")</f>
        <v>Maplink2</v>
      </c>
      <c r="AW2080" s="14" t="str">
        <f>HYPERLINK("http://www.bing.com/maps/?lvl=14&amp;sty=h&amp;cp=32.5137~44.1259&amp;sp=point.32.5137_44.1259_Albo Soof Al Gharbi","Maplink3")</f>
        <v>Maplink3</v>
      </c>
    </row>
    <row r="2081" spans="1:49" ht="15" customHeight="1" x14ac:dyDescent="0.25">
      <c r="A2081" s="21">
        <v>22785</v>
      </c>
      <c r="B2081" s="22" t="s">
        <v>16</v>
      </c>
      <c r="C2081" s="22" t="s">
        <v>3883</v>
      </c>
      <c r="D2081" s="22" t="s">
        <v>3909</v>
      </c>
      <c r="E2081" s="22" t="s">
        <v>3910</v>
      </c>
      <c r="F2081" s="22">
        <v>32.542093154</v>
      </c>
      <c r="G2081" s="22">
        <v>44.2412549537</v>
      </c>
      <c r="H2081" s="21" t="s">
        <v>3858</v>
      </c>
      <c r="I2081" s="21" t="s">
        <v>3886</v>
      </c>
      <c r="J2081" s="21" t="s">
        <v>3911</v>
      </c>
      <c r="K2081" s="24">
        <v>38</v>
      </c>
      <c r="L2081" s="24">
        <v>228</v>
      </c>
      <c r="M2081" s="23"/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>
        <v>38</v>
      </c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>
        <v>17</v>
      </c>
      <c r="AK2081" s="23">
        <v>21</v>
      </c>
      <c r="AL2081" s="23"/>
      <c r="AM2081" s="23"/>
      <c r="AN2081" s="23"/>
      <c r="AO2081" s="23"/>
      <c r="AP2081" s="23">
        <v>38</v>
      </c>
      <c r="AQ2081" s="23"/>
      <c r="AR2081" s="23"/>
      <c r="AS2081" s="23"/>
      <c r="AT2081" s="23"/>
      <c r="AU2081" s="14" t="str">
        <f>HYPERLINK("http://www.openstreetmap.org/?mlat=32.5511&amp;mlon=44.2294&amp;zoom=12#map=12/32.5511/44.2294","Maplink1")</f>
        <v>Maplink1</v>
      </c>
      <c r="AV2081" s="14" t="str">
        <f>HYPERLINK("https://www.google.iq/maps/search/+32.5511,44.2294/@32.5511,44.2294,14z?hl=en","Maplink2")</f>
        <v>Maplink2</v>
      </c>
      <c r="AW2081" s="14" t="str">
        <f>HYPERLINK("http://www.bing.com/maps/?lvl=14&amp;sty=h&amp;cp=32.5511~44.2294&amp;sp=point.32.5511_44.2294_Albu Aziz","Maplink3")</f>
        <v>Maplink3</v>
      </c>
    </row>
    <row r="2082" spans="1:49" ht="15" customHeight="1" x14ac:dyDescent="0.25">
      <c r="A2082" s="21">
        <v>23743</v>
      </c>
      <c r="B2082" s="22" t="s">
        <v>16</v>
      </c>
      <c r="C2082" s="22" t="s">
        <v>3883</v>
      </c>
      <c r="D2082" s="22" t="s">
        <v>3912</v>
      </c>
      <c r="E2082" s="22" t="s">
        <v>3913</v>
      </c>
      <c r="F2082" s="22">
        <v>32.613395363999999</v>
      </c>
      <c r="G2082" s="22">
        <v>44.237480247400001</v>
      </c>
      <c r="H2082" s="21" t="s">
        <v>3858</v>
      </c>
      <c r="I2082" s="21" t="s">
        <v>3886</v>
      </c>
      <c r="J2082" s="21" t="s">
        <v>3914</v>
      </c>
      <c r="K2082" s="24">
        <v>8</v>
      </c>
      <c r="L2082" s="24">
        <v>48</v>
      </c>
      <c r="M2082" s="23">
        <v>2</v>
      </c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>
        <v>6</v>
      </c>
      <c r="Z2082" s="23"/>
      <c r="AA2082" s="23"/>
      <c r="AB2082" s="23"/>
      <c r="AC2082" s="23"/>
      <c r="AD2082" s="23"/>
      <c r="AE2082" s="23"/>
      <c r="AF2082" s="23">
        <v>2</v>
      </c>
      <c r="AG2082" s="23"/>
      <c r="AH2082" s="23"/>
      <c r="AI2082" s="23"/>
      <c r="AJ2082" s="23"/>
      <c r="AK2082" s="23">
        <v>6</v>
      </c>
      <c r="AL2082" s="23"/>
      <c r="AM2082" s="23"/>
      <c r="AN2082" s="23"/>
      <c r="AO2082" s="23">
        <v>2</v>
      </c>
      <c r="AP2082" s="23">
        <v>6</v>
      </c>
      <c r="AQ2082" s="23"/>
      <c r="AR2082" s="23"/>
      <c r="AS2082" s="23"/>
      <c r="AT2082" s="23"/>
      <c r="AU2082" s="14" t="str">
        <f>HYPERLINK("http://www.openstreetmap.org/?mlat=32.6148&amp;mlon=44.2347&amp;zoom=12#map=12/32.6148/44.2347","Maplink1")</f>
        <v>Maplink1</v>
      </c>
      <c r="AV2082" s="14" t="str">
        <f>HYPERLINK("https://www.google.iq/maps/search/+32.6148,44.2347/@32.6148,44.2347,14z?hl=en","Maplink2")</f>
        <v>Maplink2</v>
      </c>
      <c r="AW2082" s="14" t="str">
        <f>HYPERLINK("http://www.bing.com/maps/?lvl=14&amp;sty=h&amp;cp=32.6148~44.2347&amp;sp=point.32.6148_44.2347_Albu Kredah","Maplink3")</f>
        <v>Maplink3</v>
      </c>
    </row>
    <row r="2083" spans="1:49" ht="15" customHeight="1" x14ac:dyDescent="0.25">
      <c r="A2083" s="21">
        <v>25994</v>
      </c>
      <c r="B2083" s="22" t="s">
        <v>16</v>
      </c>
      <c r="C2083" s="22" t="s">
        <v>3883</v>
      </c>
      <c r="D2083" s="22" t="s">
        <v>4164</v>
      </c>
      <c r="E2083" s="22" t="s">
        <v>4165</v>
      </c>
      <c r="F2083" s="22">
        <v>32.4656641949</v>
      </c>
      <c r="G2083" s="22">
        <v>44.161232672600001</v>
      </c>
      <c r="H2083" s="21" t="s">
        <v>3858</v>
      </c>
      <c r="I2083" s="21" t="s">
        <v>3934</v>
      </c>
      <c r="J2083" s="21"/>
      <c r="K2083" s="24">
        <v>260</v>
      </c>
      <c r="L2083" s="24">
        <v>1560</v>
      </c>
      <c r="M2083" s="23">
        <v>2</v>
      </c>
      <c r="N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>
        <v>258</v>
      </c>
      <c r="Z2083" s="23"/>
      <c r="AA2083" s="23"/>
      <c r="AB2083" s="23"/>
      <c r="AC2083" s="23"/>
      <c r="AD2083" s="23"/>
      <c r="AE2083" s="23"/>
      <c r="AF2083" s="23"/>
      <c r="AG2083" s="23"/>
      <c r="AH2083" s="23">
        <v>8</v>
      </c>
      <c r="AI2083" s="23"/>
      <c r="AJ2083" s="23">
        <v>252</v>
      </c>
      <c r="AK2083" s="23"/>
      <c r="AL2083" s="23"/>
      <c r="AM2083" s="23"/>
      <c r="AN2083" s="23"/>
      <c r="AO2083" s="23"/>
      <c r="AP2083" s="23">
        <v>260</v>
      </c>
      <c r="AQ2083" s="23"/>
      <c r="AR2083" s="23"/>
      <c r="AS2083" s="23"/>
      <c r="AT2083" s="23"/>
      <c r="AU2083" s="14" t="str">
        <f>HYPERLINK("http://www.openstreetmap.org/?mlat=32.4913&amp;mlon=44.1456&amp;zoom=12#map=12/32.4913/44.1456","Maplink1")</f>
        <v>Maplink1</v>
      </c>
      <c r="AV2083" s="14" t="str">
        <f>HYPERLINK("https://www.google.iq/maps/search/+32.4913,44.1456/@32.4913,44.1456,14z?hl=en","Maplink2")</f>
        <v>Maplink2</v>
      </c>
      <c r="AW2083" s="14" t="str">
        <f>HYPERLINK("http://www.bing.com/maps/?lvl=14&amp;sty=h&amp;cp=32.4913~44.1456&amp;sp=point.32.4913_44.1456_Albu Zagam","Maplink3")</f>
        <v>Maplink3</v>
      </c>
    </row>
    <row r="2084" spans="1:49" ht="15" customHeight="1" x14ac:dyDescent="0.25">
      <c r="A2084" s="21">
        <v>25486</v>
      </c>
      <c r="B2084" s="22" t="s">
        <v>16</v>
      </c>
      <c r="C2084" s="22" t="s">
        <v>3883</v>
      </c>
      <c r="D2084" s="22" t="s">
        <v>3916</v>
      </c>
      <c r="E2084" s="22" t="s">
        <v>3917</v>
      </c>
      <c r="F2084" s="22">
        <v>32.554070223099998</v>
      </c>
      <c r="G2084" s="22">
        <v>44.210777515499998</v>
      </c>
      <c r="H2084" s="21" t="s">
        <v>3858</v>
      </c>
      <c r="I2084" s="21" t="s">
        <v>3886</v>
      </c>
      <c r="J2084" s="21"/>
      <c r="K2084" s="24">
        <v>25</v>
      </c>
      <c r="L2084" s="24">
        <v>150</v>
      </c>
      <c r="M2084" s="23">
        <v>1</v>
      </c>
      <c r="N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>
        <v>24</v>
      </c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>
        <v>15</v>
      </c>
      <c r="AK2084" s="23">
        <v>10</v>
      </c>
      <c r="AL2084" s="23"/>
      <c r="AM2084" s="23"/>
      <c r="AN2084" s="23"/>
      <c r="AO2084" s="23">
        <v>1</v>
      </c>
      <c r="AP2084" s="23">
        <v>24</v>
      </c>
      <c r="AQ2084" s="23"/>
      <c r="AR2084" s="23"/>
      <c r="AS2084" s="23"/>
      <c r="AT2084" s="23"/>
      <c r="AU2084" s="14" t="str">
        <f>HYPERLINK("http://www.openstreetmap.org/?mlat=32.5535&amp;mlon=44.2076&amp;zoom=12#map=12/32.5535/44.2076","Maplink1")</f>
        <v>Maplink1</v>
      </c>
      <c r="AV2084" s="14" t="str">
        <f>HYPERLINK("https://www.google.iq/maps/search/+32.5535,44.2076/@32.5535,44.2076,14z?hl=en","Maplink2")</f>
        <v>Maplink2</v>
      </c>
      <c r="AW2084" s="14" t="str">
        <f>HYPERLINK("http://www.bing.com/maps/?lvl=14&amp;sty=h&amp;cp=32.5535~44.2076&amp;sp=point.32.5535_44.2076_emlbege(hay al salam)","Maplink3")</f>
        <v>Maplink3</v>
      </c>
    </row>
    <row r="2085" spans="1:49" ht="15" customHeight="1" x14ac:dyDescent="0.25">
      <c r="A2085" s="21">
        <v>22285</v>
      </c>
      <c r="B2085" s="22" t="s">
        <v>16</v>
      </c>
      <c r="C2085" s="22" t="s">
        <v>3883</v>
      </c>
      <c r="D2085" s="22" t="s">
        <v>3918</v>
      </c>
      <c r="E2085" s="22" t="s">
        <v>3919</v>
      </c>
      <c r="F2085" s="22">
        <v>32.545777335799997</v>
      </c>
      <c r="G2085" s="22">
        <v>44.256703555599998</v>
      </c>
      <c r="H2085" s="21" t="s">
        <v>3858</v>
      </c>
      <c r="I2085" s="21" t="s">
        <v>3886</v>
      </c>
      <c r="J2085" s="21" t="s">
        <v>3920</v>
      </c>
      <c r="K2085" s="24">
        <v>2</v>
      </c>
      <c r="L2085" s="24">
        <v>12</v>
      </c>
      <c r="M2085" s="23"/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2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>
        <v>2</v>
      </c>
      <c r="AL2085" s="23"/>
      <c r="AM2085" s="23"/>
      <c r="AN2085" s="23"/>
      <c r="AO2085" s="23"/>
      <c r="AP2085" s="23">
        <v>2</v>
      </c>
      <c r="AQ2085" s="23"/>
      <c r="AR2085" s="23"/>
      <c r="AS2085" s="23"/>
      <c r="AT2085" s="23"/>
      <c r="AU2085" s="14" t="str">
        <f>HYPERLINK("http://www.openstreetmap.org/?mlat=32.5459&amp;mlon=44.2567&amp;zoom=12#map=12/32.5459/44.2567","Maplink1")</f>
        <v>Maplink1</v>
      </c>
      <c r="AV2085" s="14" t="str">
        <f>HYPERLINK("https://www.google.iq/maps/search/+32.5459,44.2567/@32.5459,44.2567,14z?hl=en","Maplink2")</f>
        <v>Maplink2</v>
      </c>
      <c r="AW2085" s="14" t="str">
        <f>HYPERLINK("http://www.bing.com/maps/?lvl=14&amp;sty=h&amp;cp=32.5459~44.2567&amp;sp=point.32.5459_44.2567_Hay Al Askari-Mahalla 113","Maplink3")</f>
        <v>Maplink3</v>
      </c>
    </row>
    <row r="2086" spans="1:49" ht="15" customHeight="1" x14ac:dyDescent="0.25">
      <c r="A2086" s="21">
        <v>25489</v>
      </c>
      <c r="B2086" s="22" t="s">
        <v>16</v>
      </c>
      <c r="C2086" s="22" t="s">
        <v>3883</v>
      </c>
      <c r="D2086" s="22" t="s">
        <v>3921</v>
      </c>
      <c r="E2086" s="22" t="s">
        <v>3553</v>
      </c>
      <c r="F2086" s="22">
        <v>32.559137251199999</v>
      </c>
      <c r="G2086" s="22">
        <v>44.204788981</v>
      </c>
      <c r="H2086" s="21" t="s">
        <v>3858</v>
      </c>
      <c r="I2086" s="21" t="s">
        <v>3886</v>
      </c>
      <c r="J2086" s="21"/>
      <c r="K2086" s="24">
        <v>35</v>
      </c>
      <c r="L2086" s="24">
        <v>210</v>
      </c>
      <c r="M2086" s="23"/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35</v>
      </c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>
        <v>35</v>
      </c>
      <c r="AK2086" s="23"/>
      <c r="AL2086" s="23"/>
      <c r="AM2086" s="23"/>
      <c r="AN2086" s="23"/>
      <c r="AO2086" s="23"/>
      <c r="AP2086" s="23">
        <v>35</v>
      </c>
      <c r="AQ2086" s="23"/>
      <c r="AR2086" s="23"/>
      <c r="AS2086" s="23"/>
      <c r="AT2086" s="23"/>
      <c r="AU2086" s="14" t="str">
        <f>HYPERLINK("http://www.openstreetmap.org/?mlat=32.5651&amp;mlon=44.204&amp;zoom=12#map=12/32.5651/44.204","Maplink1")</f>
        <v>Maplink1</v>
      </c>
      <c r="AV2086" s="14" t="str">
        <f>HYPERLINK("https://www.google.iq/maps/search/+32.5651,44.204/@32.5651,44.204,14z?hl=en","Maplink2")</f>
        <v>Maplink2</v>
      </c>
      <c r="AW2086" s="14" t="str">
        <f>HYPERLINK("http://www.bing.com/maps/?lvl=14&amp;sty=h&amp;cp=32.5651~44.204&amp;sp=point.32.5651_44.204_Hay Al Zeraa","Maplink3")</f>
        <v>Maplink3</v>
      </c>
    </row>
    <row r="2087" spans="1:49" ht="15" customHeight="1" x14ac:dyDescent="0.25">
      <c r="A2087" s="21">
        <v>27335</v>
      </c>
      <c r="B2087" s="22" t="s">
        <v>16</v>
      </c>
      <c r="C2087" s="22" t="s">
        <v>3883</v>
      </c>
      <c r="D2087" s="22" t="s">
        <v>7333</v>
      </c>
      <c r="E2087" s="22" t="s">
        <v>8038</v>
      </c>
      <c r="F2087" s="22">
        <v>32.549986056999998</v>
      </c>
      <c r="G2087" s="22">
        <v>44.083656650000002</v>
      </c>
      <c r="H2087" s="21" t="s">
        <v>3858</v>
      </c>
      <c r="I2087" s="21" t="s">
        <v>3886</v>
      </c>
      <c r="J2087" s="21"/>
      <c r="K2087" s="24">
        <v>130</v>
      </c>
      <c r="L2087" s="24">
        <v>780</v>
      </c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130</v>
      </c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>
        <v>130</v>
      </c>
      <c r="AK2087" s="23"/>
      <c r="AL2087" s="23"/>
      <c r="AM2087" s="23"/>
      <c r="AN2087" s="23"/>
      <c r="AO2087" s="23"/>
      <c r="AP2087" s="23">
        <v>130</v>
      </c>
      <c r="AQ2087" s="23"/>
      <c r="AR2087" s="23"/>
      <c r="AS2087" s="23"/>
      <c r="AT2087" s="23"/>
      <c r="AU2087" s="14" t="str">
        <f>HYPERLINK("http://www.openstreetmap.org/?mlat=32.4679&amp;mlon=44.1595&amp;zoom=12#map=12/32.4679/44.1595","Maplink1")</f>
        <v>Maplink1</v>
      </c>
      <c r="AV2087" s="14" t="str">
        <f>HYPERLINK("https://www.google.iq/maps/search/+32.4679,44.1595/@32.4679,44.1595,14z?hl=en","Maplink2")</f>
        <v>Maplink2</v>
      </c>
      <c r="AW2087" s="14" t="str">
        <f>HYPERLINK("http://www.bing.com/maps/?lvl=14&amp;sty=h&amp;cp=32.4679~44.1595&amp;sp=point.32.4679_44.1595_Al abodea","Maplink3")</f>
        <v>Maplink3</v>
      </c>
    </row>
    <row r="2088" spans="1:49" ht="15" customHeight="1" x14ac:dyDescent="0.25">
      <c r="A2088" s="21">
        <v>25997</v>
      </c>
      <c r="B2088" s="22" t="s">
        <v>16</v>
      </c>
      <c r="C2088" s="22" t="s">
        <v>3883</v>
      </c>
      <c r="D2088" s="22" t="s">
        <v>4312</v>
      </c>
      <c r="E2088" s="22" t="s">
        <v>4313</v>
      </c>
      <c r="F2088" s="22">
        <v>32.5318915816</v>
      </c>
      <c r="G2088" s="22">
        <v>44.225495802200001</v>
      </c>
      <c r="H2088" s="21" t="s">
        <v>3858</v>
      </c>
      <c r="I2088" s="21" t="s">
        <v>3934</v>
      </c>
      <c r="J2088" s="21"/>
      <c r="K2088" s="24">
        <v>29</v>
      </c>
      <c r="L2088" s="24">
        <v>174</v>
      </c>
      <c r="M2088" s="23"/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29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29</v>
      </c>
      <c r="AL2088" s="23"/>
      <c r="AM2088" s="23"/>
      <c r="AN2088" s="23"/>
      <c r="AO2088" s="23"/>
      <c r="AP2088" s="23">
        <v>29</v>
      </c>
      <c r="AQ2088" s="23"/>
      <c r="AR2088" s="23"/>
      <c r="AS2088" s="23"/>
      <c r="AT2088" s="23"/>
      <c r="AU2088" s="14" t="str">
        <f>HYPERLINK("http://www.openstreetmap.org/?mlat=32.5475&amp;mlon=44.1422&amp;zoom=12#map=12/32.5475/44.1422","Maplink1")</f>
        <v>Maplink1</v>
      </c>
      <c r="AV2088" s="14" t="str">
        <f>HYPERLINK("https://www.google.iq/maps/search/+32.5475,44.1422/@32.5475,44.1422,14z?hl=en","Maplink2")</f>
        <v>Maplink2</v>
      </c>
      <c r="AW2088" s="14" t="str">
        <f>HYPERLINK("http://www.bing.com/maps/?lvl=14&amp;sty=h&amp;cp=32.5475~44.1422&amp;sp=point.32.5475_44.1422_Mahoor Karbala-Hindiya","Maplink3")</f>
        <v>Maplink3</v>
      </c>
    </row>
    <row r="2089" spans="1:49" ht="15" customHeight="1" x14ac:dyDescent="0.25">
      <c r="A2089" s="21">
        <v>13985</v>
      </c>
      <c r="B2089" s="22" t="s">
        <v>16</v>
      </c>
      <c r="C2089" s="22" t="s">
        <v>3883</v>
      </c>
      <c r="D2089" s="22" t="s">
        <v>3924</v>
      </c>
      <c r="E2089" s="22" t="s">
        <v>3925</v>
      </c>
      <c r="F2089" s="22">
        <v>32.562544243399998</v>
      </c>
      <c r="G2089" s="22">
        <v>44.064915720400002</v>
      </c>
      <c r="H2089" s="21" t="s">
        <v>3858</v>
      </c>
      <c r="I2089" s="21" t="s">
        <v>3886</v>
      </c>
      <c r="J2089" s="21" t="s">
        <v>3926</v>
      </c>
      <c r="K2089" s="24">
        <v>160</v>
      </c>
      <c r="L2089" s="24">
        <v>960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160</v>
      </c>
      <c r="Z2089" s="23"/>
      <c r="AA2089" s="23"/>
      <c r="AB2089" s="23"/>
      <c r="AC2089" s="23"/>
      <c r="AD2089" s="23"/>
      <c r="AE2089" s="23"/>
      <c r="AF2089" s="23"/>
      <c r="AG2089" s="23"/>
      <c r="AH2089" s="23">
        <v>6</v>
      </c>
      <c r="AI2089" s="23"/>
      <c r="AJ2089" s="23">
        <v>154</v>
      </c>
      <c r="AK2089" s="23"/>
      <c r="AL2089" s="23"/>
      <c r="AM2089" s="23"/>
      <c r="AN2089" s="23"/>
      <c r="AO2089" s="23"/>
      <c r="AP2089" s="23">
        <v>160</v>
      </c>
      <c r="AQ2089" s="23"/>
      <c r="AR2089" s="23"/>
      <c r="AS2089" s="23"/>
      <c r="AT2089" s="23"/>
      <c r="AU2089" s="14" t="str">
        <f>HYPERLINK("http://www.openstreetmap.org/?mlat=32.566&amp;mlon=44.0729&amp;zoom=12#map=12/32.566/44.0729","Maplink1")</f>
        <v>Maplink1</v>
      </c>
      <c r="AV2089" s="14" t="str">
        <f>HYPERLINK("https://www.google.iq/maps/search/+32.566,44.0729/@32.566,44.0729,14z?hl=en","Maplink2")</f>
        <v>Maplink2</v>
      </c>
      <c r="AW2089" s="14" t="str">
        <f>HYPERLINK("http://www.bing.com/maps/?lvl=14&amp;sty=h&amp;cp=32.566~44.0729&amp;sp=point.32.566_44.0729_Mantakat Al hnedea","Maplink3")</f>
        <v>Maplink3</v>
      </c>
    </row>
    <row r="2090" spans="1:49" ht="15" customHeight="1" x14ac:dyDescent="0.25">
      <c r="A2090" s="21">
        <v>25975</v>
      </c>
      <c r="B2090" s="22" t="s">
        <v>16</v>
      </c>
      <c r="C2090" s="22" t="s">
        <v>3883</v>
      </c>
      <c r="D2090" s="22" t="s">
        <v>4322</v>
      </c>
      <c r="E2090" s="22" t="s">
        <v>4323</v>
      </c>
      <c r="F2090" s="22">
        <v>32.524595176799998</v>
      </c>
      <c r="G2090" s="22">
        <v>44.104060381700002</v>
      </c>
      <c r="H2090" s="21" t="s">
        <v>3858</v>
      </c>
      <c r="I2090" s="21" t="s">
        <v>3934</v>
      </c>
      <c r="J2090" s="21"/>
      <c r="K2090" s="24">
        <v>1300</v>
      </c>
      <c r="L2090" s="24">
        <v>7800</v>
      </c>
      <c r="M2090" s="23">
        <v>9</v>
      </c>
      <c r="N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>
        <v>1291</v>
      </c>
      <c r="Z2090" s="23"/>
      <c r="AA2090" s="23"/>
      <c r="AB2090" s="23"/>
      <c r="AC2090" s="23"/>
      <c r="AD2090" s="23"/>
      <c r="AE2090" s="23">
        <v>1300</v>
      </c>
      <c r="AF2090" s="23"/>
      <c r="AG2090" s="23"/>
      <c r="AH2090" s="23"/>
      <c r="AI2090" s="23"/>
      <c r="AJ2090" s="23"/>
      <c r="AK2090" s="23"/>
      <c r="AL2090" s="23"/>
      <c r="AM2090" s="23"/>
      <c r="AN2090" s="23"/>
      <c r="AO2090" s="23">
        <v>9</v>
      </c>
      <c r="AP2090" s="23">
        <v>1291</v>
      </c>
      <c r="AQ2090" s="23"/>
      <c r="AR2090" s="23"/>
      <c r="AS2090" s="23"/>
      <c r="AT2090" s="23"/>
      <c r="AU2090" s="14" t="str">
        <f>HYPERLINK("http://www.openstreetmap.org/?mlat=32.5208&amp;mlon=44.1071&amp;zoom=12#map=12/32.5208/44.1071","Maplink1")</f>
        <v>Maplink1</v>
      </c>
      <c r="AV2090" s="14" t="str">
        <f>HYPERLINK("https://www.google.iq/maps/search/+32.5208,44.1071/@32.5208,44.1071,14z?hl=en","Maplink2")</f>
        <v>Maplink2</v>
      </c>
      <c r="AW2090" s="14" t="str">
        <f>HYPERLINK("http://www.bing.com/maps/?lvl=14&amp;sty=h&amp;cp=32.5208~44.1071&amp;sp=point.32.5208_44.1071_MODM Camp","Maplink3")</f>
        <v>Maplink3</v>
      </c>
    </row>
    <row r="2091" spans="1:49" ht="15" customHeight="1" x14ac:dyDescent="0.25">
      <c r="A2091" s="21">
        <v>26005</v>
      </c>
      <c r="B2091" s="22" t="s">
        <v>16</v>
      </c>
      <c r="C2091" s="22" t="s">
        <v>3883</v>
      </c>
      <c r="D2091" s="22" t="s">
        <v>4341</v>
      </c>
      <c r="E2091" s="22" t="s">
        <v>4342</v>
      </c>
      <c r="F2091" s="22">
        <v>32.493503387099999</v>
      </c>
      <c r="G2091" s="22">
        <v>44.236981021200002</v>
      </c>
      <c r="H2091" s="21" t="s">
        <v>3858</v>
      </c>
      <c r="I2091" s="21" t="s">
        <v>3934</v>
      </c>
      <c r="J2091" s="21"/>
      <c r="K2091" s="24">
        <v>11</v>
      </c>
      <c r="L2091" s="24">
        <v>66</v>
      </c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11</v>
      </c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>
        <v>11</v>
      </c>
      <c r="AL2091" s="23"/>
      <c r="AM2091" s="23"/>
      <c r="AN2091" s="23"/>
      <c r="AO2091" s="23"/>
      <c r="AP2091" s="23">
        <v>11</v>
      </c>
      <c r="AQ2091" s="23"/>
      <c r="AR2091" s="23"/>
      <c r="AS2091" s="23"/>
      <c r="AT2091" s="23"/>
      <c r="AU2091" s="14" t="str">
        <f>HYPERLINK("http://www.openstreetmap.org/?mlat=32.5286&amp;mlon=44.1255&amp;zoom=12#map=12/32.5286/44.1255","Maplink1")</f>
        <v>Maplink1</v>
      </c>
      <c r="AV2091" s="14" t="str">
        <f>HYPERLINK("https://www.google.iq/maps/search/+32.5286,44.1255/@32.5286,44.1255,14z?hl=en","Maplink2")</f>
        <v>Maplink2</v>
      </c>
      <c r="AW2091" s="14" t="str">
        <f>HYPERLINK("http://www.bing.com/maps/?lvl=14&amp;sty=h&amp;cp=32.5286~44.1255&amp;sp=point.32.5286_44.1255_Shat Alaa","Maplink3")</f>
        <v>Maplink3</v>
      </c>
    </row>
    <row r="2092" spans="1:49" ht="15" customHeight="1" x14ac:dyDescent="0.25">
      <c r="A2092" s="21">
        <v>25545</v>
      </c>
      <c r="B2092" s="22" t="s">
        <v>16</v>
      </c>
      <c r="C2092" s="22" t="s">
        <v>3883</v>
      </c>
      <c r="D2092" s="22" t="s">
        <v>3927</v>
      </c>
      <c r="E2092" s="22" t="s">
        <v>3928</v>
      </c>
      <c r="F2092" s="22">
        <v>32.526058447499999</v>
      </c>
      <c r="G2092" s="22">
        <v>44.220758853500001</v>
      </c>
      <c r="H2092" s="21" t="s">
        <v>3858</v>
      </c>
      <c r="I2092" s="21" t="s">
        <v>3886</v>
      </c>
      <c r="J2092" s="21"/>
      <c r="K2092" s="24">
        <v>15</v>
      </c>
      <c r="L2092" s="24">
        <v>90</v>
      </c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15</v>
      </c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>
        <v>15</v>
      </c>
      <c r="AL2092" s="23"/>
      <c r="AM2092" s="23"/>
      <c r="AN2092" s="23"/>
      <c r="AO2092" s="23"/>
      <c r="AP2092" s="23">
        <v>15</v>
      </c>
      <c r="AQ2092" s="23"/>
      <c r="AR2092" s="23"/>
      <c r="AS2092" s="23"/>
      <c r="AT2092" s="23"/>
      <c r="AU2092" s="14" t="str">
        <f>HYPERLINK("http://www.openstreetmap.org/?mlat=32.5397&amp;mlon=44.2362&amp;zoom=12#map=12/32.5397/44.2362","Maplink1")</f>
        <v>Maplink1</v>
      </c>
      <c r="AV2092" s="14" t="str">
        <f>HYPERLINK("https://www.google.iq/maps/search/+32.5397,44.2362/@32.5397,44.2362,14z?hl=en","Maplink2")</f>
        <v>Maplink2</v>
      </c>
      <c r="AW2092" s="14" t="str">
        <f>HYPERLINK("http://www.bing.com/maps/?lvl=14&amp;sty=h&amp;cp=32.5397~44.2362&amp;sp=point.32.5397_44.2362_Shatt Mula","Maplink3")</f>
        <v>Maplink3</v>
      </c>
    </row>
    <row r="2093" spans="1:49" ht="15" customHeight="1" x14ac:dyDescent="0.25">
      <c r="A2093" s="21">
        <v>13802</v>
      </c>
      <c r="B2093" s="22" t="s">
        <v>16</v>
      </c>
      <c r="C2093" s="22" t="s">
        <v>3883</v>
      </c>
      <c r="D2093" s="22" t="s">
        <v>3929</v>
      </c>
      <c r="E2093" s="22" t="s">
        <v>3930</v>
      </c>
      <c r="F2093" s="22">
        <v>32.544783661099999</v>
      </c>
      <c r="G2093" s="22">
        <v>44.220748292300001</v>
      </c>
      <c r="H2093" s="21" t="s">
        <v>3858</v>
      </c>
      <c r="I2093" s="21" t="s">
        <v>3886</v>
      </c>
      <c r="J2093" s="21" t="s">
        <v>3931</v>
      </c>
      <c r="K2093" s="24">
        <v>32</v>
      </c>
      <c r="L2093" s="24">
        <v>192</v>
      </c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32</v>
      </c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>
        <v>8</v>
      </c>
      <c r="AK2093" s="23">
        <v>24</v>
      </c>
      <c r="AL2093" s="23"/>
      <c r="AM2093" s="23"/>
      <c r="AN2093" s="23"/>
      <c r="AO2093" s="23"/>
      <c r="AP2093" s="23"/>
      <c r="AQ2093" s="23">
        <v>32</v>
      </c>
      <c r="AR2093" s="23"/>
      <c r="AS2093" s="23"/>
      <c r="AT2093" s="23"/>
      <c r="AU2093" s="14" t="str">
        <f>HYPERLINK("http://www.openstreetmap.org/?mlat=32.5411&amp;mlon=44.2261&amp;zoom=12#map=12/32.5411/44.2261","Maplink1")</f>
        <v>Maplink1</v>
      </c>
      <c r="AV2093" s="14" t="str">
        <f>HYPERLINK("https://www.google.iq/maps/search/+32.5411,44.2261/@32.5411,44.2261,14z?hl=en","Maplink2")</f>
        <v>Maplink2</v>
      </c>
      <c r="AW2093" s="14" t="str">
        <f>HYPERLINK("http://www.bing.com/maps/?lvl=14&amp;sty=h&amp;cp=32.5411~44.2261&amp;sp=point.32.5411_44.2261_Shaykh hamza","Maplink3")</f>
        <v>Maplink3</v>
      </c>
    </row>
    <row r="2094" spans="1:49" ht="15" customHeight="1" x14ac:dyDescent="0.25">
      <c r="A2094" s="21">
        <v>26006</v>
      </c>
      <c r="B2094" s="22" t="s">
        <v>16</v>
      </c>
      <c r="C2094" s="22" t="s">
        <v>3883</v>
      </c>
      <c r="D2094" s="22" t="s">
        <v>4362</v>
      </c>
      <c r="E2094" s="22" t="s">
        <v>4363</v>
      </c>
      <c r="F2094" s="22">
        <v>32.519150669699997</v>
      </c>
      <c r="G2094" s="22">
        <v>44.210127247499997</v>
      </c>
      <c r="H2094" s="21" t="s">
        <v>3858</v>
      </c>
      <c r="I2094" s="21" t="s">
        <v>3934</v>
      </c>
      <c r="J2094" s="21"/>
      <c r="K2094" s="24">
        <v>5</v>
      </c>
      <c r="L2094" s="24">
        <v>30</v>
      </c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5</v>
      </c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>
        <v>5</v>
      </c>
      <c r="AL2094" s="23"/>
      <c r="AM2094" s="23"/>
      <c r="AN2094" s="23"/>
      <c r="AO2094" s="23"/>
      <c r="AP2094" s="23">
        <v>5</v>
      </c>
      <c r="AQ2094" s="23"/>
      <c r="AR2094" s="23"/>
      <c r="AS2094" s="23"/>
      <c r="AT2094" s="23"/>
      <c r="AU2094" s="14" t="str">
        <f>HYPERLINK("http://www.openstreetmap.org/?mlat=32.5078&amp;mlon=44.2013&amp;zoom=12#map=12/32.5078/44.2013","Maplink1")</f>
        <v>Maplink1</v>
      </c>
      <c r="AV2094" s="14" t="str">
        <f>HYPERLINK("https://www.google.iq/maps/search/+32.5078,44.2013/@32.5078,44.2013,14z?hl=en","Maplink2")</f>
        <v>Maplink2</v>
      </c>
      <c r="AW2094" s="14" t="str">
        <f>HYPERLINK("http://www.bing.com/maps/?lvl=14&amp;sty=h&amp;cp=32.5078~44.2013&amp;sp=point.32.5078_44.2013_Zeran Tah","Maplink3")</f>
        <v>Maplink3</v>
      </c>
    </row>
    <row r="2095" spans="1:49" ht="15" customHeight="1" x14ac:dyDescent="0.25">
      <c r="A2095" s="21">
        <v>25265</v>
      </c>
      <c r="B2095" s="22" t="s">
        <v>16</v>
      </c>
      <c r="C2095" s="22" t="s">
        <v>16</v>
      </c>
      <c r="D2095" s="22" t="s">
        <v>3932</v>
      </c>
      <c r="E2095" s="22" t="s">
        <v>3933</v>
      </c>
      <c r="F2095" s="22">
        <v>32.605538838500003</v>
      </c>
      <c r="G2095" s="22">
        <v>44.052206575900001</v>
      </c>
      <c r="H2095" s="21" t="s">
        <v>3858</v>
      </c>
      <c r="I2095" s="21" t="s">
        <v>3934</v>
      </c>
      <c r="J2095" s="21"/>
      <c r="K2095" s="24">
        <v>77</v>
      </c>
      <c r="L2095" s="24">
        <v>462</v>
      </c>
      <c r="M2095" s="23">
        <v>1</v>
      </c>
      <c r="N2095" s="23"/>
      <c r="O2095" s="23"/>
      <c r="P2095" s="23"/>
      <c r="Q2095" s="23"/>
      <c r="R2095" s="23">
        <v>1</v>
      </c>
      <c r="S2095" s="23"/>
      <c r="T2095" s="23"/>
      <c r="U2095" s="23"/>
      <c r="V2095" s="23"/>
      <c r="W2095" s="23"/>
      <c r="X2095" s="23"/>
      <c r="Y2095" s="23">
        <v>75</v>
      </c>
      <c r="Z2095" s="23"/>
      <c r="AA2095" s="23"/>
      <c r="AB2095" s="23"/>
      <c r="AC2095" s="23"/>
      <c r="AD2095" s="23"/>
      <c r="AE2095" s="23"/>
      <c r="AF2095" s="23">
        <v>7</v>
      </c>
      <c r="AG2095" s="23"/>
      <c r="AH2095" s="23"/>
      <c r="AI2095" s="23"/>
      <c r="AJ2095" s="23">
        <v>23</v>
      </c>
      <c r="AK2095" s="23">
        <v>47</v>
      </c>
      <c r="AL2095" s="23"/>
      <c r="AM2095" s="23"/>
      <c r="AN2095" s="23"/>
      <c r="AO2095" s="23">
        <v>1</v>
      </c>
      <c r="AP2095" s="23">
        <v>75</v>
      </c>
      <c r="AQ2095" s="23">
        <v>1</v>
      </c>
      <c r="AR2095" s="23"/>
      <c r="AS2095" s="23"/>
      <c r="AT2095" s="23"/>
      <c r="AU2095" s="14" t="str">
        <f>HYPERLINK("http://www.openstreetmap.org/?mlat=32.6026&amp;mlon=44.0448&amp;zoom=12#map=12/32.6026/44.0448","Maplink1")</f>
        <v>Maplink1</v>
      </c>
      <c r="AV2095" s="14" t="str">
        <f>HYPERLINK("https://www.google.iq/maps/search/+32.6026,44.0448/@32.6026,44.0448,14z?hl=en","Maplink2")</f>
        <v>Maplink2</v>
      </c>
      <c r="AW2095" s="14" t="str">
        <f>HYPERLINK("http://www.bing.com/maps/?lvl=14&amp;sty=h&amp;cp=32.6026~44.0448&amp;sp=point.32.6026_44.0448_Abo Akab","Maplink3")</f>
        <v>Maplink3</v>
      </c>
    </row>
    <row r="2096" spans="1:49" ht="15" customHeight="1" x14ac:dyDescent="0.25">
      <c r="A2096" s="21">
        <v>25903</v>
      </c>
      <c r="B2096" s="22" t="s">
        <v>16</v>
      </c>
      <c r="C2096" s="22" t="s">
        <v>16</v>
      </c>
      <c r="D2096" s="22" t="s">
        <v>3938</v>
      </c>
      <c r="E2096" s="22" t="s">
        <v>3939</v>
      </c>
      <c r="F2096" s="22">
        <v>32.701756297599999</v>
      </c>
      <c r="G2096" s="22">
        <v>44.156001526899999</v>
      </c>
      <c r="H2096" s="21" t="s">
        <v>3858</v>
      </c>
      <c r="I2096" s="21" t="s">
        <v>3934</v>
      </c>
      <c r="J2096" s="21"/>
      <c r="K2096" s="24">
        <v>40</v>
      </c>
      <c r="L2096" s="24">
        <v>240</v>
      </c>
      <c r="M2096" s="23"/>
      <c r="N2096" s="23">
        <v>4</v>
      </c>
      <c r="O2096" s="23">
        <v>20</v>
      </c>
      <c r="P2096" s="23"/>
      <c r="Q2096" s="23"/>
      <c r="R2096" s="23"/>
      <c r="S2096" s="23"/>
      <c r="T2096" s="23"/>
      <c r="U2096" s="23"/>
      <c r="V2096" s="23"/>
      <c r="W2096" s="23"/>
      <c r="X2096" s="23"/>
      <c r="Y2096" s="23">
        <v>16</v>
      </c>
      <c r="Z2096" s="23"/>
      <c r="AA2096" s="23"/>
      <c r="AB2096" s="23"/>
      <c r="AC2096" s="23"/>
      <c r="AD2096" s="23"/>
      <c r="AE2096" s="23"/>
      <c r="AF2096" s="23">
        <v>1</v>
      </c>
      <c r="AG2096" s="23"/>
      <c r="AH2096" s="23"/>
      <c r="AI2096" s="23"/>
      <c r="AJ2096" s="23">
        <v>16</v>
      </c>
      <c r="AK2096" s="23">
        <v>23</v>
      </c>
      <c r="AL2096" s="23"/>
      <c r="AM2096" s="23"/>
      <c r="AN2096" s="23"/>
      <c r="AO2096" s="23">
        <v>3</v>
      </c>
      <c r="AP2096" s="23">
        <v>16</v>
      </c>
      <c r="AQ2096" s="23">
        <v>21</v>
      </c>
      <c r="AR2096" s="23"/>
      <c r="AS2096" s="23"/>
      <c r="AT2096" s="23"/>
      <c r="AU2096" s="14" t="str">
        <f>HYPERLINK("http://www.openstreetmap.org/?mlat=32.6875&amp;mlon=44.1335&amp;zoom=12#map=12/32.6875/44.1335","Maplink1")</f>
        <v>Maplink1</v>
      </c>
      <c r="AV2096" s="14" t="str">
        <f>HYPERLINK("https://www.google.iq/maps/search/+32.6875,44.1335/@32.6875,44.1335,14z?hl=en","Maplink2")</f>
        <v>Maplink2</v>
      </c>
      <c r="AW2096" s="14" t="str">
        <f>HYPERLINK("http://www.bing.com/maps/?lvl=14&amp;sty=h&amp;cp=32.6875~44.1335&amp;sp=point.32.6875_44.1335_Abo Zarnt Al Shamaly","Maplink3")</f>
        <v>Maplink3</v>
      </c>
    </row>
    <row r="2097" spans="1:49" ht="15" customHeight="1" x14ac:dyDescent="0.25">
      <c r="A2097" s="21">
        <v>25354</v>
      </c>
      <c r="B2097" s="22" t="s">
        <v>16</v>
      </c>
      <c r="C2097" s="22" t="s">
        <v>16</v>
      </c>
      <c r="D2097" s="22" t="s">
        <v>3940</v>
      </c>
      <c r="E2097" s="22" t="s">
        <v>3941</v>
      </c>
      <c r="F2097" s="22">
        <v>32.641309406600001</v>
      </c>
      <c r="G2097" s="22">
        <v>44.0773310792</v>
      </c>
      <c r="H2097" s="21" t="s">
        <v>3858</v>
      </c>
      <c r="I2097" s="21" t="s">
        <v>3934</v>
      </c>
      <c r="J2097" s="21"/>
      <c r="K2097" s="24">
        <v>8</v>
      </c>
      <c r="L2097" s="24">
        <v>48</v>
      </c>
      <c r="M2097" s="23"/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>
        <v>8</v>
      </c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>
        <v>8</v>
      </c>
      <c r="AK2097" s="23"/>
      <c r="AL2097" s="23"/>
      <c r="AM2097" s="23"/>
      <c r="AN2097" s="23"/>
      <c r="AO2097" s="23"/>
      <c r="AP2097" s="23">
        <v>8</v>
      </c>
      <c r="AQ2097" s="23"/>
      <c r="AR2097" s="23"/>
      <c r="AS2097" s="23"/>
      <c r="AT2097" s="23"/>
      <c r="AU2097" s="14" t="str">
        <f>HYPERLINK("http://www.openstreetmap.org/?mlat=32.3833&amp;mlon=44.0443&amp;zoom=12#map=12/32.3833/44.0443","Maplink1")</f>
        <v>Maplink1</v>
      </c>
      <c r="AV2097" s="14" t="str">
        <f>HYPERLINK("https://www.google.iq/maps/search/+32.3833,44.0443/@32.3833,44.0443,14z?hl=en","Maplink2")</f>
        <v>Maplink2</v>
      </c>
      <c r="AW2097" s="14" t="str">
        <f>HYPERLINK("http://www.bing.com/maps/?lvl=14&amp;sty=h&amp;cp=32.3833~44.0443&amp;sp=point.32.3833_44.0443_Abu Theen","Maplink3")</f>
        <v>Maplink3</v>
      </c>
    </row>
    <row r="2098" spans="1:49" ht="15" customHeight="1" x14ac:dyDescent="0.25">
      <c r="A2098" s="21">
        <v>26059</v>
      </c>
      <c r="B2098" s="22" t="s">
        <v>16</v>
      </c>
      <c r="C2098" s="22" t="s">
        <v>16</v>
      </c>
      <c r="D2098" s="22" t="s">
        <v>3942</v>
      </c>
      <c r="E2098" s="22" t="s">
        <v>3943</v>
      </c>
      <c r="F2098" s="22">
        <v>32.645281967700001</v>
      </c>
      <c r="G2098" s="22">
        <v>44.071700787200001</v>
      </c>
      <c r="H2098" s="21" t="s">
        <v>3858</v>
      </c>
      <c r="I2098" s="21" t="s">
        <v>3934</v>
      </c>
      <c r="J2098" s="21"/>
      <c r="K2098" s="24">
        <v>20</v>
      </c>
      <c r="L2098" s="24">
        <v>120</v>
      </c>
      <c r="M2098" s="23"/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>
        <v>20</v>
      </c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>
        <v>20</v>
      </c>
      <c r="AL2098" s="23"/>
      <c r="AM2098" s="23"/>
      <c r="AN2098" s="23"/>
      <c r="AO2098" s="23"/>
      <c r="AP2098" s="23">
        <v>20</v>
      </c>
      <c r="AQ2098" s="23"/>
      <c r="AR2098" s="23"/>
      <c r="AS2098" s="23"/>
      <c r="AT2098" s="23"/>
      <c r="AU2098" s="14" t="str">
        <f>HYPERLINK("http://www.openstreetmap.org/?mlat=32.3946&amp;mlon=44.0543&amp;zoom=12#map=12/32.3946/44.0543","Maplink1")</f>
        <v>Maplink1</v>
      </c>
      <c r="AV2098" s="14" t="str">
        <f>HYPERLINK("https://www.google.iq/maps/search/+32.3946,44.0543/@32.3946,44.0543,14z?hl=en","Maplink2")</f>
        <v>Maplink2</v>
      </c>
      <c r="AW2098" s="14" t="str">
        <f>HYPERLINK("http://www.bing.com/maps/?lvl=14&amp;sty=h&amp;cp=32.3946~44.0543&amp;sp=point.32.3946_44.0543_Abu Theen 2","Maplink3")</f>
        <v>Maplink3</v>
      </c>
    </row>
    <row r="2099" spans="1:49" ht="15" customHeight="1" x14ac:dyDescent="0.25">
      <c r="A2099" s="21">
        <v>24743</v>
      </c>
      <c r="B2099" s="22" t="s">
        <v>16</v>
      </c>
      <c r="C2099" s="22" t="s">
        <v>16</v>
      </c>
      <c r="D2099" s="22" t="s">
        <v>3944</v>
      </c>
      <c r="E2099" s="22" t="s">
        <v>3945</v>
      </c>
      <c r="F2099" s="22">
        <v>32.629611706399999</v>
      </c>
      <c r="G2099" s="22">
        <v>44.034826867299998</v>
      </c>
      <c r="H2099" s="21" t="s">
        <v>3858</v>
      </c>
      <c r="I2099" s="21" t="s">
        <v>3934</v>
      </c>
      <c r="J2099" s="21"/>
      <c r="K2099" s="24">
        <v>64</v>
      </c>
      <c r="L2099" s="24">
        <v>384</v>
      </c>
      <c r="M2099" s="23"/>
      <c r="N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>
        <v>64</v>
      </c>
      <c r="Z2099" s="23"/>
      <c r="AA2099" s="23"/>
      <c r="AB2099" s="23"/>
      <c r="AC2099" s="23"/>
      <c r="AD2099" s="23"/>
      <c r="AE2099" s="23"/>
      <c r="AF2099" s="23"/>
      <c r="AG2099" s="23">
        <v>6</v>
      </c>
      <c r="AH2099" s="23"/>
      <c r="AI2099" s="23"/>
      <c r="AJ2099" s="23">
        <v>19</v>
      </c>
      <c r="AK2099" s="23">
        <v>39</v>
      </c>
      <c r="AL2099" s="23"/>
      <c r="AM2099" s="23"/>
      <c r="AN2099" s="23"/>
      <c r="AO2099" s="23"/>
      <c r="AP2099" s="23">
        <v>64</v>
      </c>
      <c r="AQ2099" s="23"/>
      <c r="AR2099" s="23"/>
      <c r="AS2099" s="23"/>
      <c r="AT2099" s="23"/>
      <c r="AU2099" s="14" t="str">
        <f>HYPERLINK("http://www.openstreetmap.org/?mlat=32.3758&amp;mlon=44.0235&amp;zoom=12#map=12/32.3758/44.0235","Maplink1")</f>
        <v>Maplink1</v>
      </c>
      <c r="AV2099" s="14" t="str">
        <f>HYPERLINK("https://www.google.iq/maps/search/+32.3758,44.0235/@32.3758,44.0235,14z?hl=en","Maplink2")</f>
        <v>Maplink2</v>
      </c>
      <c r="AW2099" s="14" t="str">
        <f>HYPERLINK("http://www.bing.com/maps/?lvl=14&amp;sty=h&amp;cp=32.3758~44.0235&amp;sp=point.32.3758_44.0235_Ahmad Al Waely St","Maplink3")</f>
        <v>Maplink3</v>
      </c>
    </row>
    <row r="2100" spans="1:49" ht="15" customHeight="1" x14ac:dyDescent="0.25">
      <c r="A2100" s="21">
        <v>25955</v>
      </c>
      <c r="B2100" s="22" t="s">
        <v>16</v>
      </c>
      <c r="C2100" s="22" t="s">
        <v>16</v>
      </c>
      <c r="D2100" s="22" t="s">
        <v>3946</v>
      </c>
      <c r="E2100" s="22" t="s">
        <v>3947</v>
      </c>
      <c r="F2100" s="22">
        <v>32.640125923799999</v>
      </c>
      <c r="G2100" s="22">
        <v>44.144313884900001</v>
      </c>
      <c r="H2100" s="21" t="s">
        <v>3858</v>
      </c>
      <c r="I2100" s="21" t="s">
        <v>3934</v>
      </c>
      <c r="J2100" s="21"/>
      <c r="K2100" s="24">
        <v>7</v>
      </c>
      <c r="L2100" s="24">
        <v>42</v>
      </c>
      <c r="M2100" s="23"/>
      <c r="N2100" s="23">
        <v>5</v>
      </c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>
        <v>2</v>
      </c>
      <c r="Z2100" s="23"/>
      <c r="AA2100" s="23"/>
      <c r="AB2100" s="23"/>
      <c r="AC2100" s="23"/>
      <c r="AD2100" s="23"/>
      <c r="AE2100" s="23"/>
      <c r="AF2100" s="23">
        <v>6</v>
      </c>
      <c r="AG2100" s="23"/>
      <c r="AH2100" s="23"/>
      <c r="AI2100" s="23"/>
      <c r="AJ2100" s="23"/>
      <c r="AK2100" s="23">
        <v>1</v>
      </c>
      <c r="AL2100" s="23"/>
      <c r="AM2100" s="23"/>
      <c r="AN2100" s="23"/>
      <c r="AO2100" s="23"/>
      <c r="AP2100" s="23">
        <v>7</v>
      </c>
      <c r="AQ2100" s="23"/>
      <c r="AR2100" s="23"/>
      <c r="AS2100" s="23"/>
      <c r="AT2100" s="23"/>
      <c r="AU2100" s="14" t="str">
        <f>HYPERLINK("http://www.openstreetmap.org/?mlat=32.6473&amp;mlon=44.1436&amp;zoom=12#map=12/32.6473/44.1436","Maplink1")</f>
        <v>Maplink1</v>
      </c>
      <c r="AV2100" s="14" t="str">
        <f>HYPERLINK("https://www.google.iq/maps/search/+32.6473,44.1436/@32.6473,44.1436,14z?hl=en","Maplink2")</f>
        <v>Maplink2</v>
      </c>
      <c r="AW2100" s="14" t="str">
        <f>HYPERLINK("http://www.bing.com/maps/?lvl=14&amp;sty=h&amp;cp=32.6473~44.1436&amp;sp=point.32.6473_44.1436_Al Abeater Al Westa","Maplink3")</f>
        <v>Maplink3</v>
      </c>
    </row>
    <row r="2101" spans="1:49" ht="15" customHeight="1" x14ac:dyDescent="0.25">
      <c r="A2101" s="21">
        <v>25906</v>
      </c>
      <c r="B2101" s="22" t="s">
        <v>16</v>
      </c>
      <c r="C2101" s="22" t="s">
        <v>16</v>
      </c>
      <c r="D2101" s="22" t="s">
        <v>8847</v>
      </c>
      <c r="E2101" s="22" t="s">
        <v>4352</v>
      </c>
      <c r="F2101" s="22">
        <v>32.582996212899999</v>
      </c>
      <c r="G2101" s="22">
        <v>44.009555429199999</v>
      </c>
      <c r="H2101" s="21" t="s">
        <v>3858</v>
      </c>
      <c r="I2101" s="21" t="s">
        <v>3934</v>
      </c>
      <c r="J2101" s="21"/>
      <c r="K2101" s="24">
        <v>6</v>
      </c>
      <c r="L2101" s="24">
        <v>36</v>
      </c>
      <c r="M2101" s="23">
        <v>1</v>
      </c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>
        <v>5</v>
      </c>
      <c r="Z2101" s="23"/>
      <c r="AA2101" s="23"/>
      <c r="AB2101" s="23"/>
      <c r="AC2101" s="23"/>
      <c r="AD2101" s="23"/>
      <c r="AE2101" s="23"/>
      <c r="AF2101" s="23">
        <v>6</v>
      </c>
      <c r="AG2101" s="23"/>
      <c r="AH2101" s="23"/>
      <c r="AI2101" s="23"/>
      <c r="AJ2101" s="23"/>
      <c r="AK2101" s="23"/>
      <c r="AL2101" s="23"/>
      <c r="AM2101" s="23"/>
      <c r="AN2101" s="23"/>
      <c r="AO2101" s="23"/>
      <c r="AP2101" s="23">
        <v>6</v>
      </c>
      <c r="AQ2101" s="23"/>
      <c r="AR2101" s="23"/>
      <c r="AS2101" s="23"/>
      <c r="AT2101" s="23"/>
      <c r="AU2101" s="14" t="str">
        <f>HYPERLINK("http://www.openstreetmap.org/?mlat=32.5849&amp;mlon=44.0133&amp;zoom=12#map=12/32.5849/44.0133","Maplink1")</f>
        <v>Maplink1</v>
      </c>
      <c r="AV2101" s="14" t="str">
        <f>HYPERLINK("https://www.google.iq/maps/search/+32.5849,44.0133/@32.5849,44.0133,14z?hl=en","Maplink2")</f>
        <v>Maplink2</v>
      </c>
      <c r="AW2101" s="14" t="str">
        <f>HYPERLINK("http://www.bing.com/maps/?lvl=14&amp;sty=h&amp;cp=32.5849~44.0133&amp;sp=point.32.5849_44.0133_Tajawz Al Ahrar","Maplink3")</f>
        <v>Maplink3</v>
      </c>
    </row>
    <row r="2102" spans="1:49" ht="15" customHeight="1" x14ac:dyDescent="0.25">
      <c r="A2102" s="21">
        <v>25550</v>
      </c>
      <c r="B2102" s="22" t="s">
        <v>16</v>
      </c>
      <c r="C2102" s="22" t="s">
        <v>16</v>
      </c>
      <c r="D2102" s="22" t="s">
        <v>8848</v>
      </c>
      <c r="E2102" s="22" t="s">
        <v>4013</v>
      </c>
      <c r="F2102" s="22">
        <v>32.635147492400002</v>
      </c>
      <c r="G2102" s="22">
        <v>43.985295184000002</v>
      </c>
      <c r="H2102" s="21" t="s">
        <v>3858</v>
      </c>
      <c r="I2102" s="21" t="s">
        <v>3934</v>
      </c>
      <c r="J2102" s="21"/>
      <c r="K2102" s="24">
        <v>12</v>
      </c>
      <c r="L2102" s="24">
        <v>72</v>
      </c>
      <c r="M2102" s="23">
        <v>3</v>
      </c>
      <c r="N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>
        <v>9</v>
      </c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>
        <v>12</v>
      </c>
      <c r="AL2102" s="23"/>
      <c r="AM2102" s="23"/>
      <c r="AN2102" s="23"/>
      <c r="AO2102" s="23">
        <v>3</v>
      </c>
      <c r="AP2102" s="23">
        <v>9</v>
      </c>
      <c r="AQ2102" s="23"/>
      <c r="AR2102" s="23"/>
      <c r="AS2102" s="23"/>
      <c r="AT2102" s="23"/>
      <c r="AU2102" s="14" t="str">
        <f>HYPERLINK("http://www.openstreetmap.org/?mlat=32.6348&amp;mlon=43.985&amp;zoom=12#map=12/32.6348/43.985","Maplink1")</f>
        <v>Maplink1</v>
      </c>
      <c r="AV2102" s="14" t="str">
        <f>HYPERLINK("https://www.google.iq/maps/search/+32.6348,43.985/@32.6348,43.985,14z?hl=en","Maplink2")</f>
        <v>Maplink2</v>
      </c>
      <c r="AW2102" s="14" t="str">
        <f>HYPERLINK("http://www.bing.com/maps/?lvl=14&amp;sty=h&amp;cp=32.6348~43.985&amp;sp=point.32.6348_43.985_Al Hurr-Al Amam Al Montadar","Maplink3")</f>
        <v>Maplink3</v>
      </c>
    </row>
    <row r="2103" spans="1:49" ht="15" customHeight="1" x14ac:dyDescent="0.25">
      <c r="A2103" s="21">
        <v>25270</v>
      </c>
      <c r="B2103" s="22" t="s">
        <v>16</v>
      </c>
      <c r="C2103" s="22" t="s">
        <v>16</v>
      </c>
      <c r="D2103" s="22" t="s">
        <v>3948</v>
      </c>
      <c r="E2103" s="22" t="s">
        <v>3949</v>
      </c>
      <c r="F2103" s="22">
        <v>32.580798687399998</v>
      </c>
      <c r="G2103" s="22">
        <v>44.026063587499998</v>
      </c>
      <c r="H2103" s="21" t="s">
        <v>3858</v>
      </c>
      <c r="I2103" s="21" t="s">
        <v>3934</v>
      </c>
      <c r="J2103" s="21"/>
      <c r="K2103" s="24">
        <v>25</v>
      </c>
      <c r="L2103" s="24">
        <v>150</v>
      </c>
      <c r="M2103" s="23">
        <v>7</v>
      </c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>
        <v>18</v>
      </c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>
        <v>25</v>
      </c>
      <c r="AL2103" s="23"/>
      <c r="AM2103" s="23"/>
      <c r="AN2103" s="23"/>
      <c r="AO2103" s="23">
        <v>3</v>
      </c>
      <c r="AP2103" s="23">
        <v>18</v>
      </c>
      <c r="AQ2103" s="23"/>
      <c r="AR2103" s="23"/>
      <c r="AS2103" s="23">
        <v>4</v>
      </c>
      <c r="AT2103" s="23"/>
      <c r="AU2103" s="14" t="str">
        <f>HYPERLINK("http://www.openstreetmap.org/?mlat=32.5813&amp;mlon=44.0231&amp;zoom=12#map=12/32.5813/44.0231","Maplink1")</f>
        <v>Maplink1</v>
      </c>
      <c r="AV2103" s="14" t="str">
        <f>HYPERLINK("https://www.google.iq/maps/search/+32.5813,44.0231/@32.5813,44.0231,14z?hl=en","Maplink2")</f>
        <v>Maplink2</v>
      </c>
      <c r="AW2103" s="14" t="str">
        <f>HYPERLINK("http://www.bing.com/maps/?lvl=14&amp;sty=h&amp;cp=32.5813~44.0231&amp;sp=point.32.5813_44.0231_Al Amam Ali","Maplink3")</f>
        <v>Maplink3</v>
      </c>
    </row>
    <row r="2104" spans="1:49" ht="15" customHeight="1" x14ac:dyDescent="0.25">
      <c r="A2104" s="21">
        <v>13769</v>
      </c>
      <c r="B2104" s="22" t="s">
        <v>16</v>
      </c>
      <c r="C2104" s="22" t="s">
        <v>16</v>
      </c>
      <c r="D2104" s="22" t="s">
        <v>3950</v>
      </c>
      <c r="E2104" s="22" t="s">
        <v>3951</v>
      </c>
      <c r="F2104" s="22">
        <v>32.689013793100003</v>
      </c>
      <c r="G2104" s="22">
        <v>44.108842508899997</v>
      </c>
      <c r="H2104" s="21" t="s">
        <v>3858</v>
      </c>
      <c r="I2104" s="21" t="s">
        <v>3934</v>
      </c>
      <c r="J2104" s="21" t="s">
        <v>3952</v>
      </c>
      <c r="K2104" s="24">
        <v>69</v>
      </c>
      <c r="L2104" s="24">
        <v>414</v>
      </c>
      <c r="M2104" s="23"/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>
        <v>69</v>
      </c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>
        <v>44</v>
      </c>
      <c r="AK2104" s="23">
        <v>25</v>
      </c>
      <c r="AL2104" s="23"/>
      <c r="AM2104" s="23"/>
      <c r="AN2104" s="23"/>
      <c r="AO2104" s="23"/>
      <c r="AP2104" s="23">
        <v>69</v>
      </c>
      <c r="AQ2104" s="23"/>
      <c r="AR2104" s="23"/>
      <c r="AS2104" s="23"/>
      <c r="AT2104" s="23"/>
      <c r="AU2104" s="14" t="str">
        <f>HYPERLINK("http://www.openstreetmap.org/?mlat=32.6874&amp;mlon=44.1108&amp;zoom=12#map=12/32.6874/44.1108","Maplink1")</f>
        <v>Maplink1</v>
      </c>
      <c r="AV2104" s="14" t="str">
        <f>HYPERLINK("https://www.google.iq/maps/search/+32.6874,44.1108/@32.6874,44.1108,14z?hl=en","Maplink2")</f>
        <v>Maplink2</v>
      </c>
      <c r="AW2104" s="14" t="str">
        <f>HYPERLINK("http://www.bing.com/maps/?lvl=14&amp;sty=h&amp;cp=32.6874~44.1108&amp;sp=point.32.6874_44.1108_Al Amam Aon","Maplink3")</f>
        <v>Maplink3</v>
      </c>
    </row>
    <row r="2105" spans="1:49" ht="15" customHeight="1" x14ac:dyDescent="0.25">
      <c r="A2105" s="21">
        <v>25885</v>
      </c>
      <c r="B2105" s="22" t="s">
        <v>16</v>
      </c>
      <c r="C2105" s="22" t="s">
        <v>16</v>
      </c>
      <c r="D2105" s="22" t="s">
        <v>3953</v>
      </c>
      <c r="E2105" s="22" t="s">
        <v>3954</v>
      </c>
      <c r="F2105" s="22">
        <v>32.641789522000003</v>
      </c>
      <c r="G2105" s="22">
        <v>43.992203548600003</v>
      </c>
      <c r="H2105" s="21" t="s">
        <v>3858</v>
      </c>
      <c r="I2105" s="21" t="s">
        <v>3934</v>
      </c>
      <c r="J2105" s="21"/>
      <c r="K2105" s="24">
        <v>8</v>
      </c>
      <c r="L2105" s="24">
        <v>48</v>
      </c>
      <c r="M2105" s="23">
        <v>3</v>
      </c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>
        <v>5</v>
      </c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>
        <v>8</v>
      </c>
      <c r="AL2105" s="23"/>
      <c r="AM2105" s="23"/>
      <c r="AN2105" s="23"/>
      <c r="AO2105" s="23">
        <v>3</v>
      </c>
      <c r="AP2105" s="23">
        <v>5</v>
      </c>
      <c r="AQ2105" s="23"/>
      <c r="AR2105" s="23"/>
      <c r="AS2105" s="23"/>
      <c r="AT2105" s="23"/>
      <c r="AU2105" s="14" t="str">
        <f>HYPERLINK("http://www.openstreetmap.org/?mlat=32.6473&amp;mlon=43.9894&amp;zoom=12#map=12/32.6473/43.9894","Maplink1")</f>
        <v>Maplink1</v>
      </c>
      <c r="AV2105" s="14" t="str">
        <f>HYPERLINK("https://www.google.iq/maps/search/+32.6473,43.9894/@32.6473,43.9894,14z?hl=en","Maplink2")</f>
        <v>Maplink2</v>
      </c>
      <c r="AW2105" s="14" t="str">
        <f>HYPERLINK("http://www.bing.com/maps/?lvl=14&amp;sty=h&amp;cp=32.6473~43.9894&amp;sp=point.32.6473_43.9894_Al Amen 1","Maplink3")</f>
        <v>Maplink3</v>
      </c>
    </row>
    <row r="2106" spans="1:49" ht="15" customHeight="1" x14ac:dyDescent="0.25">
      <c r="A2106" s="21">
        <v>25356</v>
      </c>
      <c r="B2106" s="22" t="s">
        <v>16</v>
      </c>
      <c r="C2106" s="22" t="s">
        <v>16</v>
      </c>
      <c r="D2106" s="22" t="s">
        <v>8849</v>
      </c>
      <c r="E2106" s="22" t="s">
        <v>8850</v>
      </c>
      <c r="F2106" s="22">
        <v>32.651900192699998</v>
      </c>
      <c r="G2106" s="22">
        <v>44.053701069200002</v>
      </c>
      <c r="H2106" s="21" t="s">
        <v>3858</v>
      </c>
      <c r="I2106" s="21" t="s">
        <v>3934</v>
      </c>
      <c r="J2106" s="21"/>
      <c r="K2106" s="24">
        <v>6</v>
      </c>
      <c r="L2106" s="24">
        <v>36</v>
      </c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6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>
        <v>1</v>
      </c>
      <c r="AK2106" s="23">
        <v>5</v>
      </c>
      <c r="AL2106" s="23"/>
      <c r="AM2106" s="23"/>
      <c r="AN2106" s="23"/>
      <c r="AO2106" s="23"/>
      <c r="AP2106" s="23">
        <v>6</v>
      </c>
      <c r="AQ2106" s="23"/>
      <c r="AR2106" s="23"/>
      <c r="AS2106" s="23"/>
      <c r="AT2106" s="23"/>
      <c r="AU2106" s="14" t="str">
        <f>HYPERLINK("http://www.openstreetmap.org/?mlat=32.3827&amp;mlon=44.0457&amp;zoom=12#map=12/32.3827/44.0457","Maplink1")</f>
        <v>Maplink1</v>
      </c>
      <c r="AV2106" s="14" t="str">
        <f>HYPERLINK("https://www.google.iq/maps/search/+32.3827,44.0457/@32.3827,44.0457,14z?hl=en","Maplink2")</f>
        <v>Maplink2</v>
      </c>
      <c r="AW2106" s="14" t="str">
        <f>HYPERLINK("http://www.bing.com/maps/?lvl=14&amp;sty=h&amp;cp=32.3827~44.0457&amp;sp=point.32.3827_44.0457_Al Ameshea Al Awla","Maplink3")</f>
        <v>Maplink3</v>
      </c>
    </row>
    <row r="2107" spans="1:49" ht="15" customHeight="1" x14ac:dyDescent="0.25">
      <c r="A2107" s="21">
        <v>26060</v>
      </c>
      <c r="B2107" s="22" t="s">
        <v>16</v>
      </c>
      <c r="C2107" s="22" t="s">
        <v>16</v>
      </c>
      <c r="D2107" s="22" t="s">
        <v>3955</v>
      </c>
      <c r="E2107" s="22" t="s">
        <v>3956</v>
      </c>
      <c r="F2107" s="22">
        <v>32.657003807800002</v>
      </c>
      <c r="G2107" s="22">
        <v>44.058609679299998</v>
      </c>
      <c r="H2107" s="21" t="s">
        <v>3858</v>
      </c>
      <c r="I2107" s="21" t="s">
        <v>3934</v>
      </c>
      <c r="J2107" s="21"/>
      <c r="K2107" s="24">
        <v>20</v>
      </c>
      <c r="L2107" s="24">
        <v>120</v>
      </c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>
        <v>20</v>
      </c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>
        <v>20</v>
      </c>
      <c r="AL2107" s="23"/>
      <c r="AM2107" s="23"/>
      <c r="AN2107" s="23"/>
      <c r="AO2107" s="23"/>
      <c r="AP2107" s="23">
        <v>20</v>
      </c>
      <c r="AQ2107" s="23"/>
      <c r="AR2107" s="23"/>
      <c r="AS2107" s="23"/>
      <c r="AT2107" s="23"/>
      <c r="AU2107" s="14" t="str">
        <f>HYPERLINK("http://www.openstreetmap.org/?mlat=32.3835&amp;mlon=44.0543&amp;zoom=12#map=12/32.3835/44.0543","Maplink1")</f>
        <v>Maplink1</v>
      </c>
      <c r="AV2107" s="14" t="str">
        <f>HYPERLINK("https://www.google.iq/maps/search/+32.3835,44.0543/@32.3835,44.0543,14z?hl=en","Maplink2")</f>
        <v>Maplink2</v>
      </c>
      <c r="AW2107" s="14" t="str">
        <f>HYPERLINK("http://www.bing.com/maps/?lvl=14&amp;sty=h&amp;cp=32.3835~44.0543&amp;sp=point.32.3835_44.0543_Al Ameshea 2","Maplink3")</f>
        <v>Maplink3</v>
      </c>
    </row>
    <row r="2108" spans="1:49" ht="15" customHeight="1" x14ac:dyDescent="0.25">
      <c r="A2108" s="21">
        <v>24679</v>
      </c>
      <c r="B2108" s="22" t="s">
        <v>16</v>
      </c>
      <c r="C2108" s="22" t="s">
        <v>16</v>
      </c>
      <c r="D2108" s="22" t="s">
        <v>3957</v>
      </c>
      <c r="E2108" s="22" t="s">
        <v>3958</v>
      </c>
      <c r="F2108" s="22">
        <v>32.600288581999997</v>
      </c>
      <c r="G2108" s="22">
        <v>44.035685258000001</v>
      </c>
      <c r="H2108" s="21" t="s">
        <v>3858</v>
      </c>
      <c r="I2108" s="21" t="s">
        <v>3934</v>
      </c>
      <c r="J2108" s="21"/>
      <c r="K2108" s="24">
        <v>7</v>
      </c>
      <c r="L2108" s="24">
        <v>42</v>
      </c>
      <c r="M2108" s="23"/>
      <c r="N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>
        <v>7</v>
      </c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>
        <v>2</v>
      </c>
      <c r="AK2108" s="23">
        <v>5</v>
      </c>
      <c r="AL2108" s="23"/>
      <c r="AM2108" s="23"/>
      <c r="AN2108" s="23"/>
      <c r="AO2108" s="23"/>
      <c r="AP2108" s="23">
        <v>7</v>
      </c>
      <c r="AQ2108" s="23"/>
      <c r="AR2108" s="23"/>
      <c r="AS2108" s="23"/>
      <c r="AT2108" s="23"/>
      <c r="AU2108" s="14" t="str">
        <f>HYPERLINK("http://www.openstreetmap.org/?mlat=32.6417&amp;mlon=43.9943&amp;zoom=12#map=12/32.6417/43.9943","Maplink1")</f>
        <v>Maplink1</v>
      </c>
      <c r="AV2108" s="14" t="str">
        <f>HYPERLINK("https://www.google.iq/maps/search/+32.6417,43.9943/@32.6417,43.9943,14z?hl=en","Maplink2")</f>
        <v>Maplink2</v>
      </c>
      <c r="AW2108" s="14" t="str">
        <f>HYPERLINK("http://www.bing.com/maps/?lvl=14&amp;sty=h&amp;cp=32.6417~43.9943&amp;sp=point.32.6417_43.9943_Al Amin","Maplink3")</f>
        <v>Maplink3</v>
      </c>
    </row>
    <row r="2109" spans="1:49" ht="15" customHeight="1" x14ac:dyDescent="0.25">
      <c r="A2109" s="21">
        <v>25783</v>
      </c>
      <c r="B2109" s="22" t="s">
        <v>16</v>
      </c>
      <c r="C2109" s="22" t="s">
        <v>16</v>
      </c>
      <c r="D2109" s="22" t="s">
        <v>8851</v>
      </c>
      <c r="E2109" s="22" t="s">
        <v>4110</v>
      </c>
      <c r="F2109" s="22">
        <v>32.690092585999999</v>
      </c>
      <c r="G2109" s="22">
        <v>43.916249843300001</v>
      </c>
      <c r="H2109" s="21" t="s">
        <v>3858</v>
      </c>
      <c r="I2109" s="21" t="s">
        <v>3934</v>
      </c>
      <c r="J2109" s="21"/>
      <c r="K2109" s="24">
        <v>15</v>
      </c>
      <c r="L2109" s="24">
        <v>90</v>
      </c>
      <c r="M2109" s="23">
        <v>3</v>
      </c>
      <c r="N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>
        <v>12</v>
      </c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>
        <v>15</v>
      </c>
      <c r="AL2109" s="23"/>
      <c r="AM2109" s="23"/>
      <c r="AN2109" s="23"/>
      <c r="AO2109" s="23"/>
      <c r="AP2109" s="23">
        <v>12</v>
      </c>
      <c r="AQ2109" s="23"/>
      <c r="AR2109" s="23"/>
      <c r="AS2109" s="23">
        <v>3</v>
      </c>
      <c r="AT2109" s="23"/>
      <c r="AU2109" s="14" t="str">
        <f>HYPERLINK("http://www.openstreetmap.org/?mlat=32.3924&amp;mlon=43.5754&amp;zoom=12#map=12/32.3924/43.5754","Maplink1")</f>
        <v>Maplink1</v>
      </c>
      <c r="AV2109" s="14" t="str">
        <f>HYPERLINK("https://www.google.iq/maps/search/+32.3924,43.5754/@32.3924,43.5754,14z?hl=en","Maplink2")</f>
        <v>Maplink2</v>
      </c>
      <c r="AW2109" s="14" t="str">
        <f>HYPERLINK("http://www.bing.com/maps/?lvl=14&amp;sty=h&amp;cp=32.3924~43.5754&amp;sp=point.32.3924_43.5754_Al-Hurr-Al Anwar","Maplink3")</f>
        <v>Maplink3</v>
      </c>
    </row>
    <row r="2110" spans="1:49" ht="15" customHeight="1" x14ac:dyDescent="0.25">
      <c r="A2110" s="21">
        <v>25852</v>
      </c>
      <c r="B2110" s="22" t="s">
        <v>16</v>
      </c>
      <c r="C2110" s="22" t="s">
        <v>16</v>
      </c>
      <c r="D2110" s="22" t="s">
        <v>3959</v>
      </c>
      <c r="E2110" s="22" t="s">
        <v>3960</v>
      </c>
      <c r="F2110" s="22">
        <v>32.648136005700003</v>
      </c>
      <c r="G2110" s="22">
        <v>44.168360726899998</v>
      </c>
      <c r="H2110" s="21" t="s">
        <v>3858</v>
      </c>
      <c r="I2110" s="21" t="s">
        <v>3934</v>
      </c>
      <c r="J2110" s="21"/>
      <c r="K2110" s="24">
        <v>3</v>
      </c>
      <c r="L2110" s="24">
        <v>18</v>
      </c>
      <c r="M2110" s="23"/>
      <c r="N2110" s="23"/>
      <c r="O2110" s="23"/>
      <c r="P2110" s="23"/>
      <c r="Q2110" s="23"/>
      <c r="R2110" s="23">
        <v>2</v>
      </c>
      <c r="S2110" s="23"/>
      <c r="T2110" s="23"/>
      <c r="U2110" s="23"/>
      <c r="V2110" s="23"/>
      <c r="W2110" s="23"/>
      <c r="X2110" s="23"/>
      <c r="Y2110" s="23">
        <v>1</v>
      </c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3</v>
      </c>
      <c r="AL2110" s="23"/>
      <c r="AM2110" s="23"/>
      <c r="AN2110" s="23"/>
      <c r="AO2110" s="23"/>
      <c r="AP2110" s="23">
        <v>1</v>
      </c>
      <c r="AQ2110" s="23">
        <v>2</v>
      </c>
      <c r="AR2110" s="23"/>
      <c r="AS2110" s="23"/>
      <c r="AT2110" s="23"/>
      <c r="AU2110" s="14" t="str">
        <f>HYPERLINK("http://www.openstreetmap.org/?mlat=32.6893&amp;mlon=44.1534&amp;zoom=12#map=12/32.6893/44.1534","Maplink1")</f>
        <v>Maplink1</v>
      </c>
      <c r="AV2110" s="14" t="str">
        <f>HYPERLINK("https://www.google.iq/maps/search/+32.6893,44.1534/@32.6893,44.1534,14z?hl=en","Maplink2")</f>
        <v>Maplink2</v>
      </c>
      <c r="AW2110" s="14" t="str">
        <f>HYPERLINK("http://www.bing.com/maps/?lvl=14&amp;sty=h&amp;cp=32.6893~44.1534&amp;sp=point.32.6893_44.1534_Al Asafeat Al Sharqy","Maplink3")</f>
        <v>Maplink3</v>
      </c>
    </row>
    <row r="2111" spans="1:49" ht="15" customHeight="1" x14ac:dyDescent="0.25">
      <c r="A2111" s="21">
        <v>25490</v>
      </c>
      <c r="B2111" s="22" t="s">
        <v>16</v>
      </c>
      <c r="C2111" s="22" t="s">
        <v>16</v>
      </c>
      <c r="D2111" s="22" t="s">
        <v>3962</v>
      </c>
      <c r="E2111" s="22" t="s">
        <v>3963</v>
      </c>
      <c r="F2111" s="22">
        <v>32.649943521200001</v>
      </c>
      <c r="G2111" s="22">
        <v>43.9804271422</v>
      </c>
      <c r="H2111" s="21" t="s">
        <v>3858</v>
      </c>
      <c r="I2111" s="21" t="s">
        <v>3934</v>
      </c>
      <c r="J2111" s="21"/>
      <c r="K2111" s="24">
        <v>16</v>
      </c>
      <c r="L2111" s="24">
        <v>96</v>
      </c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>
        <v>16</v>
      </c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>
        <v>16</v>
      </c>
      <c r="AL2111" s="23"/>
      <c r="AM2111" s="23"/>
      <c r="AN2111" s="23"/>
      <c r="AO2111" s="23"/>
      <c r="AP2111" s="23">
        <v>16</v>
      </c>
      <c r="AQ2111" s="23"/>
      <c r="AR2111" s="23"/>
      <c r="AS2111" s="23"/>
      <c r="AT2111" s="23"/>
      <c r="AU2111" s="14" t="str">
        <f>HYPERLINK("http://www.openstreetmap.org/?mlat=32.6509&amp;mlon=43.9723&amp;zoom=12#map=12/32.6509/43.9723","Maplink1")</f>
        <v>Maplink1</v>
      </c>
      <c r="AV2111" s="14" t="str">
        <f>HYPERLINK("https://www.google.iq/maps/search/+32.6509,43.9723/@32.6509,43.9723,14z?hl=en","Maplink2")</f>
        <v>Maplink2</v>
      </c>
      <c r="AW2111" s="14" t="str">
        <f>HYPERLINK("http://www.bing.com/maps/?lvl=14&amp;sty=h&amp;cp=32.6509~43.9723&amp;sp=point.32.6509_43.9723_Al Askary 1","Maplink3")</f>
        <v>Maplink3</v>
      </c>
    </row>
    <row r="2112" spans="1:49" ht="15" customHeight="1" x14ac:dyDescent="0.25">
      <c r="A2112" s="21">
        <v>25477</v>
      </c>
      <c r="B2112" s="22" t="s">
        <v>16</v>
      </c>
      <c r="C2112" s="22" t="s">
        <v>16</v>
      </c>
      <c r="D2112" s="22" t="s">
        <v>3964</v>
      </c>
      <c r="E2112" s="22" t="s">
        <v>3965</v>
      </c>
      <c r="F2112" s="22">
        <v>32.620296268700002</v>
      </c>
      <c r="G2112" s="22">
        <v>43.976755198100001</v>
      </c>
      <c r="H2112" s="21" t="s">
        <v>3858</v>
      </c>
      <c r="I2112" s="21" t="s">
        <v>3934</v>
      </c>
      <c r="J2112" s="21"/>
      <c r="K2112" s="24">
        <v>10</v>
      </c>
      <c r="L2112" s="24">
        <v>60</v>
      </c>
      <c r="M2112" s="23"/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10</v>
      </c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>
        <v>2</v>
      </c>
      <c r="AK2112" s="23">
        <v>8</v>
      </c>
      <c r="AL2112" s="23"/>
      <c r="AM2112" s="23"/>
      <c r="AN2112" s="23"/>
      <c r="AO2112" s="23"/>
      <c r="AP2112" s="23">
        <v>10</v>
      </c>
      <c r="AQ2112" s="23"/>
      <c r="AR2112" s="23"/>
      <c r="AS2112" s="23"/>
      <c r="AT2112" s="23"/>
      <c r="AU2112" s="14" t="str">
        <f>HYPERLINK("http://www.openstreetmap.org/?mlat=32.6212&amp;mlon=43.9668&amp;zoom=12#map=12/32.6212/43.9668","Maplink1")</f>
        <v>Maplink1</v>
      </c>
      <c r="AV2112" s="14" t="str">
        <f>HYPERLINK("https://www.google.iq/maps/search/+32.6212,43.9668/@32.6212,43.9668,14z?hl=en","Maplink2")</f>
        <v>Maplink2</v>
      </c>
      <c r="AW2112" s="14" t="str">
        <f>HYPERLINK("http://www.bing.com/maps/?lvl=14&amp;sty=h&amp;cp=32.6212~43.9668&amp;sp=point.32.6212_43.9668_Al askary 11","Maplink3")</f>
        <v>Maplink3</v>
      </c>
    </row>
    <row r="2113" spans="1:49" ht="15" customHeight="1" x14ac:dyDescent="0.25">
      <c r="A2113" s="21">
        <v>25476</v>
      </c>
      <c r="B2113" s="22" t="s">
        <v>16</v>
      </c>
      <c r="C2113" s="22" t="s">
        <v>16</v>
      </c>
      <c r="D2113" s="22" t="s">
        <v>3966</v>
      </c>
      <c r="E2113" s="22" t="s">
        <v>3967</v>
      </c>
      <c r="F2113" s="22">
        <v>32.6200359268</v>
      </c>
      <c r="G2113" s="22">
        <v>43.9709824137</v>
      </c>
      <c r="H2113" s="21" t="s">
        <v>3858</v>
      </c>
      <c r="I2113" s="21" t="s">
        <v>3934</v>
      </c>
      <c r="J2113" s="21"/>
      <c r="K2113" s="24">
        <v>16</v>
      </c>
      <c r="L2113" s="24">
        <v>96</v>
      </c>
      <c r="M2113" s="23">
        <v>1</v>
      </c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15</v>
      </c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>
        <v>16</v>
      </c>
      <c r="AL2113" s="23"/>
      <c r="AM2113" s="23"/>
      <c r="AN2113" s="23"/>
      <c r="AO2113" s="23"/>
      <c r="AP2113" s="23">
        <v>15</v>
      </c>
      <c r="AQ2113" s="23"/>
      <c r="AR2113" s="23"/>
      <c r="AS2113" s="23">
        <v>1</v>
      </c>
      <c r="AT2113" s="23"/>
      <c r="AU2113" s="14" t="str">
        <f>HYPERLINK("http://www.openstreetmap.org/?mlat=32.6272&amp;mlon=43.9696&amp;zoom=12#map=12/32.6272/43.9696","Maplink1")</f>
        <v>Maplink1</v>
      </c>
      <c r="AV2113" s="14" t="str">
        <f>HYPERLINK("https://www.google.iq/maps/search/+32.6272,43.9696/@32.6272,43.9696,14z?hl=en","Maplink2")</f>
        <v>Maplink2</v>
      </c>
      <c r="AW2113" s="14" t="str">
        <f>HYPERLINK("http://www.bing.com/maps/?lvl=14&amp;sty=h&amp;cp=32.6272~43.9696&amp;sp=point.32.6272_43.9696_Al askary 12","Maplink3")</f>
        <v>Maplink3</v>
      </c>
    </row>
    <row r="2114" spans="1:49" ht="15" customHeight="1" x14ac:dyDescent="0.25">
      <c r="A2114" s="21">
        <v>25475</v>
      </c>
      <c r="B2114" s="22" t="s">
        <v>16</v>
      </c>
      <c r="C2114" s="22" t="s">
        <v>16</v>
      </c>
      <c r="D2114" s="22" t="s">
        <v>3968</v>
      </c>
      <c r="E2114" s="22" t="s">
        <v>3969</v>
      </c>
      <c r="F2114" s="22">
        <v>32.616168097600003</v>
      </c>
      <c r="G2114" s="22">
        <v>43.980416078099999</v>
      </c>
      <c r="H2114" s="21" t="s">
        <v>3858</v>
      </c>
      <c r="I2114" s="21" t="s">
        <v>3934</v>
      </c>
      <c r="J2114" s="21"/>
      <c r="K2114" s="24">
        <v>13</v>
      </c>
      <c r="L2114" s="24">
        <v>78</v>
      </c>
      <c r="M2114" s="23">
        <v>3</v>
      </c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10</v>
      </c>
      <c r="Z2114" s="23"/>
      <c r="AA2114" s="23"/>
      <c r="AB2114" s="23"/>
      <c r="AC2114" s="23"/>
      <c r="AD2114" s="23"/>
      <c r="AE2114" s="23"/>
      <c r="AF2114" s="23">
        <v>2</v>
      </c>
      <c r="AG2114" s="23"/>
      <c r="AH2114" s="23"/>
      <c r="AI2114" s="23"/>
      <c r="AJ2114" s="23"/>
      <c r="AK2114" s="23">
        <v>11</v>
      </c>
      <c r="AL2114" s="23"/>
      <c r="AM2114" s="23"/>
      <c r="AN2114" s="23"/>
      <c r="AO2114" s="23"/>
      <c r="AP2114" s="23">
        <v>13</v>
      </c>
      <c r="AQ2114" s="23"/>
      <c r="AR2114" s="23"/>
      <c r="AS2114" s="23"/>
      <c r="AT2114" s="23"/>
      <c r="AU2114" s="14" t="str">
        <f>HYPERLINK("http://www.openstreetmap.org/?mlat=32.6314&amp;mlon=43.9778&amp;zoom=12#map=12/32.6314/43.9778","Maplink1")</f>
        <v>Maplink1</v>
      </c>
      <c r="AV2114" s="14" t="str">
        <f>HYPERLINK("https://www.google.iq/maps/search/+32.6314,43.9778/@32.6314,43.9778,14z?hl=en","Maplink2")</f>
        <v>Maplink2</v>
      </c>
      <c r="AW2114" s="14" t="str">
        <f>HYPERLINK("http://www.bing.com/maps/?lvl=14&amp;sty=h&amp;cp=32.6314~43.9778&amp;sp=point.32.6314_43.9778_Al askary 14","Maplink3")</f>
        <v>Maplink3</v>
      </c>
    </row>
    <row r="2115" spans="1:49" ht="15" customHeight="1" x14ac:dyDescent="0.25">
      <c r="A2115" s="21">
        <v>25474</v>
      </c>
      <c r="B2115" s="22" t="s">
        <v>16</v>
      </c>
      <c r="C2115" s="22" t="s">
        <v>16</v>
      </c>
      <c r="D2115" s="22" t="s">
        <v>3970</v>
      </c>
      <c r="E2115" s="22" t="s">
        <v>3971</v>
      </c>
      <c r="F2115" s="22">
        <v>32.625611945999999</v>
      </c>
      <c r="G2115" s="22">
        <v>43.967267051299999</v>
      </c>
      <c r="H2115" s="21" t="s">
        <v>3858</v>
      </c>
      <c r="I2115" s="21" t="s">
        <v>3934</v>
      </c>
      <c r="J2115" s="21"/>
      <c r="K2115" s="24">
        <v>9</v>
      </c>
      <c r="L2115" s="24">
        <v>54</v>
      </c>
      <c r="M2115" s="23">
        <v>2</v>
      </c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4</v>
      </c>
      <c r="Z2115" s="23"/>
      <c r="AA2115" s="23">
        <v>3</v>
      </c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>
        <v>9</v>
      </c>
      <c r="AL2115" s="23"/>
      <c r="AM2115" s="23"/>
      <c r="AN2115" s="23"/>
      <c r="AO2115" s="23">
        <v>3</v>
      </c>
      <c r="AP2115" s="23">
        <v>6</v>
      </c>
      <c r="AQ2115" s="23"/>
      <c r="AR2115" s="23"/>
      <c r="AS2115" s="23"/>
      <c r="AT2115" s="23"/>
      <c r="AU2115" s="14" t="str">
        <f>HYPERLINK("http://www.openstreetmap.org/?mlat=32.6233&amp;mlon=43.9747&amp;zoom=12#map=12/32.6233/43.9747","Maplink1")</f>
        <v>Maplink1</v>
      </c>
      <c r="AV2115" s="14" t="str">
        <f>HYPERLINK("https://www.google.iq/maps/search/+32.6233,43.9747/@32.6233,43.9747,14z?hl=en","Maplink2")</f>
        <v>Maplink2</v>
      </c>
      <c r="AW2115" s="14" t="str">
        <f>HYPERLINK("http://www.bing.com/maps/?lvl=14&amp;sty=h&amp;cp=32.6233~43.9747&amp;sp=point.32.6233_43.9747_Al Askary 17","Maplink3")</f>
        <v>Maplink3</v>
      </c>
    </row>
    <row r="2116" spans="1:49" ht="15" customHeight="1" x14ac:dyDescent="0.25">
      <c r="A2116" s="21">
        <v>25478</v>
      </c>
      <c r="B2116" s="22" t="s">
        <v>16</v>
      </c>
      <c r="C2116" s="22" t="s">
        <v>16</v>
      </c>
      <c r="D2116" s="22" t="s">
        <v>3972</v>
      </c>
      <c r="E2116" s="22" t="s">
        <v>3973</v>
      </c>
      <c r="F2116" s="22">
        <v>32.620443999999999</v>
      </c>
      <c r="G2116" s="22">
        <v>43.983832999999997</v>
      </c>
      <c r="H2116" s="21" t="s">
        <v>3858</v>
      </c>
      <c r="I2116" s="21" t="s">
        <v>3934</v>
      </c>
      <c r="J2116" s="21"/>
      <c r="K2116" s="24">
        <v>7</v>
      </c>
      <c r="L2116" s="24">
        <v>42</v>
      </c>
      <c r="M2116" s="23">
        <v>1</v>
      </c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6</v>
      </c>
      <c r="Z2116" s="23"/>
      <c r="AA2116" s="23"/>
      <c r="AB2116" s="23"/>
      <c r="AC2116" s="23"/>
      <c r="AD2116" s="23"/>
      <c r="AE2116" s="23"/>
      <c r="AF2116" s="23">
        <v>3</v>
      </c>
      <c r="AG2116" s="23"/>
      <c r="AH2116" s="23"/>
      <c r="AI2116" s="23"/>
      <c r="AJ2116" s="23"/>
      <c r="AK2116" s="23">
        <v>4</v>
      </c>
      <c r="AL2116" s="23"/>
      <c r="AM2116" s="23"/>
      <c r="AN2116" s="23"/>
      <c r="AO2116" s="23"/>
      <c r="AP2116" s="23">
        <v>6</v>
      </c>
      <c r="AQ2116" s="23"/>
      <c r="AR2116" s="23"/>
      <c r="AS2116" s="23">
        <v>1</v>
      </c>
      <c r="AT2116" s="23"/>
      <c r="AU2116" s="14" t="str">
        <f>HYPERLINK("http://www.openstreetmap.org/?mlat=32.6204&amp;mlon=43.9838&amp;zoom=12#map=12/32.6204/43.9838","Maplink1")</f>
        <v>Maplink1</v>
      </c>
      <c r="AV2116" s="14" t="str">
        <f>HYPERLINK("https://www.google.iq/maps/search/+32.6204,43.9838/@32.6204,43.9838,14z?hl=en","Maplink2")</f>
        <v>Maplink2</v>
      </c>
      <c r="AW2116" s="14" t="str">
        <f>HYPERLINK("http://www.bing.com/maps/?lvl=14&amp;sty=h&amp;cp=32.6204~43.9838&amp;sp=point.32.6204_43.9838_Al askary 19","Maplink3")</f>
        <v>Maplink3</v>
      </c>
    </row>
    <row r="2117" spans="1:49" ht="15" customHeight="1" x14ac:dyDescent="0.25">
      <c r="A2117" s="21">
        <v>25491</v>
      </c>
      <c r="B2117" s="22" t="s">
        <v>16</v>
      </c>
      <c r="C2117" s="22" t="s">
        <v>16</v>
      </c>
      <c r="D2117" s="22" t="s">
        <v>3974</v>
      </c>
      <c r="E2117" s="22" t="s">
        <v>3975</v>
      </c>
      <c r="F2117" s="22">
        <v>32.651461148599999</v>
      </c>
      <c r="G2117" s="22">
        <v>43.978480361400003</v>
      </c>
      <c r="H2117" s="21" t="s">
        <v>3858</v>
      </c>
      <c r="I2117" s="21" t="s">
        <v>3934</v>
      </c>
      <c r="J2117" s="21"/>
      <c r="K2117" s="24">
        <v>28</v>
      </c>
      <c r="L2117" s="24">
        <v>168</v>
      </c>
      <c r="M2117" s="23">
        <v>7</v>
      </c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21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>
        <v>28</v>
      </c>
      <c r="AL2117" s="23"/>
      <c r="AM2117" s="23"/>
      <c r="AN2117" s="23"/>
      <c r="AO2117" s="23">
        <v>7</v>
      </c>
      <c r="AP2117" s="23">
        <v>21</v>
      </c>
      <c r="AQ2117" s="23"/>
      <c r="AR2117" s="23"/>
      <c r="AS2117" s="23"/>
      <c r="AT2117" s="23"/>
      <c r="AU2117" s="14" t="str">
        <f>HYPERLINK("http://www.openstreetmap.org/?mlat=32.6532&amp;mlon=43.9743&amp;zoom=12#map=12/32.6532/43.9743","Maplink1")</f>
        <v>Maplink1</v>
      </c>
      <c r="AV2117" s="14" t="str">
        <f>HYPERLINK("https://www.google.iq/maps/search/+32.6532,43.9743/@32.6532,43.9743,14z?hl=en","Maplink2")</f>
        <v>Maplink2</v>
      </c>
      <c r="AW2117" s="14" t="str">
        <f>HYPERLINK("http://www.bing.com/maps/?lvl=14&amp;sty=h&amp;cp=32.6532~43.9743&amp;sp=point.32.6532_43.9743_Al Askary 2","Maplink3")</f>
        <v>Maplink3</v>
      </c>
    </row>
    <row r="2118" spans="1:49" ht="15" customHeight="1" x14ac:dyDescent="0.25">
      <c r="A2118" s="21">
        <v>25492</v>
      </c>
      <c r="B2118" s="22" t="s">
        <v>16</v>
      </c>
      <c r="C2118" s="22" t="s">
        <v>16</v>
      </c>
      <c r="D2118" s="22" t="s">
        <v>3976</v>
      </c>
      <c r="E2118" s="22" t="s">
        <v>3977</v>
      </c>
      <c r="F2118" s="22">
        <v>32.613460323799998</v>
      </c>
      <c r="G2118" s="22">
        <v>43.9766903222</v>
      </c>
      <c r="H2118" s="21" t="s">
        <v>3858</v>
      </c>
      <c r="I2118" s="21" t="s">
        <v>3934</v>
      </c>
      <c r="J2118" s="21"/>
      <c r="K2118" s="24">
        <v>8</v>
      </c>
      <c r="L2118" s="24">
        <v>48</v>
      </c>
      <c r="M2118" s="23">
        <v>2</v>
      </c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6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>
        <v>8</v>
      </c>
      <c r="AL2118" s="23"/>
      <c r="AM2118" s="23"/>
      <c r="AN2118" s="23"/>
      <c r="AO2118" s="23"/>
      <c r="AP2118" s="23">
        <v>6</v>
      </c>
      <c r="AQ2118" s="23"/>
      <c r="AR2118" s="23"/>
      <c r="AS2118" s="23">
        <v>2</v>
      </c>
      <c r="AT2118" s="23"/>
      <c r="AU2118" s="14" t="str">
        <f>HYPERLINK("http://www.openstreetmap.org/?mlat=32.6541&amp;mlon=43.9769&amp;zoom=12#map=12/32.6541/43.9769","Maplink1")</f>
        <v>Maplink1</v>
      </c>
      <c r="AV2118" s="14" t="str">
        <f>HYPERLINK("https://www.google.iq/maps/search/+32.6541,43.9769/@32.6541,43.9769,14z?hl=en","Maplink2")</f>
        <v>Maplink2</v>
      </c>
      <c r="AW2118" s="14" t="str">
        <f>HYPERLINK("http://www.bing.com/maps/?lvl=14&amp;sty=h&amp;cp=32.6541~43.9769&amp;sp=point.32.6541_43.9769_Al Askary 4","Maplink3")</f>
        <v>Maplink3</v>
      </c>
    </row>
    <row r="2119" spans="1:49" ht="15" customHeight="1" x14ac:dyDescent="0.25">
      <c r="A2119" s="21">
        <v>22500</v>
      </c>
      <c r="B2119" s="22" t="s">
        <v>16</v>
      </c>
      <c r="C2119" s="22" t="s">
        <v>16</v>
      </c>
      <c r="D2119" s="22" t="s">
        <v>3978</v>
      </c>
      <c r="E2119" s="22" t="s">
        <v>3979</v>
      </c>
      <c r="F2119" s="22">
        <v>32.619716282900001</v>
      </c>
      <c r="G2119" s="22">
        <v>43.971380805599999</v>
      </c>
      <c r="H2119" s="21" t="s">
        <v>3858</v>
      </c>
      <c r="I2119" s="21" t="s">
        <v>3934</v>
      </c>
      <c r="J2119" s="21" t="s">
        <v>3980</v>
      </c>
      <c r="K2119" s="24">
        <v>2</v>
      </c>
      <c r="L2119" s="24">
        <v>12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2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2</v>
      </c>
      <c r="AL2119" s="23"/>
      <c r="AM2119" s="23"/>
      <c r="AN2119" s="23"/>
      <c r="AO2119" s="23"/>
      <c r="AP2119" s="23">
        <v>2</v>
      </c>
      <c r="AQ2119" s="23"/>
      <c r="AR2119" s="23"/>
      <c r="AS2119" s="23"/>
      <c r="AT2119" s="23"/>
      <c r="AU2119" s="14" t="str">
        <f>HYPERLINK("http://www.openstreetmap.org/?mlat=32.6201&amp;mlon=43.9735&amp;zoom=12#map=12/32.6201/43.9735","Maplink1")</f>
        <v>Maplink1</v>
      </c>
      <c r="AV2119" s="14" t="str">
        <f>HYPERLINK("https://www.google.iq/maps/search/+32.6201,43.9735/@32.6201,43.9735,14z?hl=en","Maplink2")</f>
        <v>Maplink2</v>
      </c>
      <c r="AW2119" s="14" t="str">
        <f>HYPERLINK("http://www.bing.com/maps/?lvl=14&amp;sty=h&amp;cp=32.6201~43.9735&amp;sp=point.32.6201_43.9735_Al Askary-107","Maplink3")</f>
        <v>Maplink3</v>
      </c>
    </row>
    <row r="2120" spans="1:49" ht="15" customHeight="1" x14ac:dyDescent="0.25">
      <c r="A2120" s="21">
        <v>25360</v>
      </c>
      <c r="B2120" s="22" t="s">
        <v>16</v>
      </c>
      <c r="C2120" s="22" t="s">
        <v>16</v>
      </c>
      <c r="D2120" s="22" t="s">
        <v>3981</v>
      </c>
      <c r="E2120" s="22" t="s">
        <v>3982</v>
      </c>
      <c r="F2120" s="22">
        <v>32.6160811353</v>
      </c>
      <c r="G2120" s="22">
        <v>43.978497208999997</v>
      </c>
      <c r="H2120" s="21" t="s">
        <v>3858</v>
      </c>
      <c r="I2120" s="21" t="s">
        <v>3934</v>
      </c>
      <c r="J2120" s="21"/>
      <c r="K2120" s="24">
        <v>20</v>
      </c>
      <c r="L2120" s="24">
        <v>120</v>
      </c>
      <c r="M2120" s="23">
        <v>4</v>
      </c>
      <c r="N2120" s="23"/>
      <c r="O2120" s="23"/>
      <c r="P2120" s="23"/>
      <c r="Q2120" s="23"/>
      <c r="R2120" s="23"/>
      <c r="S2120" s="23"/>
      <c r="T2120" s="23"/>
      <c r="U2120" s="23">
        <v>2</v>
      </c>
      <c r="V2120" s="23"/>
      <c r="W2120" s="23"/>
      <c r="X2120" s="23"/>
      <c r="Y2120" s="23">
        <v>14</v>
      </c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>
        <v>20</v>
      </c>
      <c r="AL2120" s="23"/>
      <c r="AM2120" s="23"/>
      <c r="AN2120" s="23"/>
      <c r="AO2120" s="23"/>
      <c r="AP2120" s="23">
        <v>17</v>
      </c>
      <c r="AQ2120" s="23">
        <v>3</v>
      </c>
      <c r="AR2120" s="23"/>
      <c r="AS2120" s="23"/>
      <c r="AT2120" s="23"/>
      <c r="AU2120" s="14" t="str">
        <f>HYPERLINK("http://www.openstreetmap.org/?mlat=32.6255&amp;mlon=43.968&amp;zoom=12#map=12/32.6255/43.968","Maplink1")</f>
        <v>Maplink1</v>
      </c>
      <c r="AV2120" s="14" t="str">
        <f>HYPERLINK("https://www.google.iq/maps/search/+32.6255,43.968/@32.6255,43.968,14z?hl=en","Maplink2")</f>
        <v>Maplink2</v>
      </c>
      <c r="AW2120" s="14" t="str">
        <f>HYPERLINK("http://www.bing.com/maps/?lvl=14&amp;sty=h&amp;cp=32.6255~43.968&amp;sp=point.32.6255_43.968_Al Askary-15","Maplink3")</f>
        <v>Maplink3</v>
      </c>
    </row>
    <row r="2121" spans="1:49" ht="15" customHeight="1" x14ac:dyDescent="0.25">
      <c r="A2121" s="21">
        <v>25484</v>
      </c>
      <c r="B2121" s="22" t="s">
        <v>16</v>
      </c>
      <c r="C2121" s="22" t="s">
        <v>16</v>
      </c>
      <c r="D2121" s="22" t="s">
        <v>8852</v>
      </c>
      <c r="E2121" s="22" t="s">
        <v>8040</v>
      </c>
      <c r="F2121" s="22">
        <v>32.646657940899999</v>
      </c>
      <c r="G2121" s="22">
        <v>43.9700507652</v>
      </c>
      <c r="H2121" s="21" t="s">
        <v>3858</v>
      </c>
      <c r="I2121" s="21" t="s">
        <v>3934</v>
      </c>
      <c r="J2121" s="21"/>
      <c r="K2121" s="24">
        <v>320</v>
      </c>
      <c r="L2121" s="24">
        <v>1920</v>
      </c>
      <c r="M2121" s="23">
        <v>7</v>
      </c>
      <c r="N2121" s="23"/>
      <c r="O2121" s="23">
        <v>2</v>
      </c>
      <c r="P2121" s="23"/>
      <c r="Q2121" s="23"/>
      <c r="R2121" s="23"/>
      <c r="S2121" s="23"/>
      <c r="T2121" s="23"/>
      <c r="U2121" s="23"/>
      <c r="V2121" s="23"/>
      <c r="W2121" s="23"/>
      <c r="X2121" s="23"/>
      <c r="Y2121" s="23">
        <v>311</v>
      </c>
      <c r="Z2121" s="23"/>
      <c r="AA2121" s="23"/>
      <c r="AB2121" s="23"/>
      <c r="AC2121" s="23"/>
      <c r="AD2121" s="23"/>
      <c r="AE2121" s="23"/>
      <c r="AF2121" s="23">
        <v>6</v>
      </c>
      <c r="AG2121" s="23"/>
      <c r="AH2121" s="23"/>
      <c r="AI2121" s="23"/>
      <c r="AJ2121" s="23"/>
      <c r="AK2121" s="23">
        <v>314</v>
      </c>
      <c r="AL2121" s="23"/>
      <c r="AM2121" s="23"/>
      <c r="AN2121" s="23"/>
      <c r="AO2121" s="23"/>
      <c r="AP2121" s="23">
        <v>315</v>
      </c>
      <c r="AQ2121" s="23">
        <v>5</v>
      </c>
      <c r="AR2121" s="23"/>
      <c r="AS2121" s="23"/>
      <c r="AT2121" s="23"/>
      <c r="AU2121" s="14" t="str">
        <f>HYPERLINK("http://www.openstreetmap.org/?mlat=32.6466&amp;mlon=43.9711&amp;zoom=12#map=12/32.6466/43.9711","Maplink1")</f>
        <v>Maplink1</v>
      </c>
      <c r="AV2121" s="14" t="str">
        <f>HYPERLINK("https://www.google.iq/maps/search/+32.6466,43.9711/@32.6466,43.9711,14z?hl=en","Maplink2")</f>
        <v>Maplink2</v>
      </c>
      <c r="AW2121" s="14" t="str">
        <f>HYPERLINK("http://www.bing.com/maps/?lvl=14&amp;sty=h&amp;cp=32.6466~43.9711&amp;sp=point.32.6466_43.9711_Al Askary","Maplink3")</f>
        <v>Maplink3</v>
      </c>
    </row>
    <row r="2122" spans="1:49" ht="15" customHeight="1" x14ac:dyDescent="0.25">
      <c r="A2122" s="21">
        <v>25064</v>
      </c>
      <c r="B2122" s="22" t="s">
        <v>16</v>
      </c>
      <c r="C2122" s="22" t="s">
        <v>16</v>
      </c>
      <c r="D2122" s="22" t="s">
        <v>8853</v>
      </c>
      <c r="E2122" s="22" t="s">
        <v>4112</v>
      </c>
      <c r="F2122" s="22">
        <v>32.672006702099999</v>
      </c>
      <c r="G2122" s="22">
        <v>44.1640584636</v>
      </c>
      <c r="H2122" s="21" t="s">
        <v>3858</v>
      </c>
      <c r="I2122" s="21" t="s">
        <v>3934</v>
      </c>
      <c r="J2122" s="21"/>
      <c r="K2122" s="24">
        <v>35</v>
      </c>
      <c r="L2122" s="24">
        <v>210</v>
      </c>
      <c r="M2122" s="23">
        <v>4</v>
      </c>
      <c r="N2122" s="23">
        <v>13</v>
      </c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18</v>
      </c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>
        <v>35</v>
      </c>
      <c r="AL2122" s="23"/>
      <c r="AM2122" s="23"/>
      <c r="AN2122" s="23"/>
      <c r="AO2122" s="23">
        <v>17</v>
      </c>
      <c r="AP2122" s="23">
        <v>18</v>
      </c>
      <c r="AQ2122" s="23"/>
      <c r="AR2122" s="23"/>
      <c r="AS2122" s="23"/>
      <c r="AT2122" s="23"/>
      <c r="AU2122" s="14" t="str">
        <f>HYPERLINK("http://www.openstreetmap.org/?mlat=32.6706&amp;mlon=44.1626&amp;zoom=12#map=12/32.6706/44.1626","Maplink1")</f>
        <v>Maplink1</v>
      </c>
      <c r="AV2122" s="14" t="str">
        <f>HYPERLINK("https://www.google.iq/maps/search/+32.6706,44.1626/@32.6706,44.1626,14z?hl=en","Maplink2")</f>
        <v>Maplink2</v>
      </c>
      <c r="AW2122" s="14" t="str">
        <f>HYPERLINK("http://www.bing.com/maps/?lvl=14&amp;sty=h&amp;cp=32.6706~44.1626&amp;sp=point.32.6706_44.1626_Al-hussainyh-Al Ateshy","Maplink3")</f>
        <v>Maplink3</v>
      </c>
    </row>
    <row r="2123" spans="1:49" ht="15" customHeight="1" x14ac:dyDescent="0.25">
      <c r="A2123" s="21">
        <v>25355</v>
      </c>
      <c r="B2123" s="22" t="s">
        <v>16</v>
      </c>
      <c r="C2123" s="22" t="s">
        <v>16</v>
      </c>
      <c r="D2123" s="22" t="s">
        <v>3985</v>
      </c>
      <c r="E2123" s="22" t="s">
        <v>3986</v>
      </c>
      <c r="F2123" s="22">
        <v>32.630373411800001</v>
      </c>
      <c r="G2123" s="22">
        <v>44.062334178</v>
      </c>
      <c r="H2123" s="21" t="s">
        <v>3858</v>
      </c>
      <c r="I2123" s="21" t="s">
        <v>3934</v>
      </c>
      <c r="J2123" s="21"/>
      <c r="K2123" s="24">
        <v>14</v>
      </c>
      <c r="L2123" s="24">
        <v>84</v>
      </c>
      <c r="M2123" s="23"/>
      <c r="N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14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>
        <v>11</v>
      </c>
      <c r="AK2123" s="23">
        <v>3</v>
      </c>
      <c r="AL2123" s="23"/>
      <c r="AM2123" s="23"/>
      <c r="AN2123" s="23"/>
      <c r="AO2123" s="23"/>
      <c r="AP2123" s="23">
        <v>14</v>
      </c>
      <c r="AQ2123" s="23"/>
      <c r="AR2123" s="23"/>
      <c r="AS2123" s="23"/>
      <c r="AT2123" s="23"/>
      <c r="AU2123" s="14" t="str">
        <f>HYPERLINK("http://www.openstreetmap.org/?mlat=32.3742&amp;mlon=44.0333&amp;zoom=12#map=12/32.3742/44.0333","Maplink1")</f>
        <v>Maplink1</v>
      </c>
      <c r="AV2123" s="14" t="str">
        <f>HYPERLINK("https://www.google.iq/maps/search/+32.3742,44.0333/@32.3742,44.0333,14z?hl=en","Maplink2")</f>
        <v>Maplink2</v>
      </c>
      <c r="AW2123" s="14" t="str">
        <f>HYPERLINK("http://www.bing.com/maps/?lvl=14&amp;sty=h&amp;cp=32.3742~44.0333&amp;sp=point.32.3742_44.0333_Al Dafteer Dar","Maplink3")</f>
        <v>Maplink3</v>
      </c>
    </row>
    <row r="2124" spans="1:49" ht="15" customHeight="1" x14ac:dyDescent="0.25">
      <c r="A2124" s="21">
        <v>25482</v>
      </c>
      <c r="B2124" s="22" t="s">
        <v>16</v>
      </c>
      <c r="C2124" s="22" t="s">
        <v>16</v>
      </c>
      <c r="D2124" s="22" t="s">
        <v>3987</v>
      </c>
      <c r="E2124" s="22" t="s">
        <v>3988</v>
      </c>
      <c r="F2124" s="22">
        <v>32.645862665999999</v>
      </c>
      <c r="G2124" s="22">
        <v>44.021712792999999</v>
      </c>
      <c r="H2124" s="21" t="s">
        <v>3858</v>
      </c>
      <c r="I2124" s="21" t="s">
        <v>3934</v>
      </c>
      <c r="J2124" s="21"/>
      <c r="K2124" s="24">
        <v>16</v>
      </c>
      <c r="L2124" s="24">
        <v>96</v>
      </c>
      <c r="M2124" s="23"/>
      <c r="N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16</v>
      </c>
      <c r="Z2124" s="23"/>
      <c r="AA2124" s="23"/>
      <c r="AB2124" s="23"/>
      <c r="AC2124" s="23"/>
      <c r="AD2124" s="23"/>
      <c r="AE2124" s="23"/>
      <c r="AF2124" s="23">
        <v>7</v>
      </c>
      <c r="AG2124" s="23"/>
      <c r="AH2124" s="23"/>
      <c r="AI2124" s="23"/>
      <c r="AJ2124" s="23"/>
      <c r="AK2124" s="23">
        <v>9</v>
      </c>
      <c r="AL2124" s="23"/>
      <c r="AM2124" s="23"/>
      <c r="AN2124" s="23"/>
      <c r="AO2124" s="23"/>
      <c r="AP2124" s="23">
        <v>16</v>
      </c>
      <c r="AQ2124" s="23"/>
      <c r="AR2124" s="23"/>
      <c r="AS2124" s="23"/>
      <c r="AT2124" s="23"/>
      <c r="AU2124" s="14" t="str">
        <f>HYPERLINK("http://www.openstreetmap.org/?mlat=32.6354&amp;mlon=43.9966&amp;zoom=12#map=12/32.6354/43.9966","Maplink1")</f>
        <v>Maplink1</v>
      </c>
      <c r="AV2124" s="14" t="str">
        <f>HYPERLINK("https://www.google.iq/maps/search/+32.6354,43.9966/@32.6354,43.9966,14z?hl=en","Maplink2")</f>
        <v>Maplink2</v>
      </c>
      <c r="AW2124" s="14" t="str">
        <f>HYPERLINK("http://www.bing.com/maps/?lvl=14&amp;sty=h&amp;cp=32.6354~43.9966&amp;sp=point.32.6354_43.9966_Al Dalya 2","Maplink3")</f>
        <v>Maplink3</v>
      </c>
    </row>
    <row r="2125" spans="1:49" ht="15" customHeight="1" x14ac:dyDescent="0.25">
      <c r="A2125" s="21">
        <v>25483</v>
      </c>
      <c r="B2125" s="22" t="s">
        <v>16</v>
      </c>
      <c r="C2125" s="22" t="s">
        <v>16</v>
      </c>
      <c r="D2125" s="22" t="s">
        <v>3989</v>
      </c>
      <c r="E2125" s="22" t="s">
        <v>3990</v>
      </c>
      <c r="F2125" s="22">
        <v>32.648053318300001</v>
      </c>
      <c r="G2125" s="22">
        <v>44.017040971699998</v>
      </c>
      <c r="H2125" s="21" t="s">
        <v>3858</v>
      </c>
      <c r="I2125" s="21" t="s">
        <v>3934</v>
      </c>
      <c r="J2125" s="21"/>
      <c r="K2125" s="24">
        <v>51</v>
      </c>
      <c r="L2125" s="24">
        <v>306</v>
      </c>
      <c r="M2125" s="23"/>
      <c r="N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51</v>
      </c>
      <c r="Z2125" s="23"/>
      <c r="AA2125" s="23"/>
      <c r="AB2125" s="23"/>
      <c r="AC2125" s="23"/>
      <c r="AD2125" s="23"/>
      <c r="AE2125" s="23"/>
      <c r="AF2125" s="23">
        <v>7</v>
      </c>
      <c r="AG2125" s="23"/>
      <c r="AH2125" s="23"/>
      <c r="AI2125" s="23"/>
      <c r="AJ2125" s="23"/>
      <c r="AK2125" s="23">
        <v>44</v>
      </c>
      <c r="AL2125" s="23"/>
      <c r="AM2125" s="23"/>
      <c r="AN2125" s="23"/>
      <c r="AO2125" s="23"/>
      <c r="AP2125" s="23">
        <v>51</v>
      </c>
      <c r="AQ2125" s="23"/>
      <c r="AR2125" s="23"/>
      <c r="AS2125" s="23"/>
      <c r="AT2125" s="23"/>
      <c r="AU2125" s="14" t="str">
        <f>HYPERLINK("http://www.openstreetmap.org/?mlat=32.6306&amp;mlon=44.0016&amp;zoom=12#map=12/32.6306/44.0016","Maplink1")</f>
        <v>Maplink1</v>
      </c>
      <c r="AV2125" s="14" t="str">
        <f>HYPERLINK("https://www.google.iq/maps/search/+32.6306,44.0016/@32.6306,44.0016,14z?hl=en","Maplink2")</f>
        <v>Maplink2</v>
      </c>
      <c r="AW2125" s="14" t="str">
        <f>HYPERLINK("http://www.bing.com/maps/?lvl=14&amp;sty=h&amp;cp=32.6306~44.0016&amp;sp=point.32.6306_44.0016_Al Dalya1","Maplink3")</f>
        <v>Maplink3</v>
      </c>
    </row>
    <row r="2126" spans="1:49" ht="15" customHeight="1" x14ac:dyDescent="0.25">
      <c r="A2126" s="21">
        <v>25904</v>
      </c>
      <c r="B2126" s="22" t="s">
        <v>16</v>
      </c>
      <c r="C2126" s="22" t="s">
        <v>16</v>
      </c>
      <c r="D2126" s="22" t="s">
        <v>7334</v>
      </c>
      <c r="E2126" s="22" t="s">
        <v>3993</v>
      </c>
      <c r="F2126" s="22">
        <v>32.58211</v>
      </c>
      <c r="G2126" s="22">
        <v>44.013646000000001</v>
      </c>
      <c r="H2126" s="21" t="s">
        <v>3858</v>
      </c>
      <c r="I2126" s="21" t="s">
        <v>3934</v>
      </c>
      <c r="J2126" s="21"/>
      <c r="K2126" s="24">
        <v>8</v>
      </c>
      <c r="L2126" s="24">
        <v>48</v>
      </c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8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>
        <v>8</v>
      </c>
      <c r="AL2126" s="23"/>
      <c r="AM2126" s="23"/>
      <c r="AN2126" s="23"/>
      <c r="AO2126" s="23"/>
      <c r="AP2126" s="23">
        <v>8</v>
      </c>
      <c r="AQ2126" s="23"/>
      <c r="AR2126" s="23"/>
      <c r="AS2126" s="23"/>
      <c r="AT2126" s="23"/>
      <c r="AU2126" s="14" t="str">
        <f>HYPERLINK("http://www.openstreetmap.org/?mlat=32.5821&amp;mlon=44.0136&amp;zoom=12#map=12/32.5821/44.0136","Maplink1")</f>
        <v>Maplink1</v>
      </c>
      <c r="AV2126" s="14" t="str">
        <f>HYPERLINK("https://www.google.iq/maps/search/+32.5821,44.0136/@32.5821,44.0136,14z?hl=en","Maplink2")</f>
        <v>Maplink2</v>
      </c>
      <c r="AW2126" s="14" t="str">
        <f>HYPERLINK("http://www.bing.com/maps/?lvl=14&amp;sty=h&amp;cp=32.5821~44.0136&amp;sp=point.32.5821_44.0136_Al Eman 2","Maplink3")</f>
        <v>Maplink3</v>
      </c>
    </row>
    <row r="2127" spans="1:49" ht="15" customHeight="1" x14ac:dyDescent="0.25">
      <c r="A2127" s="21">
        <v>25264</v>
      </c>
      <c r="B2127" s="22" t="s">
        <v>16</v>
      </c>
      <c r="C2127" s="22" t="s">
        <v>16</v>
      </c>
      <c r="D2127" s="22" t="s">
        <v>8854</v>
      </c>
      <c r="E2127" s="22" t="s">
        <v>8855</v>
      </c>
      <c r="F2127" s="22">
        <v>32.606807732999997</v>
      </c>
      <c r="G2127" s="22">
        <v>44.066779939500002</v>
      </c>
      <c r="H2127" s="21" t="s">
        <v>3858</v>
      </c>
      <c r="I2127" s="21" t="s">
        <v>3934</v>
      </c>
      <c r="J2127" s="21"/>
      <c r="K2127" s="24">
        <v>118</v>
      </c>
      <c r="L2127" s="24">
        <v>708</v>
      </c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118</v>
      </c>
      <c r="Z2127" s="23"/>
      <c r="AA2127" s="23"/>
      <c r="AB2127" s="23"/>
      <c r="AC2127" s="23"/>
      <c r="AD2127" s="23"/>
      <c r="AE2127" s="23"/>
      <c r="AF2127" s="23">
        <v>25</v>
      </c>
      <c r="AG2127" s="23"/>
      <c r="AH2127" s="23"/>
      <c r="AI2127" s="23"/>
      <c r="AJ2127" s="23">
        <v>20</v>
      </c>
      <c r="AK2127" s="23">
        <v>73</v>
      </c>
      <c r="AL2127" s="23"/>
      <c r="AM2127" s="23"/>
      <c r="AN2127" s="23"/>
      <c r="AO2127" s="23"/>
      <c r="AP2127" s="23">
        <v>118</v>
      </c>
      <c r="AQ2127" s="23"/>
      <c r="AR2127" s="23"/>
      <c r="AS2127" s="23"/>
      <c r="AT2127" s="23"/>
      <c r="AU2127" s="14" t="str">
        <f>HYPERLINK("http://www.openstreetmap.org/?mlat=32.6069&amp;mlon=44.0665&amp;zoom=12#map=12/32.6069/44.0665","Maplink1")</f>
        <v>Maplink1</v>
      </c>
      <c r="AV2127" s="14" t="str">
        <f>HYPERLINK("https://www.google.iq/maps/search/+32.6069,44.0665/@32.6069,44.0665,14z?hl=en","Maplink2")</f>
        <v>Maplink2</v>
      </c>
      <c r="AW2127" s="14" t="str">
        <f>HYPERLINK("http://www.bing.com/maps/?lvl=14&amp;sty=h&amp;cp=32.6069~44.0665&amp;sp=point.32.6069_44.0665_Al Freda","Maplink3")</f>
        <v>Maplink3</v>
      </c>
    </row>
    <row r="2128" spans="1:49" ht="15" customHeight="1" x14ac:dyDescent="0.25">
      <c r="A2128" s="21">
        <v>25887</v>
      </c>
      <c r="B2128" s="22" t="s">
        <v>16</v>
      </c>
      <c r="C2128" s="22" t="s">
        <v>16</v>
      </c>
      <c r="D2128" s="22" t="s">
        <v>3994</v>
      </c>
      <c r="E2128" s="22" t="s">
        <v>3995</v>
      </c>
      <c r="F2128" s="22">
        <v>32.687455513499998</v>
      </c>
      <c r="G2128" s="22">
        <v>44.102793624599997</v>
      </c>
      <c r="H2128" s="21" t="s">
        <v>3858</v>
      </c>
      <c r="I2128" s="21" t="s">
        <v>3934</v>
      </c>
      <c r="J2128" s="21"/>
      <c r="K2128" s="24">
        <v>70</v>
      </c>
      <c r="L2128" s="24">
        <v>420</v>
      </c>
      <c r="M2128" s="23">
        <v>3</v>
      </c>
      <c r="N2128" s="23">
        <v>9</v>
      </c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58</v>
      </c>
      <c r="Z2128" s="23"/>
      <c r="AA2128" s="23"/>
      <c r="AB2128" s="23"/>
      <c r="AC2128" s="23"/>
      <c r="AD2128" s="23"/>
      <c r="AE2128" s="23"/>
      <c r="AF2128" s="23">
        <v>3</v>
      </c>
      <c r="AG2128" s="23"/>
      <c r="AH2128" s="23"/>
      <c r="AI2128" s="23"/>
      <c r="AJ2128" s="23">
        <v>58</v>
      </c>
      <c r="AK2128" s="23">
        <v>9</v>
      </c>
      <c r="AL2128" s="23"/>
      <c r="AM2128" s="23"/>
      <c r="AN2128" s="23"/>
      <c r="AO2128" s="23">
        <v>12</v>
      </c>
      <c r="AP2128" s="23">
        <v>58</v>
      </c>
      <c r="AQ2128" s="23"/>
      <c r="AR2128" s="23"/>
      <c r="AS2128" s="23"/>
      <c r="AT2128" s="23"/>
      <c r="AU2128" s="14" t="str">
        <f>HYPERLINK("http://www.openstreetmap.org/?mlat=32.6897&amp;mlon=44.0865&amp;zoom=12#map=12/32.6897/44.0865","Maplink1")</f>
        <v>Maplink1</v>
      </c>
      <c r="AV2128" s="14" t="str">
        <f>HYPERLINK("https://www.google.iq/maps/search/+32.6897,44.0865/@32.6897,44.0865,14z?hl=en","Maplink2")</f>
        <v>Maplink2</v>
      </c>
      <c r="AW2128" s="14" t="str">
        <f>HYPERLINK("http://www.bing.com/maps/?lvl=14&amp;sty=h&amp;cp=32.6897~44.0865&amp;sp=point.32.6897_44.0865_Al Fadha","Maplink3")</f>
        <v>Maplink3</v>
      </c>
    </row>
    <row r="2129" spans="1:49" ht="15" customHeight="1" x14ac:dyDescent="0.25">
      <c r="A2129" s="21">
        <v>14137</v>
      </c>
      <c r="B2129" s="22" t="s">
        <v>16</v>
      </c>
      <c r="C2129" s="22" t="s">
        <v>16</v>
      </c>
      <c r="D2129" s="22" t="s">
        <v>3996</v>
      </c>
      <c r="E2129" s="22" t="s">
        <v>3997</v>
      </c>
      <c r="F2129" s="22">
        <v>32.6377315493</v>
      </c>
      <c r="G2129" s="22">
        <v>44.076967723700001</v>
      </c>
      <c r="H2129" s="21" t="s">
        <v>3858</v>
      </c>
      <c r="I2129" s="21" t="s">
        <v>3934</v>
      </c>
      <c r="J2129" s="21" t="s">
        <v>3998</v>
      </c>
      <c r="K2129" s="24">
        <v>13</v>
      </c>
      <c r="L2129" s="24">
        <v>78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13</v>
      </c>
      <c r="Z2129" s="23"/>
      <c r="AA2129" s="23"/>
      <c r="AB2129" s="23"/>
      <c r="AC2129" s="23"/>
      <c r="AD2129" s="23"/>
      <c r="AE2129" s="23"/>
      <c r="AF2129" s="23">
        <v>13</v>
      </c>
      <c r="AG2129" s="23"/>
      <c r="AH2129" s="23"/>
      <c r="AI2129" s="23"/>
      <c r="AJ2129" s="23"/>
      <c r="AK2129" s="23"/>
      <c r="AL2129" s="23"/>
      <c r="AM2129" s="23"/>
      <c r="AN2129" s="23"/>
      <c r="AO2129" s="23"/>
      <c r="AP2129" s="23">
        <v>13</v>
      </c>
      <c r="AQ2129" s="23"/>
      <c r="AR2129" s="23"/>
      <c r="AS2129" s="23"/>
      <c r="AT2129" s="23"/>
      <c r="AU2129" s="14" t="str">
        <f>HYPERLINK("http://www.openstreetmap.org/?mlat=32.6717&amp;mlon=44.1698&amp;zoom=12#map=12/32.6717/44.1698","Maplink1")</f>
        <v>Maplink1</v>
      </c>
      <c r="AV2129" s="14" t="str">
        <f>HYPERLINK("https://www.google.iq/maps/search/+32.6717,44.1698/@32.6717,44.1698,14z?hl=en","Maplink2")</f>
        <v>Maplink2</v>
      </c>
      <c r="AW2129" s="14" t="str">
        <f>HYPERLINK("http://www.bing.com/maps/?lvl=14&amp;sty=h&amp;cp=32.6717~44.1698&amp;sp=point.32.6717_44.1698_Al Farashea","Maplink3")</f>
        <v>Maplink3</v>
      </c>
    </row>
    <row r="2130" spans="1:49" ht="15" customHeight="1" x14ac:dyDescent="0.25">
      <c r="A2130" s="21">
        <v>25480</v>
      </c>
      <c r="B2130" s="22" t="s">
        <v>16</v>
      </c>
      <c r="C2130" s="22" t="s">
        <v>16</v>
      </c>
      <c r="D2130" s="22" t="s">
        <v>3999</v>
      </c>
      <c r="E2130" s="22" t="s">
        <v>4000</v>
      </c>
      <c r="F2130" s="22">
        <v>32.626972706099998</v>
      </c>
      <c r="G2130" s="22">
        <v>43.963468456599998</v>
      </c>
      <c r="H2130" s="21" t="s">
        <v>3858</v>
      </c>
      <c r="I2130" s="21" t="s">
        <v>3934</v>
      </c>
      <c r="J2130" s="21"/>
      <c r="K2130" s="24">
        <v>20</v>
      </c>
      <c r="L2130" s="24">
        <v>120</v>
      </c>
      <c r="M2130" s="23">
        <v>2</v>
      </c>
      <c r="N2130" s="23"/>
      <c r="O2130" s="23"/>
      <c r="P2130" s="23"/>
      <c r="Q2130" s="23"/>
      <c r="R2130" s="23"/>
      <c r="S2130" s="23"/>
      <c r="T2130" s="23"/>
      <c r="U2130" s="23">
        <v>3</v>
      </c>
      <c r="V2130" s="23"/>
      <c r="W2130" s="23"/>
      <c r="X2130" s="23"/>
      <c r="Y2130" s="23">
        <v>15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>
        <v>20</v>
      </c>
      <c r="AL2130" s="23"/>
      <c r="AM2130" s="23"/>
      <c r="AN2130" s="23"/>
      <c r="AO2130" s="23">
        <v>5</v>
      </c>
      <c r="AP2130" s="23">
        <v>15</v>
      </c>
      <c r="AQ2130" s="23"/>
      <c r="AR2130" s="23"/>
      <c r="AS2130" s="23"/>
      <c r="AT2130" s="23"/>
      <c r="AU2130" s="14" t="str">
        <f>HYPERLINK("http://www.openstreetmap.org/?mlat=32.6122&amp;mlon=43.9753&amp;zoom=12#map=12/32.6122/43.9753","Maplink1")</f>
        <v>Maplink1</v>
      </c>
      <c r="AV2130" s="14" t="str">
        <f>HYPERLINK("https://www.google.iq/maps/search/+32.6122,43.9753/@32.6122,43.9753,14z?hl=en","Maplink2")</f>
        <v>Maplink2</v>
      </c>
      <c r="AW2130" s="14" t="str">
        <f>HYPERLINK("http://www.bing.com/maps/?lvl=14&amp;sty=h&amp;cp=32.6122~43.9753&amp;sp=point.32.6122_43.9753_Al Forat 1","Maplink3")</f>
        <v>Maplink3</v>
      </c>
    </row>
    <row r="2131" spans="1:49" ht="15" customHeight="1" x14ac:dyDescent="0.25">
      <c r="A2131" s="21">
        <v>25481</v>
      </c>
      <c r="B2131" s="22" t="s">
        <v>16</v>
      </c>
      <c r="C2131" s="22" t="s">
        <v>16</v>
      </c>
      <c r="D2131" s="22" t="s">
        <v>4001</v>
      </c>
      <c r="E2131" s="22" t="s">
        <v>4002</v>
      </c>
      <c r="F2131" s="22">
        <v>32.624314175899997</v>
      </c>
      <c r="G2131" s="22">
        <v>43.964245375200001</v>
      </c>
      <c r="H2131" s="21" t="s">
        <v>3858</v>
      </c>
      <c r="I2131" s="21" t="s">
        <v>3934</v>
      </c>
      <c r="J2131" s="21"/>
      <c r="K2131" s="24">
        <v>26</v>
      </c>
      <c r="L2131" s="24">
        <v>156</v>
      </c>
      <c r="M2131" s="23">
        <v>2</v>
      </c>
      <c r="N2131" s="23"/>
      <c r="O2131" s="23">
        <v>2</v>
      </c>
      <c r="P2131" s="23"/>
      <c r="Q2131" s="23"/>
      <c r="R2131" s="23"/>
      <c r="S2131" s="23"/>
      <c r="T2131" s="23"/>
      <c r="U2131" s="23">
        <v>8</v>
      </c>
      <c r="V2131" s="23"/>
      <c r="W2131" s="23"/>
      <c r="X2131" s="23"/>
      <c r="Y2131" s="23">
        <v>14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>
        <v>26</v>
      </c>
      <c r="AL2131" s="23"/>
      <c r="AM2131" s="23"/>
      <c r="AN2131" s="23"/>
      <c r="AO2131" s="23">
        <v>3</v>
      </c>
      <c r="AP2131" s="23">
        <v>22</v>
      </c>
      <c r="AQ2131" s="23"/>
      <c r="AR2131" s="23"/>
      <c r="AS2131" s="23">
        <v>1</v>
      </c>
      <c r="AT2131" s="23"/>
      <c r="AU2131" s="14" t="str">
        <f>HYPERLINK("http://www.openstreetmap.org/?mlat=32.6022&amp;mlon=43.9643&amp;zoom=12#map=12/32.6022/43.9643","Maplink1")</f>
        <v>Maplink1</v>
      </c>
      <c r="AV2131" s="14" t="str">
        <f>HYPERLINK("https://www.google.iq/maps/search/+32.6022,43.9643/@32.6022,43.9643,14z?hl=en","Maplink2")</f>
        <v>Maplink2</v>
      </c>
      <c r="AW2131" s="14" t="str">
        <f>HYPERLINK("http://www.bing.com/maps/?lvl=14&amp;sty=h&amp;cp=32.6022~43.9643&amp;sp=point.32.6022_43.9643_Al forat 2","Maplink3")</f>
        <v>Maplink3</v>
      </c>
    </row>
    <row r="2132" spans="1:49" ht="15" customHeight="1" x14ac:dyDescent="0.25">
      <c r="A2132" s="21">
        <v>25956</v>
      </c>
      <c r="B2132" s="22" t="s">
        <v>16</v>
      </c>
      <c r="C2132" s="22" t="s">
        <v>16</v>
      </c>
      <c r="D2132" s="22" t="s">
        <v>4003</v>
      </c>
      <c r="E2132" s="22" t="s">
        <v>4004</v>
      </c>
      <c r="F2132" s="22">
        <v>32.5741828512</v>
      </c>
      <c r="G2132" s="22">
        <v>44.015650330100001</v>
      </c>
      <c r="H2132" s="21" t="s">
        <v>3858</v>
      </c>
      <c r="I2132" s="21" t="s">
        <v>3934</v>
      </c>
      <c r="J2132" s="21"/>
      <c r="K2132" s="24">
        <v>10</v>
      </c>
      <c r="L2132" s="24">
        <v>60</v>
      </c>
      <c r="M2132" s="23"/>
      <c r="N2132" s="23"/>
      <c r="O2132" s="23"/>
      <c r="P2132" s="23"/>
      <c r="Q2132" s="23"/>
      <c r="R2132" s="23">
        <v>4</v>
      </c>
      <c r="S2132" s="23"/>
      <c r="T2132" s="23"/>
      <c r="U2132" s="23"/>
      <c r="V2132" s="23"/>
      <c r="W2132" s="23"/>
      <c r="X2132" s="23"/>
      <c r="Y2132" s="23">
        <v>6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10</v>
      </c>
      <c r="AL2132" s="23"/>
      <c r="AM2132" s="23"/>
      <c r="AN2132" s="23"/>
      <c r="AO2132" s="23"/>
      <c r="AP2132" s="23">
        <v>10</v>
      </c>
      <c r="AQ2132" s="23"/>
      <c r="AR2132" s="23"/>
      <c r="AS2132" s="23"/>
      <c r="AT2132" s="23"/>
      <c r="AU2132" s="14" t="str">
        <f>HYPERLINK("http://www.openstreetmap.org/?mlat=32.3423&amp;mlon=44.114&amp;zoom=12#map=12/32.3423/44.114","Maplink1")</f>
        <v>Maplink1</v>
      </c>
      <c r="AV2132" s="14" t="str">
        <f>HYPERLINK("https://www.google.iq/maps/search/+32.3423,44.114/@32.3423,44.114,14z?hl=en","Maplink2")</f>
        <v>Maplink2</v>
      </c>
      <c r="AW2132" s="14" t="str">
        <f>HYPERLINK("http://www.bing.com/maps/?lvl=14&amp;sty=h&amp;cp=32.3423~44.114&amp;sp=point.32.3423_44.114_Al Furat (Elegal)","Maplink3")</f>
        <v>Maplink3</v>
      </c>
    </row>
    <row r="2133" spans="1:49" ht="15" customHeight="1" x14ac:dyDescent="0.25">
      <c r="A2133" s="21">
        <v>25543</v>
      </c>
      <c r="B2133" s="22" t="s">
        <v>16</v>
      </c>
      <c r="C2133" s="22" t="s">
        <v>16</v>
      </c>
      <c r="D2133" s="22" t="s">
        <v>8856</v>
      </c>
      <c r="E2133" s="22" t="s">
        <v>4107</v>
      </c>
      <c r="F2133" s="22">
        <v>32.623582980599998</v>
      </c>
      <c r="G2133" s="22">
        <v>43.959583276899998</v>
      </c>
      <c r="H2133" s="21" t="s">
        <v>3858</v>
      </c>
      <c r="I2133" s="21" t="s">
        <v>3934</v>
      </c>
      <c r="J2133" s="21"/>
      <c r="K2133" s="24">
        <v>5</v>
      </c>
      <c r="L2133" s="24">
        <v>30</v>
      </c>
      <c r="M2133" s="23">
        <v>3</v>
      </c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>
        <v>2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>
        <v>5</v>
      </c>
      <c r="AL2133" s="23"/>
      <c r="AM2133" s="23"/>
      <c r="AN2133" s="23"/>
      <c r="AO2133" s="23"/>
      <c r="AP2133" s="23">
        <v>3</v>
      </c>
      <c r="AQ2133" s="23">
        <v>2</v>
      </c>
      <c r="AR2133" s="23"/>
      <c r="AS2133" s="23"/>
      <c r="AT2133" s="23"/>
      <c r="AU2133" s="14" t="str">
        <f>HYPERLINK("http://www.openstreetmap.org/?mlat=32.613&amp;mlon=43.9725&amp;zoom=12#map=12/32.613/43.9725","Maplink1")</f>
        <v>Maplink1</v>
      </c>
      <c r="AV2133" s="14" t="str">
        <f>HYPERLINK("https://www.google.iq/maps/search/+32.613,43.9725/@32.613,43.9725,14z?hl=en","Maplink2")</f>
        <v>Maplink2</v>
      </c>
      <c r="AW2133" s="14" t="str">
        <f>HYPERLINK("http://www.bing.com/maps/?lvl=14&amp;sty=h&amp;cp=32.613~43.9725&amp;sp=point.32.613_43.9725_Al-Hurr Al Furat 4 (door al halal)","Maplink3")</f>
        <v>Maplink3</v>
      </c>
    </row>
    <row r="2134" spans="1:49" ht="15" customHeight="1" x14ac:dyDescent="0.25">
      <c r="A2134" s="21">
        <v>25902</v>
      </c>
      <c r="B2134" s="22" t="s">
        <v>16</v>
      </c>
      <c r="C2134" s="22" t="s">
        <v>16</v>
      </c>
      <c r="D2134" s="22" t="s">
        <v>4005</v>
      </c>
      <c r="E2134" s="22" t="s">
        <v>4006</v>
      </c>
      <c r="F2134" s="22">
        <v>32.637657578999999</v>
      </c>
      <c r="G2134" s="22">
        <v>44.061340335799997</v>
      </c>
      <c r="H2134" s="21" t="s">
        <v>3858</v>
      </c>
      <c r="I2134" s="21" t="s">
        <v>3934</v>
      </c>
      <c r="J2134" s="21"/>
      <c r="K2134" s="24">
        <v>8</v>
      </c>
      <c r="L2134" s="24">
        <v>48</v>
      </c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8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>
        <v>8</v>
      </c>
      <c r="AL2134" s="23"/>
      <c r="AM2134" s="23"/>
      <c r="AN2134" s="23"/>
      <c r="AO2134" s="23"/>
      <c r="AP2134" s="23">
        <v>8</v>
      </c>
      <c r="AQ2134" s="23"/>
      <c r="AR2134" s="23"/>
      <c r="AS2134" s="23"/>
      <c r="AT2134" s="23"/>
      <c r="AU2134" s="14" t="str">
        <f>HYPERLINK("http://www.openstreetmap.org/?mlat=32.6497&amp;mlon=44.0866&amp;zoom=12#map=12/32.6497/44.0866","Maplink1")</f>
        <v>Maplink1</v>
      </c>
      <c r="AV2134" s="14" t="str">
        <f>HYPERLINK("https://www.google.iq/maps/search/+32.6497,44.0866/@32.6497,44.0866,14z?hl=en","Maplink2")</f>
        <v>Maplink2</v>
      </c>
      <c r="AW2134" s="14" t="str">
        <f>HYPERLINK("http://www.bing.com/maps/?lvl=14&amp;sty=h&amp;cp=32.6497~44.0866&amp;sp=point.32.6497_44.0866_Al Ghaltawiyah Al Gharbiyah","Maplink3")</f>
        <v>Maplink3</v>
      </c>
    </row>
    <row r="2135" spans="1:49" ht="15" customHeight="1" x14ac:dyDescent="0.25">
      <c r="A2135" s="21">
        <v>23265</v>
      </c>
      <c r="B2135" s="22" t="s">
        <v>16</v>
      </c>
      <c r="C2135" s="22" t="s">
        <v>16</v>
      </c>
      <c r="D2135" s="22" t="s">
        <v>4009</v>
      </c>
      <c r="E2135" s="22" t="s">
        <v>4010</v>
      </c>
      <c r="F2135" s="22">
        <v>32.649602000599998</v>
      </c>
      <c r="G2135" s="22">
        <v>44.050109675199998</v>
      </c>
      <c r="H2135" s="21" t="s">
        <v>3858</v>
      </c>
      <c r="I2135" s="21" t="s">
        <v>3934</v>
      </c>
      <c r="J2135" s="21" t="s">
        <v>4011</v>
      </c>
      <c r="K2135" s="24">
        <v>86</v>
      </c>
      <c r="L2135" s="24">
        <v>516</v>
      </c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>
        <v>86</v>
      </c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25</v>
      </c>
      <c r="AK2135" s="23">
        <v>61</v>
      </c>
      <c r="AL2135" s="23"/>
      <c r="AM2135" s="23"/>
      <c r="AN2135" s="23"/>
      <c r="AO2135" s="23"/>
      <c r="AP2135" s="23">
        <v>86</v>
      </c>
      <c r="AQ2135" s="23"/>
      <c r="AR2135" s="23"/>
      <c r="AS2135" s="23"/>
      <c r="AT2135" s="23"/>
      <c r="AU2135" s="14" t="str">
        <f>HYPERLINK("http://www.openstreetmap.org/?mlat=32.6517&amp;mlon=44.0407&amp;zoom=12#map=12/32.6517/44.0407","Maplink1")</f>
        <v>Maplink1</v>
      </c>
      <c r="AV2135" s="14" t="str">
        <f>HYPERLINK("https://www.google.iq/maps/search/+32.6517,44.0407/@32.6517,44.0407,14z?hl=en","Maplink2")</f>
        <v>Maplink2</v>
      </c>
      <c r="AW2135" s="14" t="str">
        <f>HYPERLINK("http://www.bing.com/maps/?lvl=14&amp;sty=h&amp;cp=32.6517~44.0407&amp;sp=point.32.6517_44.0407_Al Hawra","Maplink3")</f>
        <v>Maplink3</v>
      </c>
    </row>
    <row r="2136" spans="1:49" ht="15" customHeight="1" x14ac:dyDescent="0.25">
      <c r="A2136" s="21">
        <v>25061</v>
      </c>
      <c r="B2136" s="22" t="s">
        <v>16</v>
      </c>
      <c r="C2136" s="22" t="s">
        <v>16</v>
      </c>
      <c r="D2136" s="22" t="s">
        <v>8857</v>
      </c>
      <c r="E2136" s="22" t="s">
        <v>4111</v>
      </c>
      <c r="F2136" s="22">
        <v>32.644133269800001</v>
      </c>
      <c r="G2136" s="22">
        <v>43.999221129299997</v>
      </c>
      <c r="H2136" s="21" t="s">
        <v>3858</v>
      </c>
      <c r="I2136" s="21" t="s">
        <v>3934</v>
      </c>
      <c r="J2136" s="21"/>
      <c r="K2136" s="24">
        <v>128</v>
      </c>
      <c r="L2136" s="24">
        <v>768</v>
      </c>
      <c r="M2136" s="23">
        <v>10</v>
      </c>
      <c r="N2136" s="23">
        <v>2</v>
      </c>
      <c r="O2136" s="23">
        <v>1</v>
      </c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114</v>
      </c>
      <c r="Z2136" s="23"/>
      <c r="AA2136" s="23">
        <v>1</v>
      </c>
      <c r="AB2136" s="23"/>
      <c r="AC2136" s="23"/>
      <c r="AD2136" s="23"/>
      <c r="AE2136" s="23"/>
      <c r="AF2136" s="23">
        <v>17</v>
      </c>
      <c r="AG2136" s="23"/>
      <c r="AH2136" s="23"/>
      <c r="AI2136" s="23"/>
      <c r="AJ2136" s="23"/>
      <c r="AK2136" s="23">
        <v>111</v>
      </c>
      <c r="AL2136" s="23"/>
      <c r="AM2136" s="23"/>
      <c r="AN2136" s="23"/>
      <c r="AO2136" s="23">
        <v>13</v>
      </c>
      <c r="AP2136" s="23">
        <v>115</v>
      </c>
      <c r="AQ2136" s="23"/>
      <c r="AR2136" s="23"/>
      <c r="AS2136" s="23"/>
      <c r="AT2136" s="23"/>
      <c r="AU2136" s="14" t="str">
        <f>HYPERLINK("http://www.openstreetmap.org/?mlat=32.6526&amp;mlon=43.9855&amp;zoom=12#map=12/32.6526/43.9855","Maplink1")</f>
        <v>Maplink1</v>
      </c>
      <c r="AV2136" s="14" t="str">
        <f>HYPERLINK("https://www.google.iq/maps/search/+32.6526,43.9855/@32.6526,43.9855,14z?hl=en","Maplink2")</f>
        <v>Maplink2</v>
      </c>
      <c r="AW2136" s="14" t="str">
        <f>HYPERLINK("http://www.bing.com/maps/?lvl=14&amp;sty=h&amp;cp=32.6526~43.9855&amp;sp=point.32.6526_43.9855_Al-hurr-Al Hurr Al Sager","Maplink3")</f>
        <v>Maplink3</v>
      </c>
    </row>
    <row r="2137" spans="1:49" ht="15" customHeight="1" x14ac:dyDescent="0.25">
      <c r="A2137" s="21">
        <v>24716</v>
      </c>
      <c r="B2137" s="22" t="s">
        <v>16</v>
      </c>
      <c r="C2137" s="22" t="s">
        <v>16</v>
      </c>
      <c r="D2137" s="22" t="s">
        <v>4018</v>
      </c>
      <c r="E2137" s="22" t="s">
        <v>4019</v>
      </c>
      <c r="F2137" s="22">
        <v>32.585760983599997</v>
      </c>
      <c r="G2137" s="22">
        <v>44.015781506899998</v>
      </c>
      <c r="H2137" s="21" t="s">
        <v>3858</v>
      </c>
      <c r="I2137" s="21" t="s">
        <v>3934</v>
      </c>
      <c r="J2137" s="21"/>
      <c r="K2137" s="24">
        <v>17</v>
      </c>
      <c r="L2137" s="24">
        <v>102</v>
      </c>
      <c r="M2137" s="23"/>
      <c r="N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>
        <v>17</v>
      </c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>
        <v>7</v>
      </c>
      <c r="AK2137" s="23">
        <v>10</v>
      </c>
      <c r="AL2137" s="23"/>
      <c r="AM2137" s="23"/>
      <c r="AN2137" s="23"/>
      <c r="AO2137" s="23"/>
      <c r="AP2137" s="23">
        <v>17</v>
      </c>
      <c r="AQ2137" s="23"/>
      <c r="AR2137" s="23"/>
      <c r="AS2137" s="23"/>
      <c r="AT2137" s="23"/>
      <c r="AU2137" s="14" t="str">
        <f>HYPERLINK("http://www.openstreetmap.org/?mlat=32.3515&amp;mlon=44.0019&amp;zoom=12#map=12/32.3515/44.0019","Maplink1")</f>
        <v>Maplink1</v>
      </c>
      <c r="AV2137" s="14" t="str">
        <f>HYPERLINK("https://www.google.iq/maps/search/+32.3515,44.0019/@32.3515,44.0019,14z?hl=en","Maplink2")</f>
        <v>Maplink2</v>
      </c>
      <c r="AW2137" s="14" t="str">
        <f>HYPERLINK("http://www.bing.com/maps/?lvl=14&amp;sty=h&amp;cp=32.3515~44.0019&amp;sp=point.32.3515_44.0019_Al Iman","Maplink3")</f>
        <v>Maplink3</v>
      </c>
    </row>
    <row r="2138" spans="1:49" ht="15" customHeight="1" x14ac:dyDescent="0.25">
      <c r="A2138" s="21">
        <v>22533</v>
      </c>
      <c r="B2138" s="22" t="s">
        <v>16</v>
      </c>
      <c r="C2138" s="22" t="s">
        <v>16</v>
      </c>
      <c r="D2138" s="22" t="s">
        <v>4020</v>
      </c>
      <c r="E2138" s="22" t="s">
        <v>4021</v>
      </c>
      <c r="F2138" s="22">
        <v>32.590194339900002</v>
      </c>
      <c r="G2138" s="22">
        <v>44.0094866138</v>
      </c>
      <c r="H2138" s="21" t="s">
        <v>3858</v>
      </c>
      <c r="I2138" s="21" t="s">
        <v>3934</v>
      </c>
      <c r="J2138" s="21" t="s">
        <v>4022</v>
      </c>
      <c r="K2138" s="24">
        <v>15</v>
      </c>
      <c r="L2138" s="24">
        <v>90</v>
      </c>
      <c r="M2138" s="23"/>
      <c r="N2138" s="23"/>
      <c r="O2138" s="23"/>
      <c r="P2138" s="23"/>
      <c r="Q2138" s="23"/>
      <c r="R2138" s="23">
        <v>2</v>
      </c>
      <c r="S2138" s="23"/>
      <c r="T2138" s="23"/>
      <c r="U2138" s="23"/>
      <c r="V2138" s="23"/>
      <c r="W2138" s="23"/>
      <c r="X2138" s="23"/>
      <c r="Y2138" s="23">
        <v>11</v>
      </c>
      <c r="Z2138" s="23"/>
      <c r="AA2138" s="23">
        <v>2</v>
      </c>
      <c r="AB2138" s="23"/>
      <c r="AC2138" s="23"/>
      <c r="AD2138" s="23"/>
      <c r="AE2138" s="23"/>
      <c r="AF2138" s="23"/>
      <c r="AG2138" s="23"/>
      <c r="AH2138" s="23"/>
      <c r="AI2138" s="23"/>
      <c r="AJ2138" s="23">
        <v>3</v>
      </c>
      <c r="AK2138" s="23">
        <v>12</v>
      </c>
      <c r="AL2138" s="23"/>
      <c r="AM2138" s="23"/>
      <c r="AN2138" s="23"/>
      <c r="AO2138" s="23"/>
      <c r="AP2138" s="23">
        <v>15</v>
      </c>
      <c r="AQ2138" s="23"/>
      <c r="AR2138" s="23"/>
      <c r="AS2138" s="23"/>
      <c r="AT2138" s="23"/>
      <c r="AU2138" s="14" t="str">
        <f>HYPERLINK("http://www.openstreetmap.org/?mlat=32.5861&amp;mlon=44.0107&amp;zoom=12#map=12/32.5861/44.0107","Maplink1")</f>
        <v>Maplink1</v>
      </c>
      <c r="AV2138" s="14" t="str">
        <f>HYPERLINK("https://www.google.iq/maps/search/+32.5861,44.0107/@32.5861,44.0107,14z?hl=en","Maplink2")</f>
        <v>Maplink2</v>
      </c>
      <c r="AW2138" s="14" t="str">
        <f>HYPERLINK("http://www.bing.com/maps/?lvl=14&amp;sty=h&amp;cp=32.5861~44.0107&amp;sp=point.32.5861_44.0107_Al Intefadha Al Shabaniya","Maplink3")</f>
        <v>Maplink3</v>
      </c>
    </row>
    <row r="2139" spans="1:49" ht="15" customHeight="1" x14ac:dyDescent="0.25">
      <c r="A2139" s="21">
        <v>24717</v>
      </c>
      <c r="B2139" s="22" t="s">
        <v>16</v>
      </c>
      <c r="C2139" s="22" t="s">
        <v>16</v>
      </c>
      <c r="D2139" s="22" t="s">
        <v>4023</v>
      </c>
      <c r="E2139" s="22" t="s">
        <v>4024</v>
      </c>
      <c r="F2139" s="22">
        <v>32.651404026000002</v>
      </c>
      <c r="G2139" s="22">
        <v>43.971069669400002</v>
      </c>
      <c r="H2139" s="21" t="s">
        <v>3858</v>
      </c>
      <c r="I2139" s="21" t="s">
        <v>3934</v>
      </c>
      <c r="J2139" s="21"/>
      <c r="K2139" s="24">
        <v>9</v>
      </c>
      <c r="L2139" s="24">
        <v>54</v>
      </c>
      <c r="M2139" s="23">
        <v>9</v>
      </c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/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>
        <v>9</v>
      </c>
      <c r="AL2139" s="23"/>
      <c r="AM2139" s="23"/>
      <c r="AN2139" s="23"/>
      <c r="AO2139" s="23">
        <v>9</v>
      </c>
      <c r="AP2139" s="23"/>
      <c r="AQ2139" s="23"/>
      <c r="AR2139" s="23"/>
      <c r="AS2139" s="23"/>
      <c r="AT2139" s="23"/>
      <c r="AU2139" s="14" t="str">
        <f>HYPERLINK("http://www.openstreetmap.org/?mlat=32.6879&amp;mlon=44.0078&amp;zoom=12#map=12/32.6879/44.0078","Maplink1")</f>
        <v>Maplink1</v>
      </c>
      <c r="AV2139" s="14" t="str">
        <f>HYPERLINK("https://www.google.iq/maps/search/+32.6879,44.0078/@32.6879,44.0078,14z?hl=en","Maplink2")</f>
        <v>Maplink2</v>
      </c>
      <c r="AW2139" s="14" t="str">
        <f>HYPERLINK("http://www.bing.com/maps/?lvl=14&amp;sty=h&amp;cp=32.6879~44.0078&amp;sp=point.32.6879_44.0078_Al Jamaliyah","Maplink3")</f>
        <v>Maplink3</v>
      </c>
    </row>
    <row r="2140" spans="1:49" ht="15" customHeight="1" x14ac:dyDescent="0.25">
      <c r="A2140" s="21">
        <v>25260</v>
      </c>
      <c r="B2140" s="22" t="s">
        <v>16</v>
      </c>
      <c r="C2140" s="22" t="s">
        <v>16</v>
      </c>
      <c r="D2140" s="22" t="s">
        <v>4025</v>
      </c>
      <c r="E2140" s="22" t="s">
        <v>8041</v>
      </c>
      <c r="F2140" s="22">
        <v>32.6595156128</v>
      </c>
      <c r="G2140" s="22">
        <v>43.986003873900003</v>
      </c>
      <c r="H2140" s="21" t="s">
        <v>3858</v>
      </c>
      <c r="I2140" s="21" t="s">
        <v>3934</v>
      </c>
      <c r="J2140" s="21"/>
      <c r="K2140" s="24">
        <v>5</v>
      </c>
      <c r="L2140" s="24">
        <v>30</v>
      </c>
      <c r="M2140" s="23">
        <v>5</v>
      </c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>
        <v>5</v>
      </c>
      <c r="AL2140" s="23"/>
      <c r="AM2140" s="23"/>
      <c r="AN2140" s="23"/>
      <c r="AO2140" s="23"/>
      <c r="AP2140" s="23"/>
      <c r="AQ2140" s="23">
        <v>5</v>
      </c>
      <c r="AR2140" s="23"/>
      <c r="AS2140" s="23"/>
      <c r="AT2140" s="23"/>
      <c r="AU2140" s="14" t="str">
        <f>HYPERLINK("http://www.openstreetmap.org/?mlat=32.6531&amp;mlon=44.0354&amp;zoom=12#map=12/32.6531/44.0354","Maplink1")</f>
        <v>Maplink1</v>
      </c>
      <c r="AV2140" s="14" t="str">
        <f>HYPERLINK("https://www.google.iq/maps/search/+32.6531,44.0354/@32.6531,44.0354,14z?hl=en","Maplink2")</f>
        <v>Maplink2</v>
      </c>
      <c r="AW2140" s="14" t="str">
        <f>HYPERLINK("http://www.bing.com/maps/?lvl=14&amp;sty=h&amp;cp=32.6531~44.0354&amp;sp=point.32.6531_44.0354_Al Jamaliyah-Al Hasua","Maplink3")</f>
        <v>Maplink3</v>
      </c>
    </row>
    <row r="2141" spans="1:49" ht="15" customHeight="1" x14ac:dyDescent="0.25">
      <c r="A2141" s="21">
        <v>25487</v>
      </c>
      <c r="B2141" s="22" t="s">
        <v>16</v>
      </c>
      <c r="C2141" s="22" t="s">
        <v>16</v>
      </c>
      <c r="D2141" s="22" t="s">
        <v>4026</v>
      </c>
      <c r="E2141" s="22" t="s">
        <v>4027</v>
      </c>
      <c r="F2141" s="22">
        <v>32.6492311433</v>
      </c>
      <c r="G2141" s="22">
        <v>44.106205813599999</v>
      </c>
      <c r="H2141" s="21" t="s">
        <v>3858</v>
      </c>
      <c r="I2141" s="21" t="s">
        <v>3934</v>
      </c>
      <c r="J2141" s="21"/>
      <c r="K2141" s="24">
        <v>20</v>
      </c>
      <c r="L2141" s="24">
        <v>120</v>
      </c>
      <c r="M2141" s="23">
        <v>5</v>
      </c>
      <c r="N2141" s="23">
        <v>1</v>
      </c>
      <c r="O2141" s="23">
        <v>1</v>
      </c>
      <c r="P2141" s="23"/>
      <c r="Q2141" s="23"/>
      <c r="R2141" s="23">
        <v>1</v>
      </c>
      <c r="S2141" s="23"/>
      <c r="T2141" s="23"/>
      <c r="U2141" s="23"/>
      <c r="V2141" s="23"/>
      <c r="W2141" s="23"/>
      <c r="X2141" s="23"/>
      <c r="Y2141" s="23">
        <v>12</v>
      </c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23">
        <v>20</v>
      </c>
      <c r="AL2141" s="23"/>
      <c r="AM2141" s="23"/>
      <c r="AN2141" s="23"/>
      <c r="AO2141" s="23"/>
      <c r="AP2141" s="23">
        <v>20</v>
      </c>
      <c r="AQ2141" s="23"/>
      <c r="AR2141" s="23"/>
      <c r="AS2141" s="23"/>
      <c r="AT2141" s="23"/>
      <c r="AU2141" s="14" t="str">
        <f>HYPERLINK("http://www.openstreetmap.org/?mlat=32.3855&amp;mlon=44.0627&amp;zoom=12#map=12/32.3855/44.0627","Maplink1")</f>
        <v>Maplink1</v>
      </c>
      <c r="AV2141" s="14" t="str">
        <f>HYPERLINK("https://www.google.iq/maps/search/+32.3855,44.0627/@32.3855,44.0627,14z?hl=en","Maplink2")</f>
        <v>Maplink2</v>
      </c>
      <c r="AW2141" s="14" t="str">
        <f>HYPERLINK("http://www.bing.com/maps/?lvl=14&amp;sty=h&amp;cp=32.3855~44.0627&amp;sp=point.32.3855_44.0627_Al Jarya","Maplink3")</f>
        <v>Maplink3</v>
      </c>
    </row>
    <row r="2142" spans="1:49" ht="15" customHeight="1" x14ac:dyDescent="0.25">
      <c r="A2142" s="21">
        <v>24197</v>
      </c>
      <c r="B2142" s="22" t="s">
        <v>16</v>
      </c>
      <c r="C2142" s="22" t="s">
        <v>16</v>
      </c>
      <c r="D2142" s="22" t="s">
        <v>4029</v>
      </c>
      <c r="E2142" s="22" t="s">
        <v>4030</v>
      </c>
      <c r="F2142" s="22">
        <v>32.600574698300001</v>
      </c>
      <c r="G2142" s="22">
        <v>44.002362499</v>
      </c>
      <c r="H2142" s="21" t="s">
        <v>3858</v>
      </c>
      <c r="I2142" s="21" t="s">
        <v>3934</v>
      </c>
      <c r="J2142" s="21" t="s">
        <v>4031</v>
      </c>
      <c r="K2142" s="24">
        <v>25</v>
      </c>
      <c r="L2142" s="24">
        <v>150</v>
      </c>
      <c r="M2142" s="23"/>
      <c r="N2142" s="23"/>
      <c r="O2142" s="23"/>
      <c r="P2142" s="23"/>
      <c r="Q2142" s="23"/>
      <c r="R2142" s="23"/>
      <c r="S2142" s="23"/>
      <c r="T2142" s="23"/>
      <c r="U2142" s="23">
        <v>19</v>
      </c>
      <c r="V2142" s="23"/>
      <c r="W2142" s="23"/>
      <c r="X2142" s="23"/>
      <c r="Y2142" s="23">
        <v>6</v>
      </c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23">
        <v>25</v>
      </c>
      <c r="AL2142" s="23"/>
      <c r="AM2142" s="23"/>
      <c r="AN2142" s="23"/>
      <c r="AO2142" s="23"/>
      <c r="AP2142" s="23">
        <v>25</v>
      </c>
      <c r="AQ2142" s="23"/>
      <c r="AR2142" s="23"/>
      <c r="AS2142" s="23"/>
      <c r="AT2142" s="23"/>
      <c r="AU2142" s="14" t="str">
        <f>HYPERLINK("http://www.openstreetmap.org/?mlat=32.5975&amp;mlon=43.9998&amp;zoom=12#map=12/32.5975/43.9998","Maplink1")</f>
        <v>Maplink1</v>
      </c>
      <c r="AV2142" s="14" t="str">
        <f>HYPERLINK("https://www.google.iq/maps/search/+32.5975,43.9998/@32.5975,43.9998,14z?hl=en","Maplink2")</f>
        <v>Maplink2</v>
      </c>
      <c r="AW2142" s="14" t="str">
        <f>HYPERLINK("http://www.bing.com/maps/?lvl=14&amp;sty=h&amp;cp=32.5975~43.9998&amp;sp=point.32.5975_43.9998_Al Kaim","Maplink3")</f>
        <v>Maplink3</v>
      </c>
    </row>
    <row r="2143" spans="1:49" ht="15" customHeight="1" x14ac:dyDescent="0.25">
      <c r="A2143" s="21">
        <v>25493</v>
      </c>
      <c r="B2143" s="22" t="s">
        <v>16</v>
      </c>
      <c r="C2143" s="22" t="s">
        <v>16</v>
      </c>
      <c r="D2143" s="22" t="s">
        <v>4034</v>
      </c>
      <c r="E2143" s="22" t="s">
        <v>4035</v>
      </c>
      <c r="F2143" s="22">
        <v>32.649268861899998</v>
      </c>
      <c r="G2143" s="22">
        <v>43.983833547700002</v>
      </c>
      <c r="H2143" s="21" t="s">
        <v>3858</v>
      </c>
      <c r="I2143" s="21" t="s">
        <v>3934</v>
      </c>
      <c r="J2143" s="21"/>
      <c r="K2143" s="24">
        <v>33</v>
      </c>
      <c r="L2143" s="24">
        <v>198</v>
      </c>
      <c r="M2143" s="23">
        <v>7</v>
      </c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>
        <v>26</v>
      </c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>
        <v>7</v>
      </c>
      <c r="AK2143" s="23">
        <v>26</v>
      </c>
      <c r="AL2143" s="23"/>
      <c r="AM2143" s="23"/>
      <c r="AN2143" s="23"/>
      <c r="AO2143" s="23">
        <v>2</v>
      </c>
      <c r="AP2143" s="23">
        <v>26</v>
      </c>
      <c r="AQ2143" s="23"/>
      <c r="AR2143" s="23"/>
      <c r="AS2143" s="23">
        <v>5</v>
      </c>
      <c r="AT2143" s="23"/>
      <c r="AU2143" s="14" t="str">
        <f>HYPERLINK("http://www.openstreetmap.org/?mlat=32.647&amp;mlon=43.9824&amp;zoom=12#map=12/32.647/43.9824","Maplink1")</f>
        <v>Maplink1</v>
      </c>
      <c r="AV2143" s="14" t="str">
        <f>HYPERLINK("https://www.google.iq/maps/search/+32.647,43.9824/@32.647,43.9824,14z?hl=en","Maplink2")</f>
        <v>Maplink2</v>
      </c>
      <c r="AW2143" s="14" t="str">
        <f>HYPERLINK("http://www.bing.com/maps/?lvl=14&amp;sty=h&amp;cp=32.647~43.9824&amp;sp=point.32.647_43.9824_Al Makalaa","Maplink3")</f>
        <v>Maplink3</v>
      </c>
    </row>
    <row r="2144" spans="1:49" ht="15" customHeight="1" x14ac:dyDescent="0.25">
      <c r="A2144" s="21">
        <v>25884</v>
      </c>
      <c r="B2144" s="22" t="s">
        <v>16</v>
      </c>
      <c r="C2144" s="22" t="s">
        <v>16</v>
      </c>
      <c r="D2144" s="22" t="s">
        <v>4038</v>
      </c>
      <c r="E2144" s="22" t="s">
        <v>4039</v>
      </c>
      <c r="F2144" s="22">
        <v>32.629705080800001</v>
      </c>
      <c r="G2144" s="22">
        <v>44.055828647699997</v>
      </c>
      <c r="H2144" s="21" t="s">
        <v>3858</v>
      </c>
      <c r="I2144" s="21" t="s">
        <v>3934</v>
      </c>
      <c r="J2144" s="21"/>
      <c r="K2144" s="24">
        <v>23</v>
      </c>
      <c r="L2144" s="24">
        <v>138</v>
      </c>
      <c r="M2144" s="23">
        <v>1</v>
      </c>
      <c r="N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>
        <v>22</v>
      </c>
      <c r="Z2144" s="23"/>
      <c r="AA2144" s="23"/>
      <c r="AB2144" s="23"/>
      <c r="AC2144" s="23"/>
      <c r="AD2144" s="23"/>
      <c r="AE2144" s="23"/>
      <c r="AF2144" s="23">
        <v>1</v>
      </c>
      <c r="AG2144" s="23"/>
      <c r="AH2144" s="23"/>
      <c r="AI2144" s="23"/>
      <c r="AJ2144" s="23">
        <v>1</v>
      </c>
      <c r="AK2144" s="23">
        <v>21</v>
      </c>
      <c r="AL2144" s="23"/>
      <c r="AM2144" s="23"/>
      <c r="AN2144" s="23"/>
      <c r="AO2144" s="23"/>
      <c r="AP2144" s="23">
        <v>23</v>
      </c>
      <c r="AQ2144" s="23"/>
      <c r="AR2144" s="23"/>
      <c r="AS2144" s="23"/>
      <c r="AT2144" s="23"/>
      <c r="AU2144" s="14" t="str">
        <f>HYPERLINK("http://www.openstreetmap.org/?mlat=32.6189&amp;mlon=44.046&amp;zoom=12#map=12/32.6189/44.046","Maplink1")</f>
        <v>Maplink1</v>
      </c>
      <c r="AV2144" s="14" t="str">
        <f>HYPERLINK("https://www.google.iq/maps/search/+32.6189,44.046/@32.6189,44.046,14z?hl=en","Maplink2")</f>
        <v>Maplink2</v>
      </c>
      <c r="AW2144" s="14" t="str">
        <f>HYPERLINK("http://www.bing.com/maps/?lvl=14&amp;sty=h&amp;cp=32.6189~44.046&amp;sp=point.32.6189_44.046_Al Motlak Al Gharby","Maplink3")</f>
        <v>Maplink3</v>
      </c>
    </row>
    <row r="2145" spans="1:49" ht="15" customHeight="1" x14ac:dyDescent="0.25">
      <c r="A2145" s="21">
        <v>25357</v>
      </c>
      <c r="B2145" s="22" t="s">
        <v>16</v>
      </c>
      <c r="C2145" s="22" t="s">
        <v>16</v>
      </c>
      <c r="D2145" s="22" t="s">
        <v>4040</v>
      </c>
      <c r="E2145" s="22" t="s">
        <v>4041</v>
      </c>
      <c r="F2145" s="22">
        <v>32.629856918900003</v>
      </c>
      <c r="G2145" s="22">
        <v>44.058102238899998</v>
      </c>
      <c r="H2145" s="21" t="s">
        <v>3858</v>
      </c>
      <c r="I2145" s="21" t="s">
        <v>3934</v>
      </c>
      <c r="J2145" s="21"/>
      <c r="K2145" s="24">
        <v>15</v>
      </c>
      <c r="L2145" s="24">
        <v>90</v>
      </c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15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>
        <v>5</v>
      </c>
      <c r="AK2145" s="23">
        <v>10</v>
      </c>
      <c r="AL2145" s="23"/>
      <c r="AM2145" s="23"/>
      <c r="AN2145" s="23"/>
      <c r="AO2145" s="23"/>
      <c r="AP2145" s="23">
        <v>15</v>
      </c>
      <c r="AQ2145" s="23"/>
      <c r="AR2145" s="23"/>
      <c r="AS2145" s="23"/>
      <c r="AT2145" s="23"/>
      <c r="AU2145" s="14" t="str">
        <f>HYPERLINK("http://www.openstreetmap.org/?mlat=32.6211&amp;mlon=44.048&amp;zoom=12#map=12/32.6211/44.048","Maplink1")</f>
        <v>Maplink1</v>
      </c>
      <c r="AV2145" s="14" t="str">
        <f>HYPERLINK("https://www.google.iq/maps/search/+32.6211,44.048/@32.6211,44.048,14z?hl=en","Maplink2")</f>
        <v>Maplink2</v>
      </c>
      <c r="AW2145" s="14" t="str">
        <f>HYPERLINK("http://www.bing.com/maps/?lvl=14&amp;sty=h&amp;cp=32.6211~44.048&amp;sp=point.32.6211_44.048_Al Motlak Al Sharky","Maplink3")</f>
        <v>Maplink3</v>
      </c>
    </row>
    <row r="2146" spans="1:49" ht="15" customHeight="1" x14ac:dyDescent="0.25">
      <c r="A2146" s="21">
        <v>14324</v>
      </c>
      <c r="B2146" s="22" t="s">
        <v>16</v>
      </c>
      <c r="C2146" s="22" t="s">
        <v>16</v>
      </c>
      <c r="D2146" s="22" t="s">
        <v>8858</v>
      </c>
      <c r="E2146" s="22" t="s">
        <v>4353</v>
      </c>
      <c r="F2146" s="22">
        <v>32.642801343499997</v>
      </c>
      <c r="G2146" s="22">
        <v>43.976344400999999</v>
      </c>
      <c r="H2146" s="21" t="s">
        <v>3858</v>
      </c>
      <c r="I2146" s="21" t="s">
        <v>3934</v>
      </c>
      <c r="J2146" s="21" t="s">
        <v>4354</v>
      </c>
      <c r="K2146" s="24">
        <v>18</v>
      </c>
      <c r="L2146" s="24">
        <v>108</v>
      </c>
      <c r="M2146" s="23">
        <v>3</v>
      </c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15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>
        <v>6</v>
      </c>
      <c r="AL2146" s="23"/>
      <c r="AM2146" s="23">
        <v>12</v>
      </c>
      <c r="AN2146" s="23"/>
      <c r="AO2146" s="23">
        <v>3</v>
      </c>
      <c r="AP2146" s="23">
        <v>15</v>
      </c>
      <c r="AQ2146" s="23"/>
      <c r="AR2146" s="23"/>
      <c r="AS2146" s="23"/>
      <c r="AT2146" s="23"/>
      <c r="AU2146" s="14" t="str">
        <f>HYPERLINK("http://www.openstreetmap.org/?mlat=32.6446&amp;mlon=43.9636&amp;zoom=12#map=12/32.6446/43.9636","Maplink1")</f>
        <v>Maplink1</v>
      </c>
      <c r="AV2146" s="14" t="str">
        <f>HYPERLINK("https://www.google.iq/maps/search/+32.6446,43.9636/@32.6446,43.9636,14z?hl=en","Maplink2")</f>
        <v>Maplink2</v>
      </c>
      <c r="AW2146" s="14" t="str">
        <f>HYPERLINK("http://www.bing.com/maps/?lvl=14&amp;sty=h&amp;cp=32.6446~43.9636&amp;sp=point.32.6446_43.9636","Maplink3")</f>
        <v>Maplink3</v>
      </c>
    </row>
    <row r="2147" spans="1:49" ht="15" customHeight="1" x14ac:dyDescent="0.25">
      <c r="A2147" s="21">
        <v>25886</v>
      </c>
      <c r="B2147" s="22" t="s">
        <v>16</v>
      </c>
      <c r="C2147" s="22" t="s">
        <v>16</v>
      </c>
      <c r="D2147" s="22" t="s">
        <v>4042</v>
      </c>
      <c r="E2147" s="22" t="s">
        <v>4043</v>
      </c>
      <c r="F2147" s="22">
        <v>32.624048092400002</v>
      </c>
      <c r="G2147" s="22">
        <v>44.048642674500002</v>
      </c>
      <c r="H2147" s="21" t="s">
        <v>3858</v>
      </c>
      <c r="I2147" s="21" t="s">
        <v>3934</v>
      </c>
      <c r="J2147" s="21"/>
      <c r="K2147" s="24">
        <v>25</v>
      </c>
      <c r="L2147" s="24">
        <v>150</v>
      </c>
      <c r="M2147" s="23"/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25</v>
      </c>
      <c r="Z2147" s="23"/>
      <c r="AA2147" s="23"/>
      <c r="AB2147" s="23"/>
      <c r="AC2147" s="23"/>
      <c r="AD2147" s="23"/>
      <c r="AE2147" s="23"/>
      <c r="AF2147" s="23">
        <v>3</v>
      </c>
      <c r="AG2147" s="23"/>
      <c r="AH2147" s="23"/>
      <c r="AI2147" s="23"/>
      <c r="AJ2147" s="23">
        <v>15</v>
      </c>
      <c r="AK2147" s="23">
        <v>7</v>
      </c>
      <c r="AL2147" s="23"/>
      <c r="AM2147" s="23"/>
      <c r="AN2147" s="23"/>
      <c r="AO2147" s="23"/>
      <c r="AP2147" s="23">
        <v>25</v>
      </c>
      <c r="AQ2147" s="23"/>
      <c r="AR2147" s="23"/>
      <c r="AS2147" s="23"/>
      <c r="AT2147" s="23"/>
      <c r="AU2147" s="14" t="str">
        <f>HYPERLINK("http://www.openstreetmap.org/?mlat=32.6278&amp;mlon=44.0592&amp;zoom=12#map=12/32.6278/44.0592","Maplink1")</f>
        <v>Maplink1</v>
      </c>
      <c r="AV2147" s="14" t="str">
        <f>HYPERLINK("https://www.google.iq/maps/search/+32.6278,44.0592/@32.6278,44.0592,14z?hl=en","Maplink2")</f>
        <v>Maplink2</v>
      </c>
      <c r="AW2147" s="14" t="str">
        <f>HYPERLINK("http://www.bing.com/maps/?lvl=14&amp;sty=h&amp;cp=32.6278~44.0592&amp;sp=point.32.6278_44.0592_Al Mustjadat","Maplink3")</f>
        <v>Maplink3</v>
      </c>
    </row>
    <row r="2148" spans="1:49" ht="15" customHeight="1" x14ac:dyDescent="0.25">
      <c r="A2148" s="21">
        <v>25905</v>
      </c>
      <c r="B2148" s="22" t="s">
        <v>16</v>
      </c>
      <c r="C2148" s="22" t="s">
        <v>16</v>
      </c>
      <c r="D2148" s="22" t="s">
        <v>8859</v>
      </c>
      <c r="E2148" s="22" t="s">
        <v>4355</v>
      </c>
      <c r="F2148" s="22">
        <v>32.573191691200002</v>
      </c>
      <c r="G2148" s="22">
        <v>44.008417585899998</v>
      </c>
      <c r="H2148" s="21" t="s">
        <v>3858</v>
      </c>
      <c r="I2148" s="21" t="s">
        <v>3934</v>
      </c>
      <c r="J2148" s="21"/>
      <c r="K2148" s="24">
        <v>8</v>
      </c>
      <c r="L2148" s="24">
        <v>48</v>
      </c>
      <c r="M2148" s="23"/>
      <c r="N2148" s="23"/>
      <c r="O2148" s="23"/>
      <c r="P2148" s="23"/>
      <c r="Q2148" s="23"/>
      <c r="R2148" s="23">
        <v>3</v>
      </c>
      <c r="S2148" s="23"/>
      <c r="T2148" s="23"/>
      <c r="U2148" s="23">
        <v>2</v>
      </c>
      <c r="V2148" s="23"/>
      <c r="W2148" s="23"/>
      <c r="X2148" s="23"/>
      <c r="Y2148" s="23">
        <v>3</v>
      </c>
      <c r="Z2148" s="23"/>
      <c r="AA2148" s="23"/>
      <c r="AB2148" s="23"/>
      <c r="AC2148" s="23"/>
      <c r="AD2148" s="23"/>
      <c r="AE2148" s="23"/>
      <c r="AF2148" s="23">
        <v>1</v>
      </c>
      <c r="AG2148" s="23"/>
      <c r="AH2148" s="23"/>
      <c r="AI2148" s="23"/>
      <c r="AJ2148" s="23"/>
      <c r="AK2148" s="23">
        <v>7</v>
      </c>
      <c r="AL2148" s="23"/>
      <c r="AM2148" s="23"/>
      <c r="AN2148" s="23"/>
      <c r="AO2148" s="23"/>
      <c r="AP2148" s="23">
        <v>8</v>
      </c>
      <c r="AQ2148" s="23"/>
      <c r="AR2148" s="23"/>
      <c r="AS2148" s="23"/>
      <c r="AT2148" s="23"/>
      <c r="AU2148" s="14" t="str">
        <f>HYPERLINK("http://www.openstreetmap.org/?mlat=32.5751&amp;mlon=44.0045&amp;zoom=12#map=12/32.5751/44.0045","Maplink1")</f>
        <v>Maplink1</v>
      </c>
      <c r="AV2148" s="14" t="str">
        <f>HYPERLINK("https://www.google.iq/maps/search/+32.5751,44.0045/@32.5751,44.0045,14z?hl=en","Maplink2")</f>
        <v>Maplink2</v>
      </c>
      <c r="AW2148" s="14" t="str">
        <f>HYPERLINK("http://www.bing.com/maps/?lvl=14&amp;sty=h&amp;cp=32.5751~44.0045&amp;sp=point.32.5751_44.0045_Tajawz Al Nasser","Maplink3")</f>
        <v>Maplink3</v>
      </c>
    </row>
    <row r="2149" spans="1:49" ht="15" customHeight="1" x14ac:dyDescent="0.25">
      <c r="A2149" s="21">
        <v>25273</v>
      </c>
      <c r="B2149" s="22" t="s">
        <v>16</v>
      </c>
      <c r="C2149" s="22" t="s">
        <v>16</v>
      </c>
      <c r="D2149" s="22" t="s">
        <v>4044</v>
      </c>
      <c r="E2149" s="22" t="s">
        <v>4045</v>
      </c>
      <c r="F2149" s="22">
        <v>32.642497876699998</v>
      </c>
      <c r="G2149" s="22">
        <v>43.9825204387</v>
      </c>
      <c r="H2149" s="21" t="s">
        <v>3858</v>
      </c>
      <c r="I2149" s="21" t="s">
        <v>3934</v>
      </c>
      <c r="J2149" s="21"/>
      <c r="K2149" s="24">
        <v>28</v>
      </c>
      <c r="L2149" s="24">
        <v>168</v>
      </c>
      <c r="M2149" s="23">
        <v>6</v>
      </c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22</v>
      </c>
      <c r="Z2149" s="23"/>
      <c r="AA2149" s="23"/>
      <c r="AB2149" s="23"/>
      <c r="AC2149" s="23"/>
      <c r="AD2149" s="23"/>
      <c r="AE2149" s="23"/>
      <c r="AF2149" s="23"/>
      <c r="AG2149" s="23">
        <v>3</v>
      </c>
      <c r="AH2149" s="23"/>
      <c r="AI2149" s="23"/>
      <c r="AJ2149" s="23"/>
      <c r="AK2149" s="23">
        <v>25</v>
      </c>
      <c r="AL2149" s="23"/>
      <c r="AM2149" s="23"/>
      <c r="AN2149" s="23"/>
      <c r="AO2149" s="23">
        <v>6</v>
      </c>
      <c r="AP2149" s="23">
        <v>18</v>
      </c>
      <c r="AQ2149" s="23">
        <v>4</v>
      </c>
      <c r="AR2149" s="23"/>
      <c r="AS2149" s="23"/>
      <c r="AT2149" s="23"/>
      <c r="AU2149" s="14" t="str">
        <f>HYPERLINK("http://www.openstreetmap.org/?mlat=32.6427&amp;mlon=43.9851&amp;zoom=12#map=12/32.6427/43.9851","Maplink1")</f>
        <v>Maplink1</v>
      </c>
      <c r="AV2149" s="14" t="str">
        <f>HYPERLINK("https://www.google.iq/maps/search/+32.6427,43.9851/@32.6427,43.9851,14z?hl=en","Maplink2")</f>
        <v>Maplink2</v>
      </c>
      <c r="AW2149" s="14" t="str">
        <f>HYPERLINK("http://www.bing.com/maps/?lvl=14&amp;sty=h&amp;cp=32.6427~43.9851&amp;sp=point.32.6427_43.9851_Al Qadissiya 1","Maplink3")</f>
        <v>Maplink3</v>
      </c>
    </row>
    <row r="2150" spans="1:49" ht="15" customHeight="1" x14ac:dyDescent="0.25">
      <c r="A2150" s="21">
        <v>22532</v>
      </c>
      <c r="B2150" s="22" t="s">
        <v>16</v>
      </c>
      <c r="C2150" s="22" t="s">
        <v>16</v>
      </c>
      <c r="D2150" s="22" t="s">
        <v>8319</v>
      </c>
      <c r="E2150" s="22" t="s">
        <v>4046</v>
      </c>
      <c r="F2150" s="22">
        <v>32.635862887800002</v>
      </c>
      <c r="G2150" s="22">
        <v>43.979572523400002</v>
      </c>
      <c r="H2150" s="21" t="s">
        <v>3858</v>
      </c>
      <c r="I2150" s="21" t="s">
        <v>3934</v>
      </c>
      <c r="J2150" s="21" t="s">
        <v>4047</v>
      </c>
      <c r="K2150" s="24">
        <v>12</v>
      </c>
      <c r="L2150" s="24">
        <v>72</v>
      </c>
      <c r="M2150" s="23">
        <v>3</v>
      </c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6</v>
      </c>
      <c r="Z2150" s="23"/>
      <c r="AA2150" s="23">
        <v>3</v>
      </c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>
        <v>12</v>
      </c>
      <c r="AL2150" s="23"/>
      <c r="AM2150" s="23"/>
      <c r="AN2150" s="23"/>
      <c r="AO2150" s="23"/>
      <c r="AP2150" s="23">
        <v>9</v>
      </c>
      <c r="AQ2150" s="23">
        <v>3</v>
      </c>
      <c r="AR2150" s="23"/>
      <c r="AS2150" s="23"/>
      <c r="AT2150" s="23"/>
      <c r="AU2150" s="14" t="str">
        <f>HYPERLINK("http://www.openstreetmap.org/?mlat=32.6426&amp;mlon=43.9851&amp;zoom=12#map=12/32.6426/43.9851","Maplink1")</f>
        <v>Maplink1</v>
      </c>
      <c r="AV2150" s="14" t="str">
        <f>HYPERLINK("https://www.google.iq/maps/search/+32.6426,43.9851/@32.6426,43.9851,14z?hl=en","Maplink2")</f>
        <v>Maplink2</v>
      </c>
      <c r="AW2150" s="14" t="str">
        <f>HYPERLINK("http://www.bing.com/maps/?lvl=14&amp;sty=h&amp;cp=32.6426~43.9851&amp;sp=point.32.6426_43.9851_Al Qadissiya Al Thaniya","Maplink3")</f>
        <v>Maplink3</v>
      </c>
    </row>
    <row r="2151" spans="1:49" ht="15" customHeight="1" x14ac:dyDescent="0.25">
      <c r="A2151" s="21">
        <v>24681</v>
      </c>
      <c r="B2151" s="22" t="s">
        <v>16</v>
      </c>
      <c r="C2151" s="22" t="s">
        <v>16</v>
      </c>
      <c r="D2151" s="22" t="s">
        <v>4048</v>
      </c>
      <c r="E2151" s="22" t="s">
        <v>4049</v>
      </c>
      <c r="F2151" s="22">
        <v>32.614474492100001</v>
      </c>
      <c r="G2151" s="22">
        <v>44.026296269100001</v>
      </c>
      <c r="H2151" s="21" t="s">
        <v>3858</v>
      </c>
      <c r="I2151" s="21" t="s">
        <v>3934</v>
      </c>
      <c r="J2151" s="21"/>
      <c r="K2151" s="24">
        <v>25</v>
      </c>
      <c r="L2151" s="24">
        <v>150</v>
      </c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25</v>
      </c>
      <c r="Z2151" s="23"/>
      <c r="AA2151" s="23"/>
      <c r="AB2151" s="23"/>
      <c r="AC2151" s="23"/>
      <c r="AD2151" s="23"/>
      <c r="AE2151" s="23"/>
      <c r="AF2151" s="23">
        <v>1</v>
      </c>
      <c r="AG2151" s="23"/>
      <c r="AH2151" s="23"/>
      <c r="AI2151" s="23"/>
      <c r="AJ2151" s="23"/>
      <c r="AK2151" s="23">
        <v>24</v>
      </c>
      <c r="AL2151" s="23"/>
      <c r="AM2151" s="23"/>
      <c r="AN2151" s="23"/>
      <c r="AO2151" s="23"/>
      <c r="AP2151" s="23">
        <v>25</v>
      </c>
      <c r="AQ2151" s="23"/>
      <c r="AR2151" s="23"/>
      <c r="AS2151" s="23"/>
      <c r="AT2151" s="23"/>
      <c r="AU2151" s="14" t="str">
        <f>HYPERLINK("http://www.openstreetmap.org/?mlat=32.6143&amp;mlon=44.0213&amp;zoom=12#map=12/32.6143/44.0213","Maplink1")</f>
        <v>Maplink1</v>
      </c>
      <c r="AV2151" s="14" t="str">
        <f>HYPERLINK("https://www.google.iq/maps/search/+32.6143,44.0213/@32.6143,44.0213,14z?hl=en","Maplink2")</f>
        <v>Maplink2</v>
      </c>
      <c r="AW2151" s="14" t="str">
        <f>HYPERLINK("http://www.bing.com/maps/?lvl=14&amp;sty=h&amp;cp=32.6143~44.0213&amp;sp=point.32.6143_44.0213_Al Qazwiniyah","Maplink3")</f>
        <v>Maplink3</v>
      </c>
    </row>
    <row r="2152" spans="1:49" ht="15" customHeight="1" x14ac:dyDescent="0.25">
      <c r="A2152" s="21">
        <v>22786</v>
      </c>
      <c r="B2152" s="22" t="s">
        <v>16</v>
      </c>
      <c r="C2152" s="22" t="s">
        <v>16</v>
      </c>
      <c r="D2152" s="22" t="s">
        <v>4050</v>
      </c>
      <c r="E2152" s="22" t="s">
        <v>4051</v>
      </c>
      <c r="F2152" s="22">
        <v>32.616987177200002</v>
      </c>
      <c r="G2152" s="22">
        <v>44.0222967602</v>
      </c>
      <c r="H2152" s="21" t="s">
        <v>3858</v>
      </c>
      <c r="I2152" s="21" t="s">
        <v>3934</v>
      </c>
      <c r="J2152" s="21" t="s">
        <v>4052</v>
      </c>
      <c r="K2152" s="24">
        <v>94</v>
      </c>
      <c r="L2152" s="24">
        <v>564</v>
      </c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94</v>
      </c>
      <c r="Z2152" s="23"/>
      <c r="AA2152" s="23"/>
      <c r="AB2152" s="23"/>
      <c r="AC2152" s="23"/>
      <c r="AD2152" s="23"/>
      <c r="AE2152" s="23"/>
      <c r="AF2152" s="23"/>
      <c r="AG2152" s="23"/>
      <c r="AH2152" s="23">
        <v>25</v>
      </c>
      <c r="AI2152" s="23"/>
      <c r="AJ2152" s="23">
        <v>25</v>
      </c>
      <c r="AK2152" s="23">
        <v>44</v>
      </c>
      <c r="AL2152" s="23"/>
      <c r="AM2152" s="23"/>
      <c r="AN2152" s="23"/>
      <c r="AO2152" s="23"/>
      <c r="AP2152" s="23">
        <v>94</v>
      </c>
      <c r="AQ2152" s="23"/>
      <c r="AR2152" s="23"/>
      <c r="AS2152" s="23"/>
      <c r="AT2152" s="23"/>
      <c r="AU2152" s="14" t="str">
        <f>HYPERLINK("http://www.openstreetmap.org/?mlat=32.6191&amp;mlon=44.0239&amp;zoom=12#map=12/32.6191/44.0239","Maplink1")</f>
        <v>Maplink1</v>
      </c>
      <c r="AV2152" s="14" t="str">
        <f>HYPERLINK("https://www.google.iq/maps/search/+32.6191,44.0239/@32.6191,44.0239,14z?hl=en","Maplink2")</f>
        <v>Maplink2</v>
      </c>
      <c r="AW2152" s="14" t="str">
        <f>HYPERLINK("http://www.bing.com/maps/?lvl=14&amp;sty=h&amp;cp=32.6191~44.0239&amp;sp=point.32.6191_44.0239_Al Rawdhatain","Maplink3")</f>
        <v>Maplink3</v>
      </c>
    </row>
    <row r="2153" spans="1:49" ht="15" customHeight="1" x14ac:dyDescent="0.25">
      <c r="A2153" s="21">
        <v>25848</v>
      </c>
      <c r="B2153" s="22" t="s">
        <v>16</v>
      </c>
      <c r="C2153" s="22" t="s">
        <v>16</v>
      </c>
      <c r="D2153" s="22" t="s">
        <v>4053</v>
      </c>
      <c r="E2153" s="22" t="s">
        <v>4054</v>
      </c>
      <c r="F2153" s="22">
        <v>32.561431880999997</v>
      </c>
      <c r="G2153" s="22">
        <v>44.061720790300001</v>
      </c>
      <c r="H2153" s="21" t="s">
        <v>3858</v>
      </c>
      <c r="I2153" s="21" t="s">
        <v>3934</v>
      </c>
      <c r="J2153" s="21"/>
      <c r="K2153" s="24">
        <v>98</v>
      </c>
      <c r="L2153" s="24">
        <v>588</v>
      </c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98</v>
      </c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>
        <v>83</v>
      </c>
      <c r="AK2153" s="23">
        <v>15</v>
      </c>
      <c r="AL2153" s="23"/>
      <c r="AM2153" s="23"/>
      <c r="AN2153" s="23"/>
      <c r="AO2153" s="23"/>
      <c r="AP2153" s="23">
        <v>98</v>
      </c>
      <c r="AQ2153" s="23"/>
      <c r="AR2153" s="23"/>
      <c r="AS2153" s="23"/>
      <c r="AT2153" s="23"/>
      <c r="AU2153" s="14" t="str">
        <f>HYPERLINK("http://www.openstreetmap.org/?mlat=32.53&amp;mlon=44.0859&amp;zoom=12#map=12/32.53/44.0859","Maplink1")</f>
        <v>Maplink1</v>
      </c>
      <c r="AV2153" s="14" t="str">
        <f>HYPERLINK("https://www.google.iq/maps/search/+32.53,44.0859/@32.53,44.0859,14z?hl=en","Maplink2")</f>
        <v>Maplink2</v>
      </c>
      <c r="AW2153" s="14" t="str">
        <f>HYPERLINK("http://www.bing.com/maps/?lvl=14&amp;sty=h&amp;cp=32.53~44.0859&amp;sp=point.32.53_44.0859_Al Sahrawy Al Mazarea","Maplink3")</f>
        <v>Maplink3</v>
      </c>
    </row>
    <row r="2154" spans="1:49" ht="15" customHeight="1" x14ac:dyDescent="0.25">
      <c r="A2154" s="21">
        <v>25358</v>
      </c>
      <c r="B2154" s="22" t="s">
        <v>16</v>
      </c>
      <c r="C2154" s="22" t="s">
        <v>16</v>
      </c>
      <c r="D2154" s="22" t="s">
        <v>4055</v>
      </c>
      <c r="E2154" s="22" t="s">
        <v>4056</v>
      </c>
      <c r="F2154" s="22">
        <v>32.585966549799998</v>
      </c>
      <c r="G2154" s="22">
        <v>43.996545709700001</v>
      </c>
      <c r="H2154" s="21" t="s">
        <v>3858</v>
      </c>
      <c r="I2154" s="21" t="s">
        <v>3934</v>
      </c>
      <c r="J2154" s="21"/>
      <c r="K2154" s="24">
        <v>20</v>
      </c>
      <c r="L2154" s="24">
        <v>120</v>
      </c>
      <c r="M2154" s="23">
        <v>3</v>
      </c>
      <c r="N2154" s="23"/>
      <c r="O2154" s="23"/>
      <c r="P2154" s="23"/>
      <c r="Q2154" s="23"/>
      <c r="R2154" s="23">
        <v>4</v>
      </c>
      <c r="S2154" s="23"/>
      <c r="T2154" s="23"/>
      <c r="U2154" s="23"/>
      <c r="V2154" s="23"/>
      <c r="W2154" s="23"/>
      <c r="X2154" s="23"/>
      <c r="Y2154" s="23">
        <v>13</v>
      </c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20</v>
      </c>
      <c r="AL2154" s="23"/>
      <c r="AM2154" s="23"/>
      <c r="AN2154" s="23"/>
      <c r="AO2154" s="23"/>
      <c r="AP2154" s="23">
        <v>17</v>
      </c>
      <c r="AQ2154" s="23">
        <v>3</v>
      </c>
      <c r="AR2154" s="23"/>
      <c r="AS2154" s="23"/>
      <c r="AT2154" s="23"/>
      <c r="AU2154" s="14" t="str">
        <f>HYPERLINK("http://www.openstreetmap.org/?mlat=32.5845&amp;mlon=43.9973&amp;zoom=12#map=12/32.5845/43.9973","Maplink1")</f>
        <v>Maplink1</v>
      </c>
      <c r="AV2154" s="14" t="str">
        <f>HYPERLINK("https://www.google.iq/maps/search/+32.5845,43.9973/@32.5845,43.9973,14z?hl=en","Maplink2")</f>
        <v>Maplink2</v>
      </c>
      <c r="AW2154" s="14" t="str">
        <f>HYPERLINK("http://www.bing.com/maps/?lvl=14&amp;sty=h&amp;cp=32.5845~43.9973&amp;sp=point.32.5845_43.9973_Al Salam-1","Maplink3")</f>
        <v>Maplink3</v>
      </c>
    </row>
    <row r="2155" spans="1:49" ht="15" customHeight="1" x14ac:dyDescent="0.25">
      <c r="A2155" s="21">
        <v>25359</v>
      </c>
      <c r="B2155" s="22" t="s">
        <v>16</v>
      </c>
      <c r="C2155" s="22" t="s">
        <v>16</v>
      </c>
      <c r="D2155" s="22" t="s">
        <v>4057</v>
      </c>
      <c r="E2155" s="22" t="s">
        <v>4058</v>
      </c>
      <c r="F2155" s="22">
        <v>32.5838303799</v>
      </c>
      <c r="G2155" s="22">
        <v>44.000378167299999</v>
      </c>
      <c r="H2155" s="21" t="s">
        <v>3858</v>
      </c>
      <c r="I2155" s="21" t="s">
        <v>3934</v>
      </c>
      <c r="J2155" s="21"/>
      <c r="K2155" s="24">
        <v>16</v>
      </c>
      <c r="L2155" s="24">
        <v>96</v>
      </c>
      <c r="M2155" s="23">
        <v>1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13</v>
      </c>
      <c r="Z2155" s="23"/>
      <c r="AA2155" s="23">
        <v>2</v>
      </c>
      <c r="AB2155" s="23"/>
      <c r="AC2155" s="23"/>
      <c r="AD2155" s="23"/>
      <c r="AE2155" s="23"/>
      <c r="AF2155" s="23"/>
      <c r="AG2155" s="23"/>
      <c r="AH2155" s="23"/>
      <c r="AI2155" s="23"/>
      <c r="AJ2155" s="23">
        <v>8</v>
      </c>
      <c r="AK2155" s="23">
        <v>8</v>
      </c>
      <c r="AL2155" s="23"/>
      <c r="AM2155" s="23"/>
      <c r="AN2155" s="23"/>
      <c r="AO2155" s="23"/>
      <c r="AP2155" s="23">
        <v>16</v>
      </c>
      <c r="AQ2155" s="23"/>
      <c r="AR2155" s="23"/>
      <c r="AS2155" s="23"/>
      <c r="AT2155" s="23"/>
      <c r="AU2155" s="14" t="str">
        <f>HYPERLINK("http://www.openstreetmap.org/?mlat=32.5845&amp;mlon=43.9973&amp;zoom=12#map=12/32.5845/43.9973","Maplink1")</f>
        <v>Maplink1</v>
      </c>
      <c r="AV2155" s="14" t="str">
        <f>HYPERLINK("https://www.google.iq/maps/search/+32.5845,43.9973/@32.5845,43.9973,14z?hl=en","Maplink2")</f>
        <v>Maplink2</v>
      </c>
      <c r="AW2155" s="14" t="str">
        <f>HYPERLINK("http://www.bing.com/maps/?lvl=14&amp;sty=h&amp;cp=32.5845~43.9973&amp;sp=point.32.5845_43.9973_Al Salam-2","Maplink3")</f>
        <v>Maplink3</v>
      </c>
    </row>
    <row r="2156" spans="1:49" ht="15" customHeight="1" x14ac:dyDescent="0.25">
      <c r="A2156" s="21">
        <v>25065</v>
      </c>
      <c r="B2156" s="22" t="s">
        <v>16</v>
      </c>
      <c r="C2156" s="22" t="s">
        <v>16</v>
      </c>
      <c r="D2156" s="22" t="s">
        <v>4059</v>
      </c>
      <c r="E2156" s="22" t="s">
        <v>4060</v>
      </c>
      <c r="F2156" s="22">
        <v>32.666996251800001</v>
      </c>
      <c r="G2156" s="22">
        <v>44.169436544200003</v>
      </c>
      <c r="H2156" s="21" t="s">
        <v>3858</v>
      </c>
      <c r="I2156" s="21" t="s">
        <v>3934</v>
      </c>
      <c r="J2156" s="21"/>
      <c r="K2156" s="24">
        <v>15</v>
      </c>
      <c r="L2156" s="24">
        <v>90</v>
      </c>
      <c r="M2156" s="23">
        <v>5</v>
      </c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10</v>
      </c>
      <c r="Z2156" s="23"/>
      <c r="AA2156" s="23"/>
      <c r="AB2156" s="23"/>
      <c r="AC2156" s="23"/>
      <c r="AD2156" s="23"/>
      <c r="AE2156" s="23"/>
      <c r="AF2156" s="23">
        <v>5</v>
      </c>
      <c r="AG2156" s="23"/>
      <c r="AH2156" s="23"/>
      <c r="AI2156" s="23"/>
      <c r="AJ2156" s="23">
        <v>7</v>
      </c>
      <c r="AK2156" s="23">
        <v>3</v>
      </c>
      <c r="AL2156" s="23"/>
      <c r="AM2156" s="23"/>
      <c r="AN2156" s="23"/>
      <c r="AO2156" s="23">
        <v>5</v>
      </c>
      <c r="AP2156" s="23">
        <v>10</v>
      </c>
      <c r="AQ2156" s="23"/>
      <c r="AR2156" s="23"/>
      <c r="AS2156" s="23"/>
      <c r="AT2156" s="23"/>
      <c r="AU2156" s="14" t="str">
        <f>HYPERLINK("http://www.openstreetmap.org/?mlat=32.6613&amp;mlon=44.1605&amp;zoom=12#map=12/32.6613/44.1605","Maplink1")</f>
        <v>Maplink1</v>
      </c>
      <c r="AV2156" s="14" t="str">
        <f>HYPERLINK("https://www.google.iq/maps/search/+32.6613,44.1605/@32.6613,44.1605,14z?hl=en","Maplink2")</f>
        <v>Maplink2</v>
      </c>
      <c r="AW2156" s="14" t="str">
        <f>HYPERLINK("http://www.bing.com/maps/?lvl=14&amp;sty=h&amp;cp=32.6613~44.1605&amp;sp=point.32.6613_44.1605_Al Salamea","Maplink3")</f>
        <v>Maplink3</v>
      </c>
    </row>
    <row r="2157" spans="1:49" ht="15" customHeight="1" x14ac:dyDescent="0.25">
      <c r="A2157" s="21">
        <v>24196</v>
      </c>
      <c r="B2157" s="22" t="s">
        <v>16</v>
      </c>
      <c r="C2157" s="22" t="s">
        <v>16</v>
      </c>
      <c r="D2157" s="22" t="s">
        <v>4061</v>
      </c>
      <c r="E2157" s="22" t="s">
        <v>4062</v>
      </c>
      <c r="F2157" s="22">
        <v>32.683486766199998</v>
      </c>
      <c r="G2157" s="22">
        <v>44.115534201300001</v>
      </c>
      <c r="H2157" s="21" t="s">
        <v>3858</v>
      </c>
      <c r="I2157" s="21" t="s">
        <v>3934</v>
      </c>
      <c r="J2157" s="21" t="s">
        <v>4063</v>
      </c>
      <c r="K2157" s="24">
        <v>2</v>
      </c>
      <c r="L2157" s="24">
        <v>12</v>
      </c>
      <c r="M2157" s="23"/>
      <c r="N2157" s="23">
        <v>1</v>
      </c>
      <c r="O2157" s="23">
        <v>1</v>
      </c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>
        <v>2</v>
      </c>
      <c r="AG2157" s="23"/>
      <c r="AH2157" s="23"/>
      <c r="AI2157" s="23"/>
      <c r="AJ2157" s="23"/>
      <c r="AK2157" s="23"/>
      <c r="AL2157" s="23"/>
      <c r="AM2157" s="23"/>
      <c r="AN2157" s="23"/>
      <c r="AO2157" s="23"/>
      <c r="AP2157" s="23">
        <v>2</v>
      </c>
      <c r="AQ2157" s="23"/>
      <c r="AR2157" s="23"/>
      <c r="AS2157" s="23"/>
      <c r="AT2157" s="23"/>
      <c r="AU2157" s="14" t="str">
        <f>HYPERLINK("http://www.openstreetmap.org/?mlat=32.5945&amp;mlon=44.0213&amp;zoom=12#map=12/32.5945/44.0213","Maplink1")</f>
        <v>Maplink1</v>
      </c>
      <c r="AV2157" s="14" t="str">
        <f>HYPERLINK("https://www.google.iq/maps/search/+32.5945,44.0213/@32.5945,44.0213,14z?hl=en","Maplink2")</f>
        <v>Maplink2</v>
      </c>
      <c r="AW2157" s="14" t="str">
        <f>HYPERLINK("http://www.bing.com/maps/?lvl=14&amp;sty=h&amp;cp=32.5945~44.0213&amp;sp=point.32.5945_44.0213_Al Shita Wa Salhiya","Maplink3")</f>
        <v>Maplink3</v>
      </c>
    </row>
    <row r="2158" spans="1:49" ht="15" customHeight="1" x14ac:dyDescent="0.25">
      <c r="A2158" s="21">
        <v>25361</v>
      </c>
      <c r="B2158" s="22" t="s">
        <v>16</v>
      </c>
      <c r="C2158" s="22" t="s">
        <v>16</v>
      </c>
      <c r="D2158" s="22" t="s">
        <v>4064</v>
      </c>
      <c r="E2158" s="22" t="s">
        <v>4065</v>
      </c>
      <c r="F2158" s="22">
        <v>32.548953867500003</v>
      </c>
      <c r="G2158" s="22">
        <v>44.083662182099999</v>
      </c>
      <c r="H2158" s="21" t="s">
        <v>3858</v>
      </c>
      <c r="I2158" s="21" t="s">
        <v>3934</v>
      </c>
      <c r="J2158" s="21"/>
      <c r="K2158" s="24">
        <v>28</v>
      </c>
      <c r="L2158" s="24">
        <v>168</v>
      </c>
      <c r="M2158" s="23"/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>
        <v>28</v>
      </c>
      <c r="Z2158" s="23"/>
      <c r="AA2158" s="23"/>
      <c r="AB2158" s="23"/>
      <c r="AC2158" s="23"/>
      <c r="AD2158" s="23"/>
      <c r="AE2158" s="23"/>
      <c r="AF2158" s="23"/>
      <c r="AG2158" s="23"/>
      <c r="AH2158" s="23">
        <v>4</v>
      </c>
      <c r="AI2158" s="23"/>
      <c r="AJ2158" s="23">
        <v>20</v>
      </c>
      <c r="AK2158" s="23">
        <v>4</v>
      </c>
      <c r="AL2158" s="23"/>
      <c r="AM2158" s="23"/>
      <c r="AN2158" s="23"/>
      <c r="AO2158" s="23"/>
      <c r="AP2158" s="23">
        <v>28</v>
      </c>
      <c r="AQ2158" s="23"/>
      <c r="AR2158" s="23"/>
      <c r="AS2158" s="23"/>
      <c r="AT2158" s="23"/>
      <c r="AU2158" s="14" t="str">
        <f>HYPERLINK("http://www.openstreetmap.org/?mlat=32.3605&amp;mlon=44.023&amp;zoom=12#map=12/32.3605/44.023","Maplink1")</f>
        <v>Maplink1</v>
      </c>
      <c r="AV2158" s="14" t="str">
        <f>HYPERLINK("https://www.google.iq/maps/search/+32.3605,44.023/@32.3605,44.023,14z?hl=en","Maplink2")</f>
        <v>Maplink2</v>
      </c>
      <c r="AW2158" s="14" t="str">
        <f>HYPERLINK("http://www.bing.com/maps/?lvl=14&amp;sty=h&amp;cp=32.3605~44.023&amp;sp=point.32.3605_44.023_Al Shrawea Al Wady","Maplink3")</f>
        <v>Maplink3</v>
      </c>
    </row>
    <row r="2159" spans="1:49" ht="15" customHeight="1" x14ac:dyDescent="0.25">
      <c r="A2159" s="21">
        <v>25551</v>
      </c>
      <c r="B2159" s="22" t="s">
        <v>16</v>
      </c>
      <c r="C2159" s="22" t="s">
        <v>16</v>
      </c>
      <c r="D2159" s="22" t="s">
        <v>4066</v>
      </c>
      <c r="E2159" s="22" t="s">
        <v>4067</v>
      </c>
      <c r="F2159" s="22">
        <v>32.589758816200003</v>
      </c>
      <c r="G2159" s="22">
        <v>44.004647908700001</v>
      </c>
      <c r="H2159" s="21" t="s">
        <v>3858</v>
      </c>
      <c r="I2159" s="21" t="s">
        <v>3934</v>
      </c>
      <c r="J2159" s="21"/>
      <c r="K2159" s="24">
        <v>9</v>
      </c>
      <c r="L2159" s="24">
        <v>54</v>
      </c>
      <c r="M2159" s="23">
        <v>4</v>
      </c>
      <c r="N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>
        <v>5</v>
      </c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>
        <v>9</v>
      </c>
      <c r="AL2159" s="23"/>
      <c r="AM2159" s="23"/>
      <c r="AN2159" s="23"/>
      <c r="AO2159" s="23"/>
      <c r="AP2159" s="23">
        <v>5</v>
      </c>
      <c r="AQ2159" s="23">
        <v>4</v>
      </c>
      <c r="AR2159" s="23"/>
      <c r="AS2159" s="23"/>
      <c r="AT2159" s="23"/>
      <c r="AU2159" s="14" t="str">
        <f>HYPERLINK("http://www.openstreetmap.org/?mlat=32.5773&amp;mlon=44.0053&amp;zoom=12#map=12/32.5773/44.0053","Maplink1")</f>
        <v>Maplink1</v>
      </c>
      <c r="AV2159" s="14" t="str">
        <f>HYPERLINK("https://www.google.iq/maps/search/+32.5773,44.0053/@32.5773,44.0053,14z?hl=en","Maplink2")</f>
        <v>Maplink2</v>
      </c>
      <c r="AW2159" s="14" t="str">
        <f>HYPERLINK("http://www.bing.com/maps/?lvl=14&amp;sty=h&amp;cp=32.5773~44.0053&amp;sp=point.32.5773_44.0053_Al Somod-Al Uwlaa","Maplink3")</f>
        <v>Maplink3</v>
      </c>
    </row>
    <row r="2160" spans="1:49" ht="15" customHeight="1" x14ac:dyDescent="0.25">
      <c r="A2160" s="21">
        <v>25782</v>
      </c>
      <c r="B2160" s="22" t="s">
        <v>16</v>
      </c>
      <c r="C2160" s="22" t="s">
        <v>16</v>
      </c>
      <c r="D2160" s="22" t="s">
        <v>8860</v>
      </c>
      <c r="E2160" s="22" t="s">
        <v>4290</v>
      </c>
      <c r="F2160" s="22">
        <v>32.633006083799998</v>
      </c>
      <c r="G2160" s="22">
        <v>43.989679757499999</v>
      </c>
      <c r="H2160" s="21" t="s">
        <v>3858</v>
      </c>
      <c r="I2160" s="21" t="s">
        <v>3934</v>
      </c>
      <c r="J2160" s="21"/>
      <c r="K2160" s="24">
        <v>21</v>
      </c>
      <c r="L2160" s="24">
        <v>126</v>
      </c>
      <c r="M2160" s="23">
        <v>11</v>
      </c>
      <c r="N2160" s="23"/>
      <c r="O2160" s="23"/>
      <c r="P2160" s="23"/>
      <c r="Q2160" s="23"/>
      <c r="R2160" s="23">
        <v>2</v>
      </c>
      <c r="S2160" s="23"/>
      <c r="T2160" s="23"/>
      <c r="U2160" s="23"/>
      <c r="V2160" s="23"/>
      <c r="W2160" s="23"/>
      <c r="X2160" s="23"/>
      <c r="Y2160" s="23">
        <v>8</v>
      </c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>
        <v>21</v>
      </c>
      <c r="AL2160" s="23"/>
      <c r="AM2160" s="23"/>
      <c r="AN2160" s="23"/>
      <c r="AO2160" s="23">
        <v>2</v>
      </c>
      <c r="AP2160" s="23">
        <v>10</v>
      </c>
      <c r="AQ2160" s="23"/>
      <c r="AR2160" s="23"/>
      <c r="AS2160" s="23">
        <v>9</v>
      </c>
      <c r="AT2160" s="23"/>
      <c r="AU2160" s="14" t="str">
        <f>HYPERLINK("http://www.openstreetmap.org/?mlat=32.3742&amp;mlon=43.5915&amp;zoom=12#map=12/32.3742/43.5915","Maplink1")</f>
        <v>Maplink1</v>
      </c>
      <c r="AV2160" s="14" t="str">
        <f>HYPERLINK("https://www.google.iq/maps/search/+32.3742,43.5915/@32.3742,43.5915,14z?hl=en","Maplink2")</f>
        <v>Maplink2</v>
      </c>
      <c r="AW2160" s="14" t="str">
        <f>HYPERLINK("http://www.bing.com/maps/?lvl=14&amp;sty=h&amp;cp=32.3742~43.5915&amp;sp=point.32.3742_43.5915_Kerbala-Al thawra 2","Maplink3")</f>
        <v>Maplink3</v>
      </c>
    </row>
    <row r="2161" spans="1:49" ht="15" customHeight="1" x14ac:dyDescent="0.25">
      <c r="A2161" s="21">
        <v>25781</v>
      </c>
      <c r="B2161" s="22" t="s">
        <v>16</v>
      </c>
      <c r="C2161" s="22" t="s">
        <v>16</v>
      </c>
      <c r="D2161" s="22" t="s">
        <v>8861</v>
      </c>
      <c r="E2161" s="22" t="s">
        <v>4291</v>
      </c>
      <c r="F2161" s="22">
        <v>32.632226063899999</v>
      </c>
      <c r="G2161" s="22">
        <v>43.9914019872</v>
      </c>
      <c r="H2161" s="21" t="s">
        <v>3858</v>
      </c>
      <c r="I2161" s="21" t="s">
        <v>3934</v>
      </c>
      <c r="J2161" s="21"/>
      <c r="K2161" s="24">
        <v>6</v>
      </c>
      <c r="L2161" s="24">
        <v>36</v>
      </c>
      <c r="M2161" s="23">
        <v>6</v>
      </c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>
        <v>6</v>
      </c>
      <c r="AL2161" s="23"/>
      <c r="AM2161" s="23"/>
      <c r="AN2161" s="23"/>
      <c r="AO2161" s="23"/>
      <c r="AP2161" s="23"/>
      <c r="AQ2161" s="23"/>
      <c r="AR2161" s="23"/>
      <c r="AS2161" s="23">
        <v>6</v>
      </c>
      <c r="AT2161" s="23"/>
      <c r="AU2161" s="14" t="str">
        <f>HYPERLINK("http://www.openstreetmap.org/?mlat=32.3752&amp;mlon=43.5915&amp;zoom=12#map=12/32.3752/43.5915","Maplink1")</f>
        <v>Maplink1</v>
      </c>
      <c r="AV2161" s="14" t="str">
        <f>HYPERLINK("https://www.google.iq/maps/search/+32.3752,43.5915/@32.3752,43.5915,14z?hl=en","Maplink2")</f>
        <v>Maplink2</v>
      </c>
      <c r="AW2161" s="14" t="str">
        <f>HYPERLINK("http://www.bing.com/maps/?lvl=14&amp;sty=h&amp;cp=32.3752~43.5915&amp;sp=point.32.3752_43.5915_Kerbala-Al thawra-1","Maplink3")</f>
        <v>Maplink3</v>
      </c>
    </row>
    <row r="2162" spans="1:49" ht="15" customHeight="1" x14ac:dyDescent="0.25">
      <c r="A2162" s="21">
        <v>25546</v>
      </c>
      <c r="B2162" s="22" t="s">
        <v>16</v>
      </c>
      <c r="C2162" s="22" t="s">
        <v>16</v>
      </c>
      <c r="D2162" s="22" t="s">
        <v>8862</v>
      </c>
      <c r="E2162" s="22" t="s">
        <v>8863</v>
      </c>
      <c r="F2162" s="22">
        <v>32.612751298600003</v>
      </c>
      <c r="G2162" s="22">
        <v>43.981500947800001</v>
      </c>
      <c r="H2162" s="21" t="s">
        <v>3858</v>
      </c>
      <c r="I2162" s="21" t="s">
        <v>3934</v>
      </c>
      <c r="J2162" s="21"/>
      <c r="K2162" s="24">
        <v>12</v>
      </c>
      <c r="L2162" s="24">
        <v>72</v>
      </c>
      <c r="M2162" s="23">
        <v>1</v>
      </c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11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>
        <v>12</v>
      </c>
      <c r="AL2162" s="23"/>
      <c r="AM2162" s="23"/>
      <c r="AN2162" s="23"/>
      <c r="AO2162" s="23"/>
      <c r="AP2162" s="23">
        <v>11</v>
      </c>
      <c r="AQ2162" s="23"/>
      <c r="AR2162" s="23"/>
      <c r="AS2162" s="23">
        <v>1</v>
      </c>
      <c r="AT2162" s="23"/>
      <c r="AU2162" s="14" t="str">
        <f>HYPERLINK("http://www.openstreetmap.org/?mlat=32.6116&amp;mlon=43.9799&amp;zoom=12#map=12/32.6116/43.9799","Maplink1")</f>
        <v>Maplink1</v>
      </c>
      <c r="AV2162" s="14" t="str">
        <f>HYPERLINK("https://www.google.iq/maps/search/+32.6116,43.9799/@32.6116,43.9799,14z?hl=en","Maplink2")</f>
        <v>Maplink2</v>
      </c>
      <c r="AW2162" s="14" t="str">
        <f>HYPERLINK("http://www.bing.com/maps/?lvl=14&amp;sty=h&amp;cp=32.6116~43.9799&amp;sp=point.32.6116_43.9799_Al Hurr-Al Walaa Al Uwlaa","Maplink3")</f>
        <v>Maplink3</v>
      </c>
    </row>
    <row r="2163" spans="1:49" ht="15" customHeight="1" x14ac:dyDescent="0.25">
      <c r="A2163" s="21">
        <v>25941</v>
      </c>
      <c r="B2163" s="22" t="s">
        <v>16</v>
      </c>
      <c r="C2163" s="22" t="s">
        <v>16</v>
      </c>
      <c r="D2163" s="22" t="s">
        <v>4068</v>
      </c>
      <c r="E2163" s="22" t="s">
        <v>4069</v>
      </c>
      <c r="F2163" s="22">
        <v>32.718342742899999</v>
      </c>
      <c r="G2163" s="22">
        <v>44.209075653900001</v>
      </c>
      <c r="H2163" s="21" t="s">
        <v>3858</v>
      </c>
      <c r="I2163" s="21" t="s">
        <v>3934</v>
      </c>
      <c r="J2163" s="21"/>
      <c r="K2163" s="24">
        <v>42</v>
      </c>
      <c r="L2163" s="24">
        <v>252</v>
      </c>
      <c r="M2163" s="23"/>
      <c r="N2163" s="23">
        <v>1</v>
      </c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>
        <v>41</v>
      </c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>
        <v>41</v>
      </c>
      <c r="AK2163" s="23">
        <v>1</v>
      </c>
      <c r="AL2163" s="23"/>
      <c r="AM2163" s="23"/>
      <c r="AN2163" s="23"/>
      <c r="AO2163" s="23">
        <v>1</v>
      </c>
      <c r="AP2163" s="23">
        <v>41</v>
      </c>
      <c r="AQ2163" s="23"/>
      <c r="AR2163" s="23"/>
      <c r="AS2163" s="23"/>
      <c r="AT2163" s="23"/>
      <c r="AU2163" s="14" t="str">
        <f>HYPERLINK("http://www.openstreetmap.org/?mlat=32.7164&amp;mlon=44.2044&amp;zoom=12#map=12/32.7164/44.2044","Maplink1")</f>
        <v>Maplink1</v>
      </c>
      <c r="AV2163" s="14" t="str">
        <f>HYPERLINK("https://www.google.iq/maps/search/+32.7164,44.2044/@32.7164,44.2044,14z?hl=en","Maplink2")</f>
        <v>Maplink2</v>
      </c>
      <c r="AW2163" s="14" t="str">
        <f>HYPERLINK("http://www.bing.com/maps/?lvl=14&amp;sty=h&amp;cp=32.7164~44.2044&amp;sp=point.32.7164_44.2044_Al Wand Al Hmodea 1","Maplink3")</f>
        <v>Maplink3</v>
      </c>
    </row>
    <row r="2164" spans="1:49" ht="15" customHeight="1" x14ac:dyDescent="0.25">
      <c r="A2164" s="21">
        <v>25942</v>
      </c>
      <c r="B2164" s="22" t="s">
        <v>16</v>
      </c>
      <c r="C2164" s="22" t="s">
        <v>16</v>
      </c>
      <c r="D2164" s="22" t="s">
        <v>4070</v>
      </c>
      <c r="E2164" s="22" t="s">
        <v>4071</v>
      </c>
      <c r="F2164" s="22">
        <v>32.719532470200001</v>
      </c>
      <c r="G2164" s="22">
        <v>44.214389026200003</v>
      </c>
      <c r="H2164" s="21" t="s">
        <v>3858</v>
      </c>
      <c r="I2164" s="21" t="s">
        <v>3934</v>
      </c>
      <c r="J2164" s="21"/>
      <c r="K2164" s="24">
        <v>10</v>
      </c>
      <c r="L2164" s="24">
        <v>60</v>
      </c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>
        <v>10</v>
      </c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>
        <v>10</v>
      </c>
      <c r="AK2164" s="23"/>
      <c r="AL2164" s="23"/>
      <c r="AM2164" s="23"/>
      <c r="AN2164" s="23"/>
      <c r="AO2164" s="23"/>
      <c r="AP2164" s="23">
        <v>10</v>
      </c>
      <c r="AQ2164" s="23"/>
      <c r="AR2164" s="23"/>
      <c r="AS2164" s="23"/>
      <c r="AT2164" s="23"/>
      <c r="AU2164" s="14" t="str">
        <f>HYPERLINK("http://www.openstreetmap.org/?mlat=32.7154&amp;mlon=44.2034&amp;zoom=12#map=12/32.7154/44.2034","Maplink1")</f>
        <v>Maplink1</v>
      </c>
      <c r="AV2164" s="14" t="str">
        <f>HYPERLINK("https://www.google.iq/maps/search/+32.7154,44.2034/@32.7154,44.2034,14z?hl=en","Maplink2")</f>
        <v>Maplink2</v>
      </c>
      <c r="AW2164" s="14" t="str">
        <f>HYPERLINK("http://www.bing.com/maps/?lvl=14&amp;sty=h&amp;cp=32.7154~44.2034&amp;sp=point.32.7154_44.2034_Al Wand Al Hmodea 2","Maplink3")</f>
        <v>Maplink3</v>
      </c>
    </row>
    <row r="2165" spans="1:49" ht="15" customHeight="1" x14ac:dyDescent="0.25">
      <c r="A2165" s="21">
        <v>25940</v>
      </c>
      <c r="B2165" s="22" t="s">
        <v>16</v>
      </c>
      <c r="C2165" s="22" t="s">
        <v>16</v>
      </c>
      <c r="D2165" s="22" t="s">
        <v>4072</v>
      </c>
      <c r="E2165" s="22" t="s">
        <v>4073</v>
      </c>
      <c r="F2165" s="22">
        <v>32.722090375599997</v>
      </c>
      <c r="G2165" s="22">
        <v>44.222221076499999</v>
      </c>
      <c r="H2165" s="21" t="s">
        <v>3858</v>
      </c>
      <c r="I2165" s="21" t="s">
        <v>3934</v>
      </c>
      <c r="J2165" s="21"/>
      <c r="K2165" s="24">
        <v>35</v>
      </c>
      <c r="L2165" s="24">
        <v>210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35</v>
      </c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>
        <v>35</v>
      </c>
      <c r="AK2165" s="23"/>
      <c r="AL2165" s="23"/>
      <c r="AM2165" s="23"/>
      <c r="AN2165" s="23"/>
      <c r="AO2165" s="23"/>
      <c r="AP2165" s="23">
        <v>35</v>
      </c>
      <c r="AQ2165" s="23"/>
      <c r="AR2165" s="23"/>
      <c r="AS2165" s="23"/>
      <c r="AT2165" s="23"/>
      <c r="AU2165" s="14" t="str">
        <f>HYPERLINK("http://www.openstreetmap.org/?mlat=32.7154&amp;mlon=44.1974&amp;zoom=12#map=12/32.7154/44.1974","Maplink1")</f>
        <v>Maplink1</v>
      </c>
      <c r="AV2165" s="14" t="str">
        <f>HYPERLINK("https://www.google.iq/maps/search/+32.7154,44.1974/@32.7154,44.1974,14z?hl=en","Maplink2")</f>
        <v>Maplink2</v>
      </c>
      <c r="AW2165" s="14" t="str">
        <f>HYPERLINK("http://www.bing.com/maps/?lvl=14&amp;sty=h&amp;cp=32.7154~44.1974&amp;sp=point.32.7154_44.1974_Al Wand Al Hmodea Al Sharqea","Maplink3")</f>
        <v>Maplink3</v>
      </c>
    </row>
    <row r="2166" spans="1:49" ht="15" customHeight="1" x14ac:dyDescent="0.25">
      <c r="A2166" s="21">
        <v>25938</v>
      </c>
      <c r="B2166" s="22" t="s">
        <v>16</v>
      </c>
      <c r="C2166" s="22" t="s">
        <v>16</v>
      </c>
      <c r="D2166" s="22" t="s">
        <v>4074</v>
      </c>
      <c r="E2166" s="22" t="s">
        <v>8042</v>
      </c>
      <c r="F2166" s="22">
        <v>32.710448163599999</v>
      </c>
      <c r="G2166" s="22">
        <v>44.184898808600003</v>
      </c>
      <c r="H2166" s="21" t="s">
        <v>3858</v>
      </c>
      <c r="I2166" s="21" t="s">
        <v>3934</v>
      </c>
      <c r="J2166" s="21"/>
      <c r="K2166" s="24">
        <v>30</v>
      </c>
      <c r="L2166" s="24">
        <v>180</v>
      </c>
      <c r="M2166" s="23"/>
      <c r="N2166" s="23">
        <v>4</v>
      </c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26</v>
      </c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>
        <v>30</v>
      </c>
      <c r="AK2166" s="23"/>
      <c r="AL2166" s="23"/>
      <c r="AM2166" s="23"/>
      <c r="AN2166" s="23"/>
      <c r="AO2166" s="23"/>
      <c r="AP2166" s="23">
        <v>30</v>
      </c>
      <c r="AQ2166" s="23"/>
      <c r="AR2166" s="23"/>
      <c r="AS2166" s="23"/>
      <c r="AT2166" s="23"/>
      <c r="AU2166" s="14" t="str">
        <f>HYPERLINK("http://www.openstreetmap.org/?mlat=32.7119&amp;mlon=44.1906&amp;zoom=12#map=12/32.7119/44.1906","Maplink1")</f>
        <v>Maplink1</v>
      </c>
      <c r="AV2166" s="14" t="str">
        <f>HYPERLINK("https://www.google.iq/maps/search/+32.7119,44.1906/@32.7119,44.1906,14z?hl=en","Maplink2")</f>
        <v>Maplink2</v>
      </c>
      <c r="AW2166" s="14" t="str">
        <f>HYPERLINK("http://www.bing.com/maps/?lvl=14&amp;sty=h&amp;cp=32.7119~44.1906&amp;sp=point.32.7119_44.1906_Al Wand Al Mustajad","Maplink3")</f>
        <v>Maplink3</v>
      </c>
    </row>
    <row r="2167" spans="1:49" ht="15" customHeight="1" x14ac:dyDescent="0.25">
      <c r="A2167" s="21">
        <v>25939</v>
      </c>
      <c r="B2167" s="22" t="s">
        <v>16</v>
      </c>
      <c r="C2167" s="22" t="s">
        <v>16</v>
      </c>
      <c r="D2167" s="22" t="s">
        <v>4075</v>
      </c>
      <c r="E2167" s="22" t="s">
        <v>4076</v>
      </c>
      <c r="F2167" s="22">
        <v>32.7140567824</v>
      </c>
      <c r="G2167" s="22">
        <v>44.194854917000001</v>
      </c>
      <c r="H2167" s="21" t="s">
        <v>3858</v>
      </c>
      <c r="I2167" s="21" t="s">
        <v>3934</v>
      </c>
      <c r="J2167" s="21"/>
      <c r="K2167" s="24">
        <v>4</v>
      </c>
      <c r="L2167" s="24">
        <v>24</v>
      </c>
      <c r="M2167" s="23"/>
      <c r="N2167" s="23">
        <v>2</v>
      </c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2</v>
      </c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>
        <v>4</v>
      </c>
      <c r="AK2167" s="23"/>
      <c r="AL2167" s="23"/>
      <c r="AM2167" s="23"/>
      <c r="AN2167" s="23"/>
      <c r="AO2167" s="23">
        <v>2</v>
      </c>
      <c r="AP2167" s="23">
        <v>2</v>
      </c>
      <c r="AQ2167" s="23"/>
      <c r="AR2167" s="23"/>
      <c r="AS2167" s="23"/>
      <c r="AT2167" s="23"/>
      <c r="AU2167" s="14" t="str">
        <f>HYPERLINK("http://www.openstreetmap.org/?mlat=32.7133&amp;mlon=44.1953&amp;zoom=12#map=12/32.7133/44.1953","Maplink1")</f>
        <v>Maplink1</v>
      </c>
      <c r="AV2167" s="14" t="str">
        <f>HYPERLINK("https://www.google.iq/maps/search/+32.7133,44.1953/@32.7133,44.1953,14z?hl=en","Maplink2")</f>
        <v>Maplink2</v>
      </c>
      <c r="AW2167" s="14" t="str">
        <f>HYPERLINK("http://www.bing.com/maps/?lvl=14&amp;sty=h&amp;cp=32.7133~44.1953&amp;sp=point.32.7133_44.1953_Al Wand Al Zehafat","Maplink3")</f>
        <v>Maplink3</v>
      </c>
    </row>
    <row r="2168" spans="1:49" ht="15" customHeight="1" x14ac:dyDescent="0.25">
      <c r="A2168" s="21">
        <v>25362</v>
      </c>
      <c r="B2168" s="22" t="s">
        <v>16</v>
      </c>
      <c r="C2168" s="22" t="s">
        <v>16</v>
      </c>
      <c r="D2168" s="22" t="s">
        <v>4077</v>
      </c>
      <c r="E2168" s="22" t="s">
        <v>4078</v>
      </c>
      <c r="F2168" s="22">
        <v>32.625924255699999</v>
      </c>
      <c r="G2168" s="22">
        <v>43.980796784200002</v>
      </c>
      <c r="H2168" s="21" t="s">
        <v>3858</v>
      </c>
      <c r="I2168" s="21" t="s">
        <v>3934</v>
      </c>
      <c r="J2168" s="21"/>
      <c r="K2168" s="24">
        <v>10</v>
      </c>
      <c r="L2168" s="24">
        <v>60</v>
      </c>
      <c r="M2168" s="23">
        <v>2</v>
      </c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>
        <v>7</v>
      </c>
      <c r="Z2168" s="23"/>
      <c r="AA2168" s="23">
        <v>1</v>
      </c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>
        <v>10</v>
      </c>
      <c r="AL2168" s="23"/>
      <c r="AM2168" s="23"/>
      <c r="AN2168" s="23"/>
      <c r="AO2168" s="23">
        <v>2</v>
      </c>
      <c r="AP2168" s="23">
        <v>7</v>
      </c>
      <c r="AQ2168" s="23">
        <v>1</v>
      </c>
      <c r="AR2168" s="23"/>
      <c r="AS2168" s="23"/>
      <c r="AT2168" s="23"/>
      <c r="AU2168" s="14" t="str">
        <f>HYPERLINK("http://www.openstreetmap.org/?mlat=32.6319&amp;mlon=43.9815&amp;zoom=12#map=12/32.6319/43.9815","Maplink1")</f>
        <v>Maplink1</v>
      </c>
      <c r="AV2168" s="14" t="str">
        <f>HYPERLINK("https://www.google.iq/maps/search/+32.6319,43.9815/@32.6319,43.9815,14z?hl=en","Maplink2")</f>
        <v>Maplink2</v>
      </c>
      <c r="AW2168" s="14" t="str">
        <f>HYPERLINK("http://www.bing.com/maps/?lvl=14&amp;sty=h&amp;cp=32.6319~43.9815&amp;sp=point.32.6319_43.9815_Al Yarmook 4","Maplink3")</f>
        <v>Maplink3</v>
      </c>
    </row>
    <row r="2169" spans="1:49" ht="15" customHeight="1" x14ac:dyDescent="0.25">
      <c r="A2169" s="21">
        <v>23707</v>
      </c>
      <c r="B2169" s="22" t="s">
        <v>16</v>
      </c>
      <c r="C2169" s="22" t="s">
        <v>16</v>
      </c>
      <c r="D2169" s="22" t="s">
        <v>8864</v>
      </c>
      <c r="E2169" s="22" t="s">
        <v>8865</v>
      </c>
      <c r="F2169" s="22">
        <v>32.674752948799998</v>
      </c>
      <c r="G2169" s="22">
        <v>44.074553735599999</v>
      </c>
      <c r="H2169" s="21" t="s">
        <v>3858</v>
      </c>
      <c r="I2169" s="21" t="s">
        <v>3934</v>
      </c>
      <c r="J2169" s="21" t="s">
        <v>4079</v>
      </c>
      <c r="K2169" s="24">
        <v>78</v>
      </c>
      <c r="L2169" s="24">
        <v>468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78</v>
      </c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>
        <v>78</v>
      </c>
      <c r="AK2169" s="23"/>
      <c r="AL2169" s="23"/>
      <c r="AM2169" s="23"/>
      <c r="AN2169" s="23"/>
      <c r="AO2169" s="23"/>
      <c r="AP2169" s="23">
        <v>78</v>
      </c>
      <c r="AQ2169" s="23"/>
      <c r="AR2169" s="23"/>
      <c r="AS2169" s="23"/>
      <c r="AT2169" s="23"/>
      <c r="AU2169" s="14" t="str">
        <f>HYPERLINK("http://www.openstreetmap.org/?mlat=32.6847&amp;mlon=44.0795&amp;zoom=12#map=12/32.6847/44.0795","Maplink1")</f>
        <v>Maplink1</v>
      </c>
      <c r="AV2169" s="14" t="str">
        <f>HYPERLINK("https://www.google.iq/maps/search/+32.6847,44.0795/@32.6847,44.0795,14z?hl=en","Maplink2")</f>
        <v>Maplink2</v>
      </c>
      <c r="AW2169" s="14" t="str">
        <f>HYPERLINK("http://www.bing.com/maps/?lvl=14&amp;sty=h&amp;cp=32.6847~44.0795&amp;sp=point.32.6847_44.0795_Al Zareen","Maplink3")</f>
        <v>Maplink3</v>
      </c>
    </row>
    <row r="2170" spans="1:49" ht="15" customHeight="1" x14ac:dyDescent="0.25">
      <c r="A2170" s="21">
        <v>25262</v>
      </c>
      <c r="B2170" s="22" t="s">
        <v>16</v>
      </c>
      <c r="C2170" s="22" t="s">
        <v>16</v>
      </c>
      <c r="D2170" s="22" t="s">
        <v>4080</v>
      </c>
      <c r="E2170" s="22" t="s">
        <v>1529</v>
      </c>
      <c r="F2170" s="22">
        <v>32.593250968500001</v>
      </c>
      <c r="G2170" s="22">
        <v>44.0529403277</v>
      </c>
      <c r="H2170" s="21" t="s">
        <v>3858</v>
      </c>
      <c r="I2170" s="21" t="s">
        <v>3934</v>
      </c>
      <c r="J2170" s="21"/>
      <c r="K2170" s="24">
        <v>15</v>
      </c>
      <c r="L2170" s="24">
        <v>90</v>
      </c>
      <c r="M2170" s="23">
        <v>5</v>
      </c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>
        <v>6</v>
      </c>
      <c r="Z2170" s="23"/>
      <c r="AA2170" s="23">
        <v>4</v>
      </c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>
        <v>15</v>
      </c>
      <c r="AL2170" s="23"/>
      <c r="AM2170" s="23"/>
      <c r="AN2170" s="23"/>
      <c r="AO2170" s="23">
        <v>3</v>
      </c>
      <c r="AP2170" s="23">
        <v>8</v>
      </c>
      <c r="AQ2170" s="23"/>
      <c r="AR2170" s="23"/>
      <c r="AS2170" s="23">
        <v>4</v>
      </c>
      <c r="AT2170" s="23"/>
      <c r="AU2170" s="14" t="str">
        <f>HYPERLINK("http://www.openstreetmap.org/?mlat=32.3612&amp;mlon=44.0331&amp;zoom=12#map=12/32.3612/44.0331","Maplink1")</f>
        <v>Maplink1</v>
      </c>
      <c r="AV2170" s="14" t="str">
        <f>HYPERLINK("https://www.google.iq/maps/search/+32.3612,44.0331/@32.3612,44.0331,14z?hl=en","Maplink2")</f>
        <v>Maplink2</v>
      </c>
      <c r="AW2170" s="14" t="str">
        <f>HYPERLINK("http://www.bing.com/maps/?lvl=14&amp;sty=h&amp;cp=32.3612~44.0331&amp;sp=point.32.3612_44.0331_Al Zohor","Maplink3")</f>
        <v>Maplink3</v>
      </c>
    </row>
    <row r="2171" spans="1:49" ht="15" customHeight="1" x14ac:dyDescent="0.25">
      <c r="A2171" s="21">
        <v>14085</v>
      </c>
      <c r="B2171" s="22" t="s">
        <v>16</v>
      </c>
      <c r="C2171" s="22" t="s">
        <v>16</v>
      </c>
      <c r="D2171" s="22" t="s">
        <v>4081</v>
      </c>
      <c r="E2171" s="22" t="s">
        <v>4082</v>
      </c>
      <c r="F2171" s="22">
        <v>32.608633562900003</v>
      </c>
      <c r="G2171" s="22">
        <v>44.0330361575</v>
      </c>
      <c r="H2171" s="21" t="s">
        <v>3858</v>
      </c>
      <c r="I2171" s="21" t="s">
        <v>3934</v>
      </c>
      <c r="J2171" s="21" t="s">
        <v>4083</v>
      </c>
      <c r="K2171" s="24">
        <v>32</v>
      </c>
      <c r="L2171" s="24">
        <v>192</v>
      </c>
      <c r="M2171" s="23"/>
      <c r="N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>
        <v>32</v>
      </c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>
        <v>32</v>
      </c>
      <c r="AL2171" s="23"/>
      <c r="AM2171" s="23"/>
      <c r="AN2171" s="23"/>
      <c r="AO2171" s="23"/>
      <c r="AP2171" s="23"/>
      <c r="AQ2171" s="23">
        <v>32</v>
      </c>
      <c r="AR2171" s="23"/>
      <c r="AS2171" s="23"/>
      <c r="AT2171" s="23"/>
      <c r="AU2171" s="14" t="str">
        <f>HYPERLINK("http://www.openstreetmap.org/?mlat=32.6056&amp;mlon=44.0289&amp;zoom=12#map=12/32.6056/44.0289","Maplink1")</f>
        <v>Maplink1</v>
      </c>
      <c r="AV2171" s="14" t="str">
        <f>HYPERLINK("https://www.google.iq/maps/search/+32.6056,44.0289/@32.6056,44.0289,14z?hl=en","Maplink2")</f>
        <v>Maplink2</v>
      </c>
      <c r="AW2171" s="14" t="str">
        <f>HYPERLINK("http://www.bing.com/maps/?lvl=14&amp;sty=h&amp;cp=32.6056~44.0289&amp;sp=point.32.6056_44.0289_Al-Abasiah Al-Sharkeiah","Maplink3")</f>
        <v>Maplink3</v>
      </c>
    </row>
    <row r="2172" spans="1:49" ht="15" customHeight="1" x14ac:dyDescent="0.25">
      <c r="A2172" s="21">
        <v>14093</v>
      </c>
      <c r="B2172" s="22" t="s">
        <v>16</v>
      </c>
      <c r="C2172" s="22" t="s">
        <v>16</v>
      </c>
      <c r="D2172" s="22" t="s">
        <v>8866</v>
      </c>
      <c r="E2172" s="22" t="s">
        <v>4219</v>
      </c>
      <c r="F2172" s="22">
        <v>32.607792438899999</v>
      </c>
      <c r="G2172" s="22">
        <v>44.037272455199997</v>
      </c>
      <c r="H2172" s="21" t="s">
        <v>3858</v>
      </c>
      <c r="I2172" s="21" t="s">
        <v>3934</v>
      </c>
      <c r="J2172" s="21" t="s">
        <v>4220</v>
      </c>
      <c r="K2172" s="24">
        <v>30</v>
      </c>
      <c r="L2172" s="24">
        <v>180</v>
      </c>
      <c r="M2172" s="23">
        <v>1</v>
      </c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>
        <v>27</v>
      </c>
      <c r="Z2172" s="23"/>
      <c r="AA2172" s="23">
        <v>2</v>
      </c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>
        <v>30</v>
      </c>
      <c r="AL2172" s="23"/>
      <c r="AM2172" s="23"/>
      <c r="AN2172" s="23"/>
      <c r="AO2172" s="23">
        <v>1</v>
      </c>
      <c r="AP2172" s="23">
        <v>29</v>
      </c>
      <c r="AQ2172" s="23"/>
      <c r="AR2172" s="23"/>
      <c r="AS2172" s="23"/>
      <c r="AT2172" s="23"/>
      <c r="AU2172" s="14" t="str">
        <f>HYPERLINK("http://www.openstreetmap.org/?mlat=32.6083&amp;mlon=44.0247&amp;zoom=12#map=12/32.6083/44.0247","Maplink1")</f>
        <v>Maplink1</v>
      </c>
      <c r="AV2172" s="14" t="str">
        <f>HYPERLINK("https://www.google.iq/maps/search/+32.6083,44.0247/@32.6083,44.0247,14z?hl=en","Maplink2")</f>
        <v>Maplink2</v>
      </c>
      <c r="AW2172" s="14" t="str">
        <f>HYPERLINK("http://www.bing.com/maps/?lvl=14&amp;sty=h&amp;cp=32.6083~44.0247&amp;sp=point.32.6083_44.0247_Hay al-abaseiah al-gharbeiah","Maplink3")</f>
        <v>Maplink3</v>
      </c>
    </row>
    <row r="2173" spans="1:49" ht="15" customHeight="1" x14ac:dyDescent="0.25">
      <c r="A2173" s="21">
        <v>14167</v>
      </c>
      <c r="B2173" s="22" t="s">
        <v>16</v>
      </c>
      <c r="C2173" s="22" t="s">
        <v>16</v>
      </c>
      <c r="D2173" s="22" t="s">
        <v>4084</v>
      </c>
      <c r="E2173" s="22" t="s">
        <v>1080</v>
      </c>
      <c r="F2173" s="22">
        <v>32.660807180200003</v>
      </c>
      <c r="G2173" s="22">
        <v>44.139667041599999</v>
      </c>
      <c r="H2173" s="21" t="s">
        <v>3858</v>
      </c>
      <c r="I2173" s="21" t="s">
        <v>3934</v>
      </c>
      <c r="J2173" s="21" t="s">
        <v>4085</v>
      </c>
      <c r="K2173" s="24">
        <v>4</v>
      </c>
      <c r="L2173" s="24">
        <v>24</v>
      </c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>
        <v>4</v>
      </c>
      <c r="Z2173" s="23"/>
      <c r="AA2173" s="23"/>
      <c r="AB2173" s="23"/>
      <c r="AC2173" s="23"/>
      <c r="AD2173" s="23"/>
      <c r="AE2173" s="23"/>
      <c r="AF2173" s="23">
        <v>4</v>
      </c>
      <c r="AG2173" s="23"/>
      <c r="AH2173" s="23"/>
      <c r="AI2173" s="23"/>
      <c r="AJ2173" s="23"/>
      <c r="AK2173" s="23"/>
      <c r="AL2173" s="23"/>
      <c r="AM2173" s="23"/>
      <c r="AN2173" s="23"/>
      <c r="AO2173" s="23"/>
      <c r="AP2173" s="23">
        <v>4</v>
      </c>
      <c r="AQ2173" s="23"/>
      <c r="AR2173" s="23"/>
      <c r="AS2173" s="23"/>
      <c r="AT2173" s="23"/>
      <c r="AU2173" s="14" t="str">
        <f>HYPERLINK("http://www.openstreetmap.org/?mlat=32.6506&amp;mlon=44.1425&amp;zoom=12#map=12/32.6506/44.1425","Maplink1")</f>
        <v>Maplink1</v>
      </c>
      <c r="AV2173" s="14" t="str">
        <f>HYPERLINK("https://www.google.iq/maps/search/+32.6506,44.1425/@32.6506,44.1425,14z?hl=en","Maplink2")</f>
        <v>Maplink2</v>
      </c>
      <c r="AW2173" s="14" t="str">
        <f>HYPERLINK("http://www.bing.com/maps/?lvl=14&amp;sty=h&amp;cp=32.6506~44.1425&amp;sp=point.32.6506_44.1425_Al-abrahmeiah","Maplink3")</f>
        <v>Maplink3</v>
      </c>
    </row>
    <row r="2174" spans="1:49" ht="15" customHeight="1" x14ac:dyDescent="0.25">
      <c r="A2174" s="21">
        <v>14302</v>
      </c>
      <c r="B2174" s="22" t="s">
        <v>16</v>
      </c>
      <c r="C2174" s="22" t="s">
        <v>16</v>
      </c>
      <c r="D2174" s="22" t="s">
        <v>4086</v>
      </c>
      <c r="E2174" s="22" t="s">
        <v>4087</v>
      </c>
      <c r="F2174" s="22">
        <v>32.622467600699999</v>
      </c>
      <c r="G2174" s="22">
        <v>43.973235553099997</v>
      </c>
      <c r="H2174" s="21" t="s">
        <v>3858</v>
      </c>
      <c r="I2174" s="21" t="s">
        <v>3934</v>
      </c>
      <c r="J2174" s="21" t="s">
        <v>4088</v>
      </c>
      <c r="K2174" s="24">
        <v>10</v>
      </c>
      <c r="L2174" s="24">
        <v>60</v>
      </c>
      <c r="M2174" s="23">
        <v>4</v>
      </c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>
        <v>4</v>
      </c>
      <c r="Z2174" s="23"/>
      <c r="AA2174" s="23">
        <v>2</v>
      </c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>
        <v>10</v>
      </c>
      <c r="AL2174" s="23"/>
      <c r="AM2174" s="23"/>
      <c r="AN2174" s="23"/>
      <c r="AO2174" s="23"/>
      <c r="AP2174" s="23">
        <v>4</v>
      </c>
      <c r="AQ2174" s="23">
        <v>2</v>
      </c>
      <c r="AR2174" s="23"/>
      <c r="AS2174" s="23">
        <v>4</v>
      </c>
      <c r="AT2174" s="23"/>
      <c r="AU2174" s="14" t="str">
        <f>HYPERLINK("http://www.openstreetmap.org/?mlat=32.6233&amp;mlon=43.985&amp;zoom=12#map=12/32.6233/43.985","Maplink1")</f>
        <v>Maplink1</v>
      </c>
      <c r="AV2174" s="14" t="str">
        <f>HYPERLINK("https://www.google.iq/maps/search/+32.6233,43.985/@32.6233,43.985,14z?hl=en","Maplink2")</f>
        <v>Maplink2</v>
      </c>
      <c r="AW2174" s="14" t="str">
        <f>HYPERLINK("http://www.bing.com/maps/?lvl=14&amp;sty=h&amp;cp=32.6233~43.985&amp;sp=point.32.6233_43.985_Al-Askari 13","Maplink3")</f>
        <v>Maplink3</v>
      </c>
    </row>
    <row r="2175" spans="1:49" ht="15" customHeight="1" x14ac:dyDescent="0.25">
      <c r="A2175" s="21">
        <v>14282</v>
      </c>
      <c r="B2175" s="22" t="s">
        <v>16</v>
      </c>
      <c r="C2175" s="22" t="s">
        <v>16</v>
      </c>
      <c r="D2175" s="22" t="s">
        <v>4089</v>
      </c>
      <c r="E2175" s="22" t="s">
        <v>4090</v>
      </c>
      <c r="F2175" s="22">
        <v>32.632118901200002</v>
      </c>
      <c r="G2175" s="22">
        <v>43.965557646000001</v>
      </c>
      <c r="H2175" s="21" t="s">
        <v>3858</v>
      </c>
      <c r="I2175" s="21" t="s">
        <v>3934</v>
      </c>
      <c r="J2175" s="21" t="s">
        <v>4091</v>
      </c>
      <c r="K2175" s="24">
        <v>15</v>
      </c>
      <c r="L2175" s="24">
        <v>90</v>
      </c>
      <c r="M2175" s="23">
        <v>4</v>
      </c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>
        <v>11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>
        <v>15</v>
      </c>
      <c r="AL2175" s="23"/>
      <c r="AM2175" s="23"/>
      <c r="AN2175" s="23"/>
      <c r="AO2175" s="23"/>
      <c r="AP2175" s="23">
        <v>11</v>
      </c>
      <c r="AQ2175" s="23"/>
      <c r="AR2175" s="23"/>
      <c r="AS2175" s="23">
        <v>4</v>
      </c>
      <c r="AT2175" s="23"/>
      <c r="AU2175" s="14" t="str">
        <f>HYPERLINK("http://www.openstreetmap.org/?mlat=32.6233&amp;mlon=43.9747&amp;zoom=12#map=12/32.6233/43.9747","Maplink1")</f>
        <v>Maplink1</v>
      </c>
      <c r="AV2175" s="14" t="str">
        <f>HYPERLINK("https://www.google.iq/maps/search/+32.6233,43.9747/@32.6233,43.9747,14z?hl=en","Maplink2")</f>
        <v>Maplink2</v>
      </c>
      <c r="AW2175" s="14" t="str">
        <f>HYPERLINK("http://www.bing.com/maps/?lvl=14&amp;sty=h&amp;cp=32.6233~43.9747&amp;sp=point.32.6233_43.9747_AL-Askeriy 16","Maplink3")</f>
        <v>Maplink3</v>
      </c>
    </row>
    <row r="2176" spans="1:49" ht="15" customHeight="1" x14ac:dyDescent="0.25">
      <c r="A2176" s="21">
        <v>14287</v>
      </c>
      <c r="B2176" s="22" t="s">
        <v>16</v>
      </c>
      <c r="C2176" s="22" t="s">
        <v>16</v>
      </c>
      <c r="D2176" s="22" t="s">
        <v>4092</v>
      </c>
      <c r="E2176" s="22" t="s">
        <v>4093</v>
      </c>
      <c r="F2176" s="22">
        <v>32.632061527099999</v>
      </c>
      <c r="G2176" s="22">
        <v>44.020764632199999</v>
      </c>
      <c r="H2176" s="21" t="s">
        <v>3858</v>
      </c>
      <c r="I2176" s="21" t="s">
        <v>3934</v>
      </c>
      <c r="J2176" s="21" t="s">
        <v>4094</v>
      </c>
      <c r="K2176" s="24">
        <v>150</v>
      </c>
      <c r="L2176" s="24">
        <v>900</v>
      </c>
      <c r="M2176" s="23">
        <v>6</v>
      </c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144</v>
      </c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>
        <v>128</v>
      </c>
      <c r="AK2176" s="23">
        <v>22</v>
      </c>
      <c r="AL2176" s="23"/>
      <c r="AM2176" s="23"/>
      <c r="AN2176" s="23"/>
      <c r="AO2176" s="23">
        <v>6</v>
      </c>
      <c r="AP2176" s="23">
        <v>16</v>
      </c>
      <c r="AQ2176" s="23">
        <v>128</v>
      </c>
      <c r="AR2176" s="23"/>
      <c r="AS2176" s="23"/>
      <c r="AT2176" s="23"/>
      <c r="AU2176" s="14" t="str">
        <f>HYPERLINK("http://www.openstreetmap.org/?mlat=32.6231&amp;mlon=44.0264&amp;zoom=12#map=12/32.6231/44.0264","Maplink1")</f>
        <v>Maplink1</v>
      </c>
      <c r="AV2176" s="14" t="str">
        <f>HYPERLINK("https://www.google.iq/maps/search/+32.6231,44.0264/@32.6231,44.0264,14z?hl=en","Maplink2")</f>
        <v>Maplink2</v>
      </c>
      <c r="AW2176" s="14" t="str">
        <f>HYPERLINK("http://www.bing.com/maps/?lvl=14&amp;sty=h&amp;cp=32.6231~44.0264&amp;sp=point.32.6231_44.0264_Al-Bobyat-Al Wadde","Maplink3")</f>
        <v>Maplink3</v>
      </c>
    </row>
    <row r="2177" spans="1:49" ht="15" customHeight="1" x14ac:dyDescent="0.25">
      <c r="A2177" s="21">
        <v>13781</v>
      </c>
      <c r="B2177" s="22" t="s">
        <v>16</v>
      </c>
      <c r="C2177" s="22" t="s">
        <v>16</v>
      </c>
      <c r="D2177" s="22" t="s">
        <v>4101</v>
      </c>
      <c r="E2177" s="22" t="s">
        <v>4102</v>
      </c>
      <c r="F2177" s="22">
        <v>32.559125935700003</v>
      </c>
      <c r="G2177" s="22">
        <v>44.0278723184</v>
      </c>
      <c r="H2177" s="21" t="s">
        <v>3858</v>
      </c>
      <c r="I2177" s="21" t="s">
        <v>3934</v>
      </c>
      <c r="J2177" s="21" t="s">
        <v>4103</v>
      </c>
      <c r="K2177" s="24">
        <v>6</v>
      </c>
      <c r="L2177" s="24">
        <v>36</v>
      </c>
      <c r="M2177" s="23"/>
      <c r="N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>
        <v>6</v>
      </c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>
        <v>6</v>
      </c>
      <c r="AL2177" s="23"/>
      <c r="AM2177" s="23"/>
      <c r="AN2177" s="23"/>
      <c r="AO2177" s="23"/>
      <c r="AP2177" s="23">
        <v>6</v>
      </c>
      <c r="AQ2177" s="23"/>
      <c r="AR2177" s="23"/>
      <c r="AS2177" s="23"/>
      <c r="AT2177" s="23"/>
      <c r="AU2177" s="14" t="str">
        <f>HYPERLINK("http://www.openstreetmap.org/?mlat=32.5736&amp;mlon=44.0033&amp;zoom=12#map=12/32.5736/44.0033","Maplink1")</f>
        <v>Maplink1</v>
      </c>
      <c r="AV2177" s="14" t="str">
        <f>HYPERLINK("https://www.google.iq/maps/search/+32.5736,44.0033/@32.5736,44.0033,14z?hl=en","Maplink2")</f>
        <v>Maplink2</v>
      </c>
      <c r="AW2177" s="14" t="str">
        <f>HYPERLINK("http://www.bing.com/maps/?lvl=14&amp;sty=h&amp;cp=32.5736~44.0033&amp;sp=point.32.5736_44.0033_Al-Faris","Maplink3")</f>
        <v>Maplink3</v>
      </c>
    </row>
    <row r="2178" spans="1:49" ht="15" customHeight="1" x14ac:dyDescent="0.25">
      <c r="A2178" s="21">
        <v>25735</v>
      </c>
      <c r="B2178" s="22" t="s">
        <v>16</v>
      </c>
      <c r="C2178" s="22" t="s">
        <v>16</v>
      </c>
      <c r="D2178" s="22" t="s">
        <v>8867</v>
      </c>
      <c r="E2178" s="22" t="s">
        <v>4321</v>
      </c>
      <c r="F2178" s="22">
        <v>32.592230304099999</v>
      </c>
      <c r="G2178" s="22">
        <v>44.049965757899997</v>
      </c>
      <c r="H2178" s="21" t="s">
        <v>3858</v>
      </c>
      <c r="I2178" s="21" t="s">
        <v>3934</v>
      </c>
      <c r="J2178" s="21"/>
      <c r="K2178" s="24">
        <v>66</v>
      </c>
      <c r="L2178" s="24">
        <v>396</v>
      </c>
      <c r="M2178" s="23"/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>
        <v>61</v>
      </c>
      <c r="Z2178" s="23"/>
      <c r="AA2178" s="23">
        <v>5</v>
      </c>
      <c r="AB2178" s="23"/>
      <c r="AC2178" s="23"/>
      <c r="AD2178" s="23"/>
      <c r="AE2178" s="23"/>
      <c r="AF2178" s="23"/>
      <c r="AG2178" s="23"/>
      <c r="AH2178" s="23"/>
      <c r="AI2178" s="23"/>
      <c r="AJ2178" s="23">
        <v>20</v>
      </c>
      <c r="AK2178" s="23">
        <v>46</v>
      </c>
      <c r="AL2178" s="23"/>
      <c r="AM2178" s="23"/>
      <c r="AN2178" s="23"/>
      <c r="AO2178" s="23"/>
      <c r="AP2178" s="23">
        <v>64</v>
      </c>
      <c r="AQ2178" s="23">
        <v>2</v>
      </c>
      <c r="AR2178" s="23"/>
      <c r="AS2178" s="23"/>
      <c r="AT2178" s="23"/>
      <c r="AU2178" s="14" t="str">
        <f>HYPERLINK("http://www.openstreetmap.org/?mlat=32.6071&amp;mlon=44.0441&amp;zoom=12#map=12/32.6071/44.0441","Maplink1")</f>
        <v>Maplink1</v>
      </c>
      <c r="AV2178" s="14" t="str">
        <f>HYPERLINK("https://www.google.iq/maps/search/+32.6071,44.0441/@32.6071,44.0441,14z?hl=en","Maplink2")</f>
        <v>Maplink2</v>
      </c>
      <c r="AW2178" s="14" t="str">
        <f>HYPERLINK("http://www.bing.com/maps/?lvl=14&amp;sty=h&amp;cp=32.6071~44.0441&amp;sp=point.32.6071_44.0441_Markaz kerbala-Al-hadi","Maplink3")</f>
        <v>Maplink3</v>
      </c>
    </row>
    <row r="2179" spans="1:49" ht="15" customHeight="1" x14ac:dyDescent="0.25">
      <c r="A2179" s="21">
        <v>14252</v>
      </c>
      <c r="B2179" s="22" t="s">
        <v>16</v>
      </c>
      <c r="C2179" s="22" t="s">
        <v>16</v>
      </c>
      <c r="D2179" s="22" t="s">
        <v>4104</v>
      </c>
      <c r="E2179" s="22" t="s">
        <v>4105</v>
      </c>
      <c r="F2179" s="22">
        <v>32.678453517100003</v>
      </c>
      <c r="G2179" s="22">
        <v>44.009844269600002</v>
      </c>
      <c r="H2179" s="21" t="s">
        <v>3858</v>
      </c>
      <c r="I2179" s="21" t="s">
        <v>3934</v>
      </c>
      <c r="J2179" s="21" t="s">
        <v>4106</v>
      </c>
      <c r="K2179" s="24">
        <v>4</v>
      </c>
      <c r="L2179" s="24">
        <v>24</v>
      </c>
      <c r="M2179" s="23">
        <v>4</v>
      </c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>
        <v>4</v>
      </c>
      <c r="AL2179" s="23"/>
      <c r="AM2179" s="23"/>
      <c r="AN2179" s="23"/>
      <c r="AO2179" s="23"/>
      <c r="AP2179" s="23"/>
      <c r="AQ2179" s="23">
        <v>4</v>
      </c>
      <c r="AR2179" s="23"/>
      <c r="AS2179" s="23"/>
      <c r="AT2179" s="23"/>
      <c r="AU2179" s="14" t="str">
        <f>HYPERLINK("http://www.openstreetmap.org/?mlat=32.6752&amp;mlon=44.014&amp;zoom=12#map=12/32.6752/44.014","Maplink1")</f>
        <v>Maplink1</v>
      </c>
      <c r="AV2179" s="14" t="str">
        <f>HYPERLINK("https://www.google.iq/maps/search/+32.6752,44.014/@32.6752,44.014,14z?hl=en","Maplink2")</f>
        <v>Maplink2</v>
      </c>
      <c r="AW2179" s="14" t="str">
        <f>HYPERLINK("http://www.bing.com/maps/?lvl=14&amp;sty=h&amp;cp=32.6752~44.014&amp;sp=point.32.6752_44.014_Al-Haswah","Maplink3")</f>
        <v>Maplink3</v>
      </c>
    </row>
    <row r="2180" spans="1:49" ht="15" customHeight="1" x14ac:dyDescent="0.25">
      <c r="A2180" s="21">
        <v>25060</v>
      </c>
      <c r="B2180" s="22" t="s">
        <v>16</v>
      </c>
      <c r="C2180" s="22" t="s">
        <v>16</v>
      </c>
      <c r="D2180" s="22" t="s">
        <v>4108</v>
      </c>
      <c r="E2180" s="22" t="s">
        <v>4109</v>
      </c>
      <c r="F2180" s="22">
        <v>32.643411210700002</v>
      </c>
      <c r="G2180" s="22">
        <v>43.994038933900001</v>
      </c>
      <c r="H2180" s="21" t="s">
        <v>3858</v>
      </c>
      <c r="I2180" s="21" t="s">
        <v>3934</v>
      </c>
      <c r="J2180" s="21"/>
      <c r="K2180" s="24">
        <v>15</v>
      </c>
      <c r="L2180" s="24">
        <v>90</v>
      </c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>
        <v>15</v>
      </c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>
        <v>3</v>
      </c>
      <c r="AK2180" s="23">
        <v>12</v>
      </c>
      <c r="AL2180" s="23"/>
      <c r="AM2180" s="23"/>
      <c r="AN2180" s="23"/>
      <c r="AO2180" s="23"/>
      <c r="AP2180" s="23">
        <v>15</v>
      </c>
      <c r="AQ2180" s="23"/>
      <c r="AR2180" s="23"/>
      <c r="AS2180" s="23"/>
      <c r="AT2180" s="23"/>
      <c r="AU2180" s="14" t="str">
        <f>HYPERLINK("http://www.openstreetmap.org/?mlat=32.6467&amp;mlon=43.9877&amp;zoom=12#map=12/32.6467/43.9877","Maplink1")</f>
        <v>Maplink1</v>
      </c>
      <c r="AV2180" s="14" t="str">
        <f>HYPERLINK("https://www.google.iq/maps/search/+32.6467,43.9877/@32.6467,43.9877,14z?hl=en","Maplink2")</f>
        <v>Maplink2</v>
      </c>
      <c r="AW2180" s="14" t="str">
        <f>HYPERLINK("http://www.bing.com/maps/?lvl=14&amp;sty=h&amp;cp=32.6467~43.9877&amp;sp=point.32.6467_43.9877_Al-hurr-Al Amen 2","Maplink3")</f>
        <v>Maplink3</v>
      </c>
    </row>
    <row r="2181" spans="1:49" ht="15" customHeight="1" x14ac:dyDescent="0.25">
      <c r="A2181" s="21">
        <v>21587</v>
      </c>
      <c r="B2181" s="22" t="s">
        <v>16</v>
      </c>
      <c r="C2181" s="22" t="s">
        <v>16</v>
      </c>
      <c r="D2181" s="22" t="s">
        <v>8868</v>
      </c>
      <c r="E2181" s="22" t="s">
        <v>8869</v>
      </c>
      <c r="F2181" s="22">
        <v>32.680862853299999</v>
      </c>
      <c r="G2181" s="22">
        <v>44.161557639000002</v>
      </c>
      <c r="H2181" s="21" t="s">
        <v>3858</v>
      </c>
      <c r="I2181" s="21" t="s">
        <v>3934</v>
      </c>
      <c r="J2181" s="21" t="s">
        <v>4216</v>
      </c>
      <c r="K2181" s="24">
        <v>97</v>
      </c>
      <c r="L2181" s="24">
        <v>582</v>
      </c>
      <c r="M2181" s="23">
        <v>12</v>
      </c>
      <c r="N2181" s="23">
        <v>55</v>
      </c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30</v>
      </c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>
        <v>97</v>
      </c>
      <c r="AL2181" s="23"/>
      <c r="AM2181" s="23"/>
      <c r="AN2181" s="23"/>
      <c r="AO2181" s="23"/>
      <c r="AP2181" s="23">
        <v>97</v>
      </c>
      <c r="AQ2181" s="23"/>
      <c r="AR2181" s="23"/>
      <c r="AS2181" s="23"/>
      <c r="AT2181" s="23"/>
      <c r="AU2181" s="14" t="str">
        <f>HYPERLINK("http://www.openstreetmap.org/?mlat=32.5034&amp;mlon=43.8872&amp;zoom=12#map=12/32.5034/43.8872","Maplink1")</f>
        <v>Maplink1</v>
      </c>
      <c r="AV2181" s="14" t="str">
        <f>HYPERLINK("https://www.google.iq/maps/search/+32.5034,43.8872/@32.5034,43.8872,14z?hl=en","Maplink2")</f>
        <v>Maplink2</v>
      </c>
      <c r="AW2181" s="14" t="str">
        <f>HYPERLINK("http://www.bing.com/maps/?lvl=14&amp;sty=h&amp;cp=32.5034~43.8872&amp;sp=point.32.5034_43.8872_Hay Al Rasool-105","Maplink3")</f>
        <v>Maplink3</v>
      </c>
    </row>
    <row r="2182" spans="1:49" ht="15" customHeight="1" x14ac:dyDescent="0.25">
      <c r="A2182" s="21">
        <v>21682</v>
      </c>
      <c r="B2182" s="22" t="s">
        <v>16</v>
      </c>
      <c r="C2182" s="22" t="s">
        <v>16</v>
      </c>
      <c r="D2182" s="22" t="s">
        <v>8870</v>
      </c>
      <c r="E2182" s="22" t="s">
        <v>8871</v>
      </c>
      <c r="F2182" s="22">
        <v>32.687118393399999</v>
      </c>
      <c r="G2182" s="22">
        <v>44.165904074899998</v>
      </c>
      <c r="H2182" s="21" t="s">
        <v>3858</v>
      </c>
      <c r="I2182" s="21" t="s">
        <v>3934</v>
      </c>
      <c r="J2182" s="21" t="s">
        <v>4218</v>
      </c>
      <c r="K2182" s="24">
        <v>72</v>
      </c>
      <c r="L2182" s="24">
        <v>432</v>
      </c>
      <c r="M2182" s="23">
        <v>6</v>
      </c>
      <c r="N2182" s="23">
        <v>55</v>
      </c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11</v>
      </c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>
        <v>72</v>
      </c>
      <c r="AL2182" s="23"/>
      <c r="AM2182" s="23"/>
      <c r="AN2182" s="23"/>
      <c r="AO2182" s="23">
        <v>53</v>
      </c>
      <c r="AP2182" s="23">
        <v>11</v>
      </c>
      <c r="AQ2182" s="23"/>
      <c r="AR2182" s="23"/>
      <c r="AS2182" s="23">
        <v>8</v>
      </c>
      <c r="AT2182" s="23"/>
      <c r="AU2182" s="14" t="str">
        <f>HYPERLINK("http://www.openstreetmap.org/?mlat=32.6854&amp;mlon=44.1673&amp;zoom=12#map=12/32.6854/44.1673","Maplink1")</f>
        <v>Maplink1</v>
      </c>
      <c r="AV2182" s="14" t="str">
        <f>HYPERLINK("https://www.google.iq/maps/search/+32.6854,44.1673/@32.6854,44.1673,14z?hl=en","Maplink2")</f>
        <v>Maplink2</v>
      </c>
      <c r="AW2182" s="14" t="str">
        <f>HYPERLINK("http://www.bing.com/maps/?lvl=14&amp;sty=h&amp;cp=32.6854~44.1673&amp;sp=point.32.6854_44.1673_Hay Al Zahraa-113","Maplink3")</f>
        <v>Maplink3</v>
      </c>
    </row>
    <row r="2183" spans="1:49" ht="15" customHeight="1" x14ac:dyDescent="0.25">
      <c r="A2183" s="21">
        <v>24140</v>
      </c>
      <c r="B2183" s="22" t="s">
        <v>16</v>
      </c>
      <c r="C2183" s="22" t="s">
        <v>16</v>
      </c>
      <c r="D2183" s="22" t="s">
        <v>8872</v>
      </c>
      <c r="E2183" s="22" t="s">
        <v>8873</v>
      </c>
      <c r="F2183" s="22">
        <v>32.683706414</v>
      </c>
      <c r="G2183" s="22">
        <v>44.171369243400001</v>
      </c>
      <c r="H2183" s="21" t="s">
        <v>3858</v>
      </c>
      <c r="I2183" s="21" t="s">
        <v>3934</v>
      </c>
      <c r="J2183" s="21" t="s">
        <v>4115</v>
      </c>
      <c r="K2183" s="24">
        <v>29</v>
      </c>
      <c r="L2183" s="24">
        <v>174</v>
      </c>
      <c r="M2183" s="23">
        <v>5</v>
      </c>
      <c r="N2183" s="23">
        <v>17</v>
      </c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5</v>
      </c>
      <c r="Z2183" s="23"/>
      <c r="AA2183" s="23">
        <v>2</v>
      </c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>
        <v>29</v>
      </c>
      <c r="AL2183" s="23"/>
      <c r="AM2183" s="23"/>
      <c r="AN2183" s="23"/>
      <c r="AO2183" s="23">
        <v>14</v>
      </c>
      <c r="AP2183" s="23">
        <v>5</v>
      </c>
      <c r="AQ2183" s="23">
        <v>2</v>
      </c>
      <c r="AR2183" s="23">
        <v>8</v>
      </c>
      <c r="AS2183" s="23"/>
      <c r="AT2183" s="23"/>
      <c r="AU2183" s="14" t="str">
        <f>HYPERLINK("http://www.openstreetmap.org/?mlat=32.6844&amp;mlon=44.1712&amp;zoom=12#map=12/32.6844/44.1712","Maplink1")</f>
        <v>Maplink1</v>
      </c>
      <c r="AV2183" s="14" t="str">
        <f>HYPERLINK("https://www.google.iq/maps/search/+32.6844,44.1712/@32.6844,44.1712,14z?hl=en","Maplink2")</f>
        <v>Maplink2</v>
      </c>
      <c r="AW2183" s="14" t="str">
        <f>HYPERLINK("http://www.bing.com/maps/?lvl=14&amp;sty=h&amp;cp=32.6844~44.1712&amp;sp=point.32.6844_44.1712_Al-hussainyh-hay al-hussain","Maplink3")</f>
        <v>Maplink3</v>
      </c>
    </row>
    <row r="2184" spans="1:49" ht="15" customHeight="1" x14ac:dyDescent="0.25">
      <c r="A2184" s="21">
        <v>14120</v>
      </c>
      <c r="B2184" s="22" t="s">
        <v>16</v>
      </c>
      <c r="C2184" s="22" t="s">
        <v>16</v>
      </c>
      <c r="D2184" s="22" t="s">
        <v>4113</v>
      </c>
      <c r="E2184" s="22" t="s">
        <v>8874</v>
      </c>
      <c r="F2184" s="22">
        <v>32.681997176300001</v>
      </c>
      <c r="G2184" s="22">
        <v>44.169291034300002</v>
      </c>
      <c r="H2184" s="21" t="s">
        <v>3858</v>
      </c>
      <c r="I2184" s="21" t="s">
        <v>3934</v>
      </c>
      <c r="J2184" s="21" t="s">
        <v>4114</v>
      </c>
      <c r="K2184" s="24">
        <v>14</v>
      </c>
      <c r="L2184" s="24">
        <v>84</v>
      </c>
      <c r="M2184" s="23">
        <v>3</v>
      </c>
      <c r="N2184" s="23">
        <v>11</v>
      </c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>
        <v>14</v>
      </c>
      <c r="AL2184" s="23"/>
      <c r="AM2184" s="23"/>
      <c r="AN2184" s="23"/>
      <c r="AO2184" s="23">
        <v>12</v>
      </c>
      <c r="AP2184" s="23"/>
      <c r="AQ2184" s="23"/>
      <c r="AR2184" s="23">
        <v>2</v>
      </c>
      <c r="AS2184" s="23"/>
      <c r="AT2184" s="23"/>
      <c r="AU2184" s="14" t="str">
        <f>HYPERLINK("http://www.openstreetmap.org/?mlat=32.6805&amp;mlon=44.1714&amp;zoom=12#map=12/32.6805/44.1714","Maplink1")</f>
        <v>Maplink1</v>
      </c>
      <c r="AV2184" s="14" t="str">
        <f>HYPERLINK("https://www.google.iq/maps/search/+32.6805,44.1714/@32.6805,44.1714,14z?hl=en","Maplink2")</f>
        <v>Maplink2</v>
      </c>
      <c r="AW2184" s="14" t="str">
        <f>HYPERLINK("http://www.bing.com/maps/?lvl=14&amp;sty=h&amp;cp=32.6805~44.1714&amp;sp=point.32.6805_44.1714_Al-hussainyh-Hay Al-Abas","Maplink3")</f>
        <v>Maplink3</v>
      </c>
    </row>
    <row r="2185" spans="1:49" ht="15" customHeight="1" x14ac:dyDescent="0.25">
      <c r="A2185" s="21">
        <v>25479</v>
      </c>
      <c r="B2185" s="22" t="s">
        <v>16</v>
      </c>
      <c r="C2185" s="22" t="s">
        <v>16</v>
      </c>
      <c r="D2185" s="22" t="s">
        <v>4119</v>
      </c>
      <c r="E2185" s="22" t="s">
        <v>4120</v>
      </c>
      <c r="F2185" s="22">
        <v>32.670087330000001</v>
      </c>
      <c r="G2185" s="22">
        <v>44.1368060466</v>
      </c>
      <c r="H2185" s="21" t="s">
        <v>3858</v>
      </c>
      <c r="I2185" s="21" t="s">
        <v>3934</v>
      </c>
      <c r="J2185" s="21"/>
      <c r="K2185" s="24">
        <v>10</v>
      </c>
      <c r="L2185" s="24">
        <v>60</v>
      </c>
      <c r="M2185" s="23"/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>
        <v>10</v>
      </c>
      <c r="Z2185" s="23"/>
      <c r="AA2185" s="23"/>
      <c r="AB2185" s="23"/>
      <c r="AC2185" s="23"/>
      <c r="AD2185" s="23"/>
      <c r="AE2185" s="23"/>
      <c r="AF2185" s="23">
        <v>5</v>
      </c>
      <c r="AG2185" s="23"/>
      <c r="AH2185" s="23"/>
      <c r="AI2185" s="23"/>
      <c r="AJ2185" s="23"/>
      <c r="AK2185" s="23">
        <v>5</v>
      </c>
      <c r="AL2185" s="23"/>
      <c r="AM2185" s="23"/>
      <c r="AN2185" s="23"/>
      <c r="AO2185" s="23"/>
      <c r="AP2185" s="23">
        <v>10</v>
      </c>
      <c r="AQ2185" s="23"/>
      <c r="AR2185" s="23"/>
      <c r="AS2185" s="23"/>
      <c r="AT2185" s="23"/>
      <c r="AU2185" s="14" t="str">
        <f>HYPERLINK("http://www.openstreetmap.org/?mlat=32.6975&amp;mlon=44.1426&amp;zoom=12#map=12/32.6975/44.1426","Maplink1")</f>
        <v>Maplink1</v>
      </c>
      <c r="AV2185" s="14" t="str">
        <f>HYPERLINK("https://www.google.iq/maps/search/+32.6975,44.1426/@32.6975,44.1426,14z?hl=en","Maplink2")</f>
        <v>Maplink2</v>
      </c>
      <c r="AW2185" s="14" t="str">
        <f>HYPERLINK("http://www.bing.com/maps/?lvl=14&amp;sty=h&amp;cp=32.6975~44.1426&amp;sp=point.32.6975_44.1426_Al-kakaeiah Al-karbea","Maplink3")</f>
        <v>Maplink3</v>
      </c>
    </row>
    <row r="2186" spans="1:49" ht="15" customHeight="1" x14ac:dyDescent="0.25">
      <c r="A2186" s="21">
        <v>14191</v>
      </c>
      <c r="B2186" s="22" t="s">
        <v>16</v>
      </c>
      <c r="C2186" s="22" t="s">
        <v>16</v>
      </c>
      <c r="D2186" s="22" t="s">
        <v>4121</v>
      </c>
      <c r="E2186" s="22" t="s">
        <v>4122</v>
      </c>
      <c r="F2186" s="22">
        <v>32.696501305300004</v>
      </c>
      <c r="G2186" s="22">
        <v>44.1400296427</v>
      </c>
      <c r="H2186" s="21" t="s">
        <v>3858</v>
      </c>
      <c r="I2186" s="21" t="s">
        <v>3934</v>
      </c>
      <c r="J2186" s="21" t="s">
        <v>4123</v>
      </c>
      <c r="K2186" s="24">
        <v>146</v>
      </c>
      <c r="L2186" s="24">
        <v>876</v>
      </c>
      <c r="M2186" s="23"/>
      <c r="N2186" s="23">
        <v>11</v>
      </c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135</v>
      </c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>
        <v>135</v>
      </c>
      <c r="AK2186" s="23">
        <v>11</v>
      </c>
      <c r="AL2186" s="23"/>
      <c r="AM2186" s="23"/>
      <c r="AN2186" s="23"/>
      <c r="AO2186" s="23">
        <v>11</v>
      </c>
      <c r="AP2186" s="23">
        <v>135</v>
      </c>
      <c r="AQ2186" s="23"/>
      <c r="AR2186" s="23"/>
      <c r="AS2186" s="23"/>
      <c r="AT2186" s="23"/>
      <c r="AU2186" s="14" t="str">
        <f>HYPERLINK("http://www.openstreetmap.org/?mlat=32.6825&amp;mlon=44.1071&amp;zoom=12#map=12/32.6825/44.1071","Maplink1")</f>
        <v>Maplink1</v>
      </c>
      <c r="AV2186" s="14" t="str">
        <f>HYPERLINK("https://www.google.iq/maps/search/+32.6825,44.1071/@32.6825,44.1071,14z?hl=en","Maplink2")</f>
        <v>Maplink2</v>
      </c>
      <c r="AW2186" s="14" t="str">
        <f>HYPERLINK("http://www.bing.com/maps/?lvl=14&amp;sty=h&amp;cp=32.6825~44.1071&amp;sp=point.32.6825_44.1071_Al-kakaeiah Al-Sharkeiah","Maplink3")</f>
        <v>Maplink3</v>
      </c>
    </row>
    <row r="2187" spans="1:49" ht="15" customHeight="1" x14ac:dyDescent="0.25">
      <c r="A2187" s="21">
        <v>14050</v>
      </c>
      <c r="B2187" s="22" t="s">
        <v>16</v>
      </c>
      <c r="C2187" s="22" t="s">
        <v>16</v>
      </c>
      <c r="D2187" s="22" t="s">
        <v>4126</v>
      </c>
      <c r="E2187" s="22" t="s">
        <v>4127</v>
      </c>
      <c r="F2187" s="22">
        <v>32.575406064299997</v>
      </c>
      <c r="G2187" s="22">
        <v>44.021672057000004</v>
      </c>
      <c r="H2187" s="21" t="s">
        <v>3858</v>
      </c>
      <c r="I2187" s="21" t="s">
        <v>3934</v>
      </c>
      <c r="J2187" s="21" t="s">
        <v>4128</v>
      </c>
      <c r="K2187" s="24">
        <v>5</v>
      </c>
      <c r="L2187" s="24">
        <v>30</v>
      </c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>
        <v>4</v>
      </c>
      <c r="Z2187" s="23"/>
      <c r="AA2187" s="23">
        <v>1</v>
      </c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>
        <v>5</v>
      </c>
      <c r="AL2187" s="23"/>
      <c r="AM2187" s="23"/>
      <c r="AN2187" s="23"/>
      <c r="AO2187" s="23"/>
      <c r="AP2187" s="23">
        <v>5</v>
      </c>
      <c r="AQ2187" s="23"/>
      <c r="AR2187" s="23"/>
      <c r="AS2187" s="23"/>
      <c r="AT2187" s="23"/>
      <c r="AU2187" s="14" t="str">
        <f>HYPERLINK("http://www.openstreetmap.org/?mlat=32.5875&amp;mlon=44.0242&amp;zoom=12#map=12/32.5875/44.0242","Maplink1")</f>
        <v>Maplink1</v>
      </c>
      <c r="AV2187" s="14" t="str">
        <f>HYPERLINK("https://www.google.iq/maps/search/+32.5875,44.0242/@32.5875,44.0242,14z?hl=en","Maplink2")</f>
        <v>Maplink2</v>
      </c>
      <c r="AW2187" s="14" t="str">
        <f>HYPERLINK("http://www.bing.com/maps/?lvl=14&amp;sty=h&amp;cp=32.5875~44.0242&amp;sp=point.32.5875_44.0242_Al-muhandesein","Maplink3")</f>
        <v>Maplink3</v>
      </c>
    </row>
    <row r="2188" spans="1:49" ht="15" customHeight="1" x14ac:dyDescent="0.25">
      <c r="A2188" s="21">
        <v>14319</v>
      </c>
      <c r="B2188" s="22" t="s">
        <v>16</v>
      </c>
      <c r="C2188" s="22" t="s">
        <v>16</v>
      </c>
      <c r="D2188" s="22" t="s">
        <v>8875</v>
      </c>
      <c r="E2188" s="22" t="s">
        <v>1261</v>
      </c>
      <c r="F2188" s="22">
        <v>32.585616731099996</v>
      </c>
      <c r="G2188" s="22">
        <v>44.034756207800001</v>
      </c>
      <c r="H2188" s="21" t="s">
        <v>3858</v>
      </c>
      <c r="I2188" s="21" t="s">
        <v>3934</v>
      </c>
      <c r="J2188" s="21" t="s">
        <v>4292</v>
      </c>
      <c r="K2188" s="24">
        <v>4</v>
      </c>
      <c r="L2188" s="24">
        <v>24</v>
      </c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>
        <v>4</v>
      </c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>
        <v>4</v>
      </c>
      <c r="AL2188" s="23"/>
      <c r="AM2188" s="23"/>
      <c r="AN2188" s="23"/>
      <c r="AO2188" s="23"/>
      <c r="AP2188" s="23">
        <v>4</v>
      </c>
      <c r="AQ2188" s="23"/>
      <c r="AR2188" s="23"/>
      <c r="AS2188" s="23"/>
      <c r="AT2188" s="23"/>
      <c r="AU2188" s="14" t="str">
        <f>HYPERLINK("http://www.openstreetmap.org/?mlat=32.5892&amp;mlon=44.0285&amp;zoom=12#map=12/32.5892/44.0285","Maplink1")</f>
        <v>Maplink1</v>
      </c>
      <c r="AV2188" s="14" t="str">
        <f>HYPERLINK("https://www.google.iq/maps/search/+32.5892,44.0285/@32.5892,44.0285,14z?hl=en","Maplink2")</f>
        <v>Maplink2</v>
      </c>
      <c r="AW2188" s="14" t="str">
        <f>HYPERLINK("http://www.bing.com/maps/?lvl=14&amp;sty=h&amp;cp=32.5892~44.0285&amp;sp=point.32.5892_44.0285_Kerbala-Al-Mulhak","Maplink3")</f>
        <v>Maplink3</v>
      </c>
    </row>
    <row r="2189" spans="1:49" ht="15" customHeight="1" x14ac:dyDescent="0.25">
      <c r="A2189" s="21">
        <v>14286</v>
      </c>
      <c r="B2189" s="22" t="s">
        <v>16</v>
      </c>
      <c r="C2189" s="22" t="s">
        <v>16</v>
      </c>
      <c r="D2189" s="22" t="s">
        <v>4129</v>
      </c>
      <c r="E2189" s="22" t="s">
        <v>4130</v>
      </c>
      <c r="F2189" s="22">
        <v>32.611843328900001</v>
      </c>
      <c r="G2189" s="22">
        <v>43.976541543400003</v>
      </c>
      <c r="H2189" s="21" t="s">
        <v>3858</v>
      </c>
      <c r="I2189" s="21" t="s">
        <v>3934</v>
      </c>
      <c r="J2189" s="21" t="s">
        <v>4131</v>
      </c>
      <c r="K2189" s="24">
        <v>17</v>
      </c>
      <c r="L2189" s="24">
        <v>102</v>
      </c>
      <c r="M2189" s="23"/>
      <c r="N2189" s="23"/>
      <c r="O2189" s="23"/>
      <c r="P2189" s="23"/>
      <c r="Q2189" s="23"/>
      <c r="R2189" s="23">
        <v>2</v>
      </c>
      <c r="S2189" s="23"/>
      <c r="T2189" s="23"/>
      <c r="U2189" s="23"/>
      <c r="V2189" s="23"/>
      <c r="W2189" s="23"/>
      <c r="X2189" s="23"/>
      <c r="Y2189" s="23">
        <v>15</v>
      </c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>
        <v>17</v>
      </c>
      <c r="AL2189" s="23"/>
      <c r="AM2189" s="23"/>
      <c r="AN2189" s="23"/>
      <c r="AO2189" s="23"/>
      <c r="AP2189" s="23">
        <v>17</v>
      </c>
      <c r="AQ2189" s="23"/>
      <c r="AR2189" s="23"/>
      <c r="AS2189" s="23"/>
      <c r="AT2189" s="23"/>
      <c r="AU2189" s="14" t="str">
        <f>HYPERLINK("http://www.openstreetmap.org/?mlat=32.6019&amp;mlon=43.9815&amp;zoom=12#map=12/32.6019/43.9815","Maplink1")</f>
        <v>Maplink1</v>
      </c>
      <c r="AV2189" s="14" t="str">
        <f>HYPERLINK("https://www.google.iq/maps/search/+32.6019,43.9815/@32.6019,43.9815,14z?hl=en","Maplink2")</f>
        <v>Maplink2</v>
      </c>
      <c r="AW2189" s="14" t="str">
        <f>HYPERLINK("http://www.bing.com/maps/?lvl=14&amp;sty=h&amp;cp=32.6019~43.9815&amp;sp=point.32.6019_43.9815_Al-Rafedeen","Maplink3")</f>
        <v>Maplink3</v>
      </c>
    </row>
    <row r="2190" spans="1:49" ht="15" customHeight="1" x14ac:dyDescent="0.25">
      <c r="A2190" s="21">
        <v>24285</v>
      </c>
      <c r="B2190" s="22" t="s">
        <v>16</v>
      </c>
      <c r="C2190" s="22" t="s">
        <v>16</v>
      </c>
      <c r="D2190" s="22" t="s">
        <v>4132</v>
      </c>
      <c r="E2190" s="22" t="s">
        <v>4133</v>
      </c>
      <c r="F2190" s="22">
        <v>32.656378685500002</v>
      </c>
      <c r="G2190" s="22">
        <v>44.040852030700002</v>
      </c>
      <c r="H2190" s="21" t="s">
        <v>3858</v>
      </c>
      <c r="I2190" s="21" t="s">
        <v>3934</v>
      </c>
      <c r="J2190" s="21" t="s">
        <v>4134</v>
      </c>
      <c r="K2190" s="24">
        <v>500</v>
      </c>
      <c r="L2190" s="24">
        <v>3000</v>
      </c>
      <c r="M2190" s="23"/>
      <c r="N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>
        <v>500</v>
      </c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>
        <v>500</v>
      </c>
      <c r="AL2190" s="23"/>
      <c r="AM2190" s="23"/>
      <c r="AN2190" s="23"/>
      <c r="AO2190" s="23"/>
      <c r="AP2190" s="23">
        <v>500</v>
      </c>
      <c r="AQ2190" s="23"/>
      <c r="AR2190" s="23"/>
      <c r="AS2190" s="23"/>
      <c r="AT2190" s="23"/>
      <c r="AU2190" s="14" t="str">
        <f>HYPERLINK("http://www.openstreetmap.org/?mlat=32.6717&amp;mlon=43.9975&amp;zoom=12#map=12/32.6717/43.9975","Maplink1")</f>
        <v>Maplink1</v>
      </c>
      <c r="AV2190" s="14" t="str">
        <f>HYPERLINK("https://www.google.iq/maps/search/+32.6717,43.9975/@32.6717,43.9975,14z?hl=en","Maplink2")</f>
        <v>Maplink2</v>
      </c>
      <c r="AW2190" s="14" t="str">
        <f>HYPERLINK("http://www.bing.com/maps/?lvl=14&amp;sty=h&amp;cp=32.6717~43.9975&amp;sp=point.32.6717_43.9975_Al-Safiya 2","Maplink3")</f>
        <v>Maplink3</v>
      </c>
    </row>
    <row r="2191" spans="1:49" ht="15" customHeight="1" x14ac:dyDescent="0.25">
      <c r="A2191" s="21">
        <v>14212</v>
      </c>
      <c r="B2191" s="22" t="s">
        <v>16</v>
      </c>
      <c r="C2191" s="22" t="s">
        <v>16</v>
      </c>
      <c r="D2191" s="22" t="s">
        <v>4135</v>
      </c>
      <c r="E2191" s="22" t="s">
        <v>4136</v>
      </c>
      <c r="F2191" s="22">
        <v>32.691496051800002</v>
      </c>
      <c r="G2191" s="22">
        <v>43.929053787100003</v>
      </c>
      <c r="H2191" s="21" t="s">
        <v>3858</v>
      </c>
      <c r="I2191" s="21" t="s">
        <v>3934</v>
      </c>
      <c r="J2191" s="21" t="s">
        <v>4137</v>
      </c>
      <c r="K2191" s="24">
        <v>2</v>
      </c>
      <c r="L2191" s="24">
        <v>12</v>
      </c>
      <c r="M2191" s="23">
        <v>2</v>
      </c>
      <c r="N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>
        <v>2</v>
      </c>
      <c r="AL2191" s="23"/>
      <c r="AM2191" s="23"/>
      <c r="AN2191" s="23"/>
      <c r="AO2191" s="23"/>
      <c r="AP2191" s="23"/>
      <c r="AQ2191" s="23">
        <v>2</v>
      </c>
      <c r="AR2191" s="23"/>
      <c r="AS2191" s="23"/>
      <c r="AT2191" s="23"/>
      <c r="AU2191" s="14" t="str">
        <f>HYPERLINK("http://www.openstreetmap.org/?mlat=32.6594&amp;mlon=43.9326&amp;zoom=12#map=12/32.6594/43.9326","Maplink1")</f>
        <v>Maplink1</v>
      </c>
      <c r="AV2191" s="14" t="str">
        <f>HYPERLINK("https://www.google.iq/maps/search/+32.6594,43.9326/@32.6594,43.9326,14z?hl=en","Maplink2")</f>
        <v>Maplink2</v>
      </c>
      <c r="AW2191" s="14" t="str">
        <f>HYPERLINK("http://www.bing.com/maps/?lvl=14&amp;sty=h&amp;cp=32.6594~43.9326&amp;sp=point.32.6594_43.9326_Al-Shareiah","Maplink3")</f>
        <v>Maplink3</v>
      </c>
    </row>
    <row r="2192" spans="1:49" ht="15" customHeight="1" x14ac:dyDescent="0.25">
      <c r="A2192" s="21">
        <v>14072</v>
      </c>
      <c r="B2192" s="22" t="s">
        <v>16</v>
      </c>
      <c r="C2192" s="22" t="s">
        <v>16</v>
      </c>
      <c r="D2192" s="22" t="s">
        <v>4138</v>
      </c>
      <c r="E2192" s="22" t="s">
        <v>4139</v>
      </c>
      <c r="F2192" s="22">
        <v>32.588391224900001</v>
      </c>
      <c r="G2192" s="22">
        <v>44.063026606999998</v>
      </c>
      <c r="H2192" s="21" t="s">
        <v>3858</v>
      </c>
      <c r="I2192" s="21" t="s">
        <v>3934</v>
      </c>
      <c r="J2192" s="21" t="s">
        <v>4140</v>
      </c>
      <c r="K2192" s="24">
        <v>4</v>
      </c>
      <c r="L2192" s="24">
        <v>24</v>
      </c>
      <c r="M2192" s="23"/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>
        <v>4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>
        <v>4</v>
      </c>
      <c r="AL2192" s="23"/>
      <c r="AM2192" s="23"/>
      <c r="AN2192" s="23"/>
      <c r="AO2192" s="23"/>
      <c r="AP2192" s="23">
        <v>4</v>
      </c>
      <c r="AQ2192" s="23"/>
      <c r="AR2192" s="23"/>
      <c r="AS2192" s="23"/>
      <c r="AT2192" s="23"/>
      <c r="AU2192" s="14" t="str">
        <f>HYPERLINK("http://www.openstreetmap.org/?mlat=32.5981&amp;mlon=44.0561&amp;zoom=12#map=12/32.5981/44.0561","Maplink1")</f>
        <v>Maplink1</v>
      </c>
      <c r="AV2192" s="14" t="str">
        <f>HYPERLINK("https://www.google.iq/maps/search/+32.5981,44.0561/@32.5981,44.0561,14z?hl=en","Maplink2")</f>
        <v>Maplink2</v>
      </c>
      <c r="AW2192" s="14" t="str">
        <f>HYPERLINK("http://www.bing.com/maps/?lvl=14&amp;sty=h&amp;cp=32.5981~44.0561&amp;sp=point.32.5981_44.0561_Al-Shebanat","Maplink3")</f>
        <v>Maplink3</v>
      </c>
    </row>
    <row r="2193" spans="1:49" ht="15" customHeight="1" x14ac:dyDescent="0.25">
      <c r="A2193" s="21">
        <v>21683</v>
      </c>
      <c r="B2193" s="22" t="s">
        <v>16</v>
      </c>
      <c r="C2193" s="22" t="s">
        <v>16</v>
      </c>
      <c r="D2193" s="22" t="s">
        <v>4141</v>
      </c>
      <c r="E2193" s="22" t="s">
        <v>4142</v>
      </c>
      <c r="F2193" s="22">
        <v>32.590658571600002</v>
      </c>
      <c r="G2193" s="22">
        <v>44.0724193677</v>
      </c>
      <c r="H2193" s="21" t="s">
        <v>3858</v>
      </c>
      <c r="I2193" s="21" t="s">
        <v>3934</v>
      </c>
      <c r="J2193" s="21" t="s">
        <v>4143</v>
      </c>
      <c r="K2193" s="24">
        <v>10</v>
      </c>
      <c r="L2193" s="24">
        <v>60</v>
      </c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10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>
        <v>1</v>
      </c>
      <c r="AK2193" s="23">
        <v>9</v>
      </c>
      <c r="AL2193" s="23"/>
      <c r="AM2193" s="23"/>
      <c r="AN2193" s="23"/>
      <c r="AO2193" s="23"/>
      <c r="AP2193" s="23">
        <v>10</v>
      </c>
      <c r="AQ2193" s="23"/>
      <c r="AR2193" s="23"/>
      <c r="AS2193" s="23"/>
      <c r="AT2193" s="23"/>
      <c r="AU2193" s="14" t="str">
        <f>HYPERLINK("http://www.openstreetmap.org/?mlat=32.5905&amp;mlon=44.0523&amp;zoom=12#map=12/32.5905/44.0523","Maplink1")</f>
        <v>Maplink1</v>
      </c>
      <c r="AV2193" s="14" t="str">
        <f>HYPERLINK("https://www.google.iq/maps/search/+32.5905,44.0523/@32.5905,44.0523,14z?hl=en","Maplink2")</f>
        <v>Maplink2</v>
      </c>
      <c r="AW2193" s="14" t="str">
        <f>HYPERLINK("http://www.bing.com/maps/?lvl=14&amp;sty=h&amp;cp=32.5905~44.0523&amp;sp=point.32.5905_44.0523_Al-Shebanat 2","Maplink3")</f>
        <v>Maplink3</v>
      </c>
    </row>
    <row r="2194" spans="1:49" ht="15" customHeight="1" x14ac:dyDescent="0.25">
      <c r="A2194" s="21">
        <v>14186</v>
      </c>
      <c r="B2194" s="22" t="s">
        <v>16</v>
      </c>
      <c r="C2194" s="22" t="s">
        <v>16</v>
      </c>
      <c r="D2194" s="22" t="s">
        <v>4144</v>
      </c>
      <c r="E2194" s="22" t="s">
        <v>8876</v>
      </c>
      <c r="F2194" s="22">
        <v>32.693876260899998</v>
      </c>
      <c r="G2194" s="22">
        <v>44.010366629799996</v>
      </c>
      <c r="H2194" s="21" t="s">
        <v>3858</v>
      </c>
      <c r="I2194" s="21" t="s">
        <v>3934</v>
      </c>
      <c r="J2194" s="21" t="s">
        <v>4145</v>
      </c>
      <c r="K2194" s="24">
        <v>16</v>
      </c>
      <c r="L2194" s="24">
        <v>96</v>
      </c>
      <c r="M2194" s="23">
        <v>16</v>
      </c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>
        <v>2</v>
      </c>
      <c r="AG2194" s="23"/>
      <c r="AH2194" s="23"/>
      <c r="AI2194" s="23"/>
      <c r="AJ2194" s="23"/>
      <c r="AK2194" s="23">
        <v>14</v>
      </c>
      <c r="AL2194" s="23"/>
      <c r="AM2194" s="23"/>
      <c r="AN2194" s="23"/>
      <c r="AO2194" s="23">
        <v>16</v>
      </c>
      <c r="AP2194" s="23"/>
      <c r="AQ2194" s="23"/>
      <c r="AR2194" s="23"/>
      <c r="AS2194" s="23"/>
      <c r="AT2194" s="23"/>
      <c r="AU2194" s="14" t="str">
        <f>HYPERLINK("http://www.openstreetmap.org/?mlat=32.662&amp;mlon=43.9883&amp;zoom=12#map=12/32.662/43.9883","Maplink1")</f>
        <v>Maplink1</v>
      </c>
      <c r="AV2194" s="14" t="str">
        <f>HYPERLINK("https://www.google.iq/maps/search/+32.662,43.9883/@32.662,43.9883,14z?hl=en","Maplink2")</f>
        <v>Maplink2</v>
      </c>
      <c r="AW2194" s="14" t="str">
        <f>HYPERLINK("http://www.bing.com/maps/?lvl=14&amp;sty=h&amp;cp=32.662~43.9883&amp;sp=point.32.662_43.9883_Al-Swadah 1","Maplink3")</f>
        <v>Maplink3</v>
      </c>
    </row>
    <row r="2195" spans="1:49" ht="15" customHeight="1" x14ac:dyDescent="0.25">
      <c r="A2195" s="21">
        <v>21142</v>
      </c>
      <c r="B2195" s="22" t="s">
        <v>16</v>
      </c>
      <c r="C2195" s="22" t="s">
        <v>16</v>
      </c>
      <c r="D2195" s="22" t="s">
        <v>8877</v>
      </c>
      <c r="E2195" s="22" t="s">
        <v>4146</v>
      </c>
      <c r="F2195" s="22">
        <v>32.617053352299997</v>
      </c>
      <c r="G2195" s="22">
        <v>44.013638924799999</v>
      </c>
      <c r="H2195" s="21" t="s">
        <v>3858</v>
      </c>
      <c r="I2195" s="21" t="s">
        <v>3934</v>
      </c>
      <c r="J2195" s="21" t="s">
        <v>4147</v>
      </c>
      <c r="K2195" s="24">
        <v>8</v>
      </c>
      <c r="L2195" s="24">
        <v>48</v>
      </c>
      <c r="M2195" s="23">
        <v>4</v>
      </c>
      <c r="N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>
        <v>4</v>
      </c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>
        <v>8</v>
      </c>
      <c r="AL2195" s="23"/>
      <c r="AM2195" s="23"/>
      <c r="AN2195" s="23"/>
      <c r="AO2195" s="23">
        <v>4</v>
      </c>
      <c r="AP2195" s="23">
        <v>4</v>
      </c>
      <c r="AQ2195" s="23"/>
      <c r="AR2195" s="23"/>
      <c r="AS2195" s="23"/>
      <c r="AT2195" s="23"/>
      <c r="AU2195" s="14" t="str">
        <f>HYPERLINK("http://www.openstreetmap.org/?mlat=32.6098&amp;mlon=44.0083&amp;zoom=12#map=12/32.6098/44.0083","Maplink1")</f>
        <v>Maplink1</v>
      </c>
      <c r="AV2195" s="14" t="str">
        <f>HYPERLINK("https://www.google.iq/maps/search/+32.6098,44.0083/@32.6098,44.0083,14z?hl=en","Maplink2")</f>
        <v>Maplink2</v>
      </c>
      <c r="AW2195" s="14" t="str">
        <f>HYPERLINK("http://www.bing.com/maps/?lvl=14&amp;sty=h&amp;cp=32.6098~44.0083&amp;sp=point.32.6098_44.0083_Al-Taaleeb","Maplink3")</f>
        <v>Maplink3</v>
      </c>
    </row>
    <row r="2196" spans="1:49" ht="15" customHeight="1" x14ac:dyDescent="0.25">
      <c r="A2196" s="21">
        <v>21111</v>
      </c>
      <c r="B2196" s="22" t="s">
        <v>16</v>
      </c>
      <c r="C2196" s="22" t="s">
        <v>16</v>
      </c>
      <c r="D2196" s="22" t="s">
        <v>4148</v>
      </c>
      <c r="E2196" s="22" t="s">
        <v>4149</v>
      </c>
      <c r="F2196" s="22">
        <v>32.639988711999997</v>
      </c>
      <c r="G2196" s="22">
        <v>43.972903545900003</v>
      </c>
      <c r="H2196" s="21" t="s">
        <v>3858</v>
      </c>
      <c r="I2196" s="21" t="s">
        <v>3934</v>
      </c>
      <c r="J2196" s="21" t="s">
        <v>4150</v>
      </c>
      <c r="K2196" s="24">
        <v>10</v>
      </c>
      <c r="L2196" s="24">
        <v>60</v>
      </c>
      <c r="M2196" s="23">
        <v>4</v>
      </c>
      <c r="N2196" s="23"/>
      <c r="O2196" s="23"/>
      <c r="P2196" s="23"/>
      <c r="Q2196" s="23"/>
      <c r="R2196" s="23"/>
      <c r="S2196" s="23"/>
      <c r="T2196" s="23"/>
      <c r="U2196" s="23">
        <v>6</v>
      </c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>
        <v>10</v>
      </c>
      <c r="AL2196" s="23"/>
      <c r="AM2196" s="23"/>
      <c r="AN2196" s="23"/>
      <c r="AO2196" s="23"/>
      <c r="AP2196" s="23">
        <v>6</v>
      </c>
      <c r="AQ2196" s="23"/>
      <c r="AR2196" s="23"/>
      <c r="AS2196" s="23">
        <v>4</v>
      </c>
      <c r="AT2196" s="23"/>
      <c r="AU2196" s="14" t="str">
        <f>HYPERLINK("http://www.openstreetmap.org/?mlat=32.6371&amp;mlon=43.9638&amp;zoom=12#map=12/32.6371/43.9638","Maplink1")</f>
        <v>Maplink1</v>
      </c>
      <c r="AV2196" s="14" t="str">
        <f>HYPERLINK("https://www.google.iq/maps/search/+32.6371,43.9638/@32.6371,43.9638,14z?hl=en","Maplink2")</f>
        <v>Maplink2</v>
      </c>
      <c r="AW2196" s="14" t="str">
        <f>HYPERLINK("http://www.bing.com/maps/?lvl=14&amp;sty=h&amp;cp=32.6371~43.9638&amp;sp=point.32.6371_43.9638_Al-Taqa 18","Maplink3")</f>
        <v>Maplink3</v>
      </c>
    </row>
    <row r="2197" spans="1:49" ht="15" customHeight="1" x14ac:dyDescent="0.25">
      <c r="A2197" s="21">
        <v>14037</v>
      </c>
      <c r="B2197" s="22" t="s">
        <v>16</v>
      </c>
      <c r="C2197" s="22" t="s">
        <v>16</v>
      </c>
      <c r="D2197" s="22" t="s">
        <v>8878</v>
      </c>
      <c r="E2197" s="22" t="s">
        <v>4151</v>
      </c>
      <c r="F2197" s="22">
        <v>32.591528696899999</v>
      </c>
      <c r="G2197" s="22">
        <v>44.118464430800003</v>
      </c>
      <c r="H2197" s="21" t="s">
        <v>3858</v>
      </c>
      <c r="I2197" s="21" t="s">
        <v>3934</v>
      </c>
      <c r="J2197" s="21" t="s">
        <v>4152</v>
      </c>
      <c r="K2197" s="24">
        <v>80</v>
      </c>
      <c r="L2197" s="24">
        <v>480</v>
      </c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>
        <v>80</v>
      </c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>
        <v>9</v>
      </c>
      <c r="AK2197" s="23">
        <v>71</v>
      </c>
      <c r="AL2197" s="23"/>
      <c r="AM2197" s="23"/>
      <c r="AN2197" s="23"/>
      <c r="AO2197" s="23"/>
      <c r="AP2197" s="23">
        <v>80</v>
      </c>
      <c r="AQ2197" s="23"/>
      <c r="AR2197" s="23"/>
      <c r="AS2197" s="23"/>
      <c r="AT2197" s="23"/>
      <c r="AU2197" s="14" t="str">
        <f>HYPERLINK("http://www.openstreetmap.org/?mlat=32.5844&amp;mlon=44.1011&amp;zoom=12#map=12/32.5844/44.1011","Maplink1")</f>
        <v>Maplink1</v>
      </c>
      <c r="AV2197" s="14" t="str">
        <f>HYPERLINK("https://www.google.iq/maps/search/+32.5844,44.1011/@32.5844,44.1011,14z?hl=en","Maplink2")</f>
        <v>Maplink2</v>
      </c>
      <c r="AW2197" s="14" t="str">
        <f>HYPERLINK("http://www.bing.com/maps/?lvl=14&amp;sty=h&amp;cp=32.5844~44.1011&amp;sp=point.32.5844_44.1011_Al-zabeileiah","Maplink3")</f>
        <v>Maplink3</v>
      </c>
    </row>
    <row r="2198" spans="1:49" ht="15" customHeight="1" x14ac:dyDescent="0.25">
      <c r="A2198" s="21">
        <v>13785</v>
      </c>
      <c r="B2198" s="22" t="s">
        <v>16</v>
      </c>
      <c r="C2198" s="22" t="s">
        <v>16</v>
      </c>
      <c r="D2198" s="22" t="s">
        <v>4153</v>
      </c>
      <c r="E2198" s="22" t="s">
        <v>2196</v>
      </c>
      <c r="F2198" s="22">
        <v>32.6477264659</v>
      </c>
      <c r="G2198" s="22">
        <v>44.050602614900001</v>
      </c>
      <c r="H2198" s="21" t="s">
        <v>3858</v>
      </c>
      <c r="I2198" s="21" t="s">
        <v>3934</v>
      </c>
      <c r="J2198" s="21" t="s">
        <v>4154</v>
      </c>
      <c r="K2198" s="24">
        <v>75</v>
      </c>
      <c r="L2198" s="24">
        <v>450</v>
      </c>
      <c r="M2198" s="23"/>
      <c r="N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>
        <v>75</v>
      </c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>
        <v>25</v>
      </c>
      <c r="AK2198" s="23">
        <v>50</v>
      </c>
      <c r="AL2198" s="23"/>
      <c r="AM2198" s="23"/>
      <c r="AN2198" s="23"/>
      <c r="AO2198" s="23"/>
      <c r="AP2198" s="23">
        <v>75</v>
      </c>
      <c r="AQ2198" s="23"/>
      <c r="AR2198" s="23"/>
      <c r="AS2198" s="23"/>
      <c r="AT2198" s="23"/>
      <c r="AU2198" s="14" t="str">
        <f>HYPERLINK("http://www.openstreetmap.org/?mlat=32.5997&amp;mlon=44.0521&amp;zoom=12#map=12/32.5997/44.0521","Maplink1")</f>
        <v>Maplink1</v>
      </c>
      <c r="AV2198" s="14" t="str">
        <f>HYPERLINK("https://www.google.iq/maps/search/+32.5997,44.0521/@32.5997,44.0521,14z?hl=en","Maplink2")</f>
        <v>Maplink2</v>
      </c>
      <c r="AW2198" s="14" t="str">
        <f>HYPERLINK("http://www.bing.com/maps/?lvl=14&amp;sty=h&amp;cp=32.5997~44.0521&amp;sp=point.32.5997_44.0521_Al-Zahraa","Maplink3")</f>
        <v>Maplink3</v>
      </c>
    </row>
    <row r="2199" spans="1:49" ht="15" customHeight="1" x14ac:dyDescent="0.25">
      <c r="A2199" s="21">
        <v>14309</v>
      </c>
      <c r="B2199" s="22" t="s">
        <v>16</v>
      </c>
      <c r="C2199" s="22" t="s">
        <v>16</v>
      </c>
      <c r="D2199" s="22" t="s">
        <v>4155</v>
      </c>
      <c r="E2199" s="22" t="s">
        <v>4156</v>
      </c>
      <c r="F2199" s="22">
        <v>32.616616361799998</v>
      </c>
      <c r="G2199" s="22">
        <v>44.018685836300001</v>
      </c>
      <c r="H2199" s="21" t="s">
        <v>3858</v>
      </c>
      <c r="I2199" s="21" t="s">
        <v>3934</v>
      </c>
      <c r="J2199" s="21" t="s">
        <v>4157</v>
      </c>
      <c r="K2199" s="24">
        <v>12</v>
      </c>
      <c r="L2199" s="24">
        <v>72</v>
      </c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12</v>
      </c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>
        <v>1</v>
      </c>
      <c r="AK2199" s="23">
        <v>11</v>
      </c>
      <c r="AL2199" s="23"/>
      <c r="AM2199" s="23"/>
      <c r="AN2199" s="23"/>
      <c r="AO2199" s="23"/>
      <c r="AP2199" s="23">
        <v>12</v>
      </c>
      <c r="AQ2199" s="23"/>
      <c r="AR2199" s="23"/>
      <c r="AS2199" s="23"/>
      <c r="AT2199" s="23"/>
      <c r="AU2199" s="14" t="str">
        <f>HYPERLINK("http://www.openstreetmap.org/?mlat=32.6133&amp;mlon=44.0219&amp;zoom=12#map=12/32.6133/44.0219","Maplink1")</f>
        <v>Maplink1</v>
      </c>
      <c r="AV2199" s="14" t="str">
        <f>HYPERLINK("https://www.google.iq/maps/search/+32.6133,44.0219/@32.6133,44.0219,14z?hl=en","Maplink2")</f>
        <v>Maplink2</v>
      </c>
      <c r="AW2199" s="14" t="str">
        <f>HYPERLINK("http://www.bing.com/maps/?lvl=14&amp;sty=h&amp;cp=32.6133~44.0219&amp;sp=point.32.6133_44.0219_AL_Saadiya","Maplink3")</f>
        <v>Maplink3</v>
      </c>
    </row>
    <row r="2200" spans="1:49" ht="15" customHeight="1" x14ac:dyDescent="0.25">
      <c r="A2200" s="21">
        <v>26067</v>
      </c>
      <c r="B2200" s="22" t="s">
        <v>16</v>
      </c>
      <c r="C2200" s="22" t="s">
        <v>16</v>
      </c>
      <c r="D2200" s="22" t="s">
        <v>4158</v>
      </c>
      <c r="E2200" s="22" t="s">
        <v>4159</v>
      </c>
      <c r="F2200" s="22">
        <v>32.64704837</v>
      </c>
      <c r="G2200" s="22">
        <v>44.109277278199997</v>
      </c>
      <c r="H2200" s="21" t="s">
        <v>3858</v>
      </c>
      <c r="I2200" s="21" t="s">
        <v>3934</v>
      </c>
      <c r="J2200" s="21"/>
      <c r="K2200" s="24">
        <v>14</v>
      </c>
      <c r="L2200" s="24">
        <v>84</v>
      </c>
      <c r="M2200" s="23"/>
      <c r="N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>
        <v>14</v>
      </c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>
        <v>14</v>
      </c>
      <c r="AL2200" s="23"/>
      <c r="AM2200" s="23"/>
      <c r="AN2200" s="23"/>
      <c r="AO2200" s="23"/>
      <c r="AP2200" s="23">
        <v>14</v>
      </c>
      <c r="AQ2200" s="23"/>
      <c r="AR2200" s="23"/>
      <c r="AS2200" s="23"/>
      <c r="AT2200" s="23"/>
      <c r="AU2200" s="14" t="str">
        <f>HYPERLINK("http://www.openstreetmap.org/?mlat=32.6733&amp;mlon=44.1873&amp;zoom=12#map=12/32.6733/44.1873","Maplink1")</f>
        <v>Maplink1</v>
      </c>
      <c r="AV2200" s="14" t="str">
        <f>HYPERLINK("https://www.google.iq/maps/search/+32.6733,44.1873/@32.6733,44.1873,14z?hl=en","Maplink2")</f>
        <v>Maplink2</v>
      </c>
      <c r="AW2200" s="14" t="str">
        <f>HYPERLINK("http://www.bing.com/maps/?lvl=14&amp;sty=h&amp;cp=32.6733~44.1873&amp;sp=point.32.6733_44.1873_Albo Hamed 1","Maplink3")</f>
        <v>Maplink3</v>
      </c>
    </row>
    <row r="2201" spans="1:49" ht="15" customHeight="1" x14ac:dyDescent="0.25">
      <c r="A2201" s="21">
        <v>26068</v>
      </c>
      <c r="B2201" s="22" t="s">
        <v>16</v>
      </c>
      <c r="C2201" s="22" t="s">
        <v>16</v>
      </c>
      <c r="D2201" s="22" t="s">
        <v>4166</v>
      </c>
      <c r="E2201" s="22" t="s">
        <v>4167</v>
      </c>
      <c r="F2201" s="22">
        <v>32.653976264400001</v>
      </c>
      <c r="G2201" s="22">
        <v>44.055918837</v>
      </c>
      <c r="H2201" s="21" t="s">
        <v>3858</v>
      </c>
      <c r="I2201" s="21" t="s">
        <v>3934</v>
      </c>
      <c r="J2201" s="21"/>
      <c r="K2201" s="24">
        <v>23</v>
      </c>
      <c r="L2201" s="24">
        <v>138</v>
      </c>
      <c r="M2201" s="23"/>
      <c r="N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>
        <v>23</v>
      </c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>
        <v>23</v>
      </c>
      <c r="AL2201" s="23"/>
      <c r="AM2201" s="23"/>
      <c r="AN2201" s="23"/>
      <c r="AO2201" s="23"/>
      <c r="AP2201" s="23">
        <v>23</v>
      </c>
      <c r="AQ2201" s="23"/>
      <c r="AR2201" s="23"/>
      <c r="AS2201" s="23"/>
      <c r="AT2201" s="23"/>
      <c r="AU2201" s="14" t="str">
        <f>HYPERLINK("http://www.openstreetmap.org/?mlat=32.6497&amp;mlon=44.0544&amp;zoom=12#map=12/32.6497/44.0544","Maplink1")</f>
        <v>Maplink1</v>
      </c>
      <c r="AV2201" s="14" t="str">
        <f>HYPERLINK("https://www.google.iq/maps/search/+32.6497,44.0544/@32.6497,44.0544,14z?hl=en","Maplink2")</f>
        <v>Maplink2</v>
      </c>
      <c r="AW2201" s="14" t="str">
        <f>HYPERLINK("http://www.bing.com/maps/?lvl=14&amp;sty=h&amp;cp=32.6497~44.0544&amp;sp=point.32.6497_44.0544_Badat Aesha","Maplink3")</f>
        <v>Maplink3</v>
      </c>
    </row>
    <row r="2202" spans="1:49" ht="15" customHeight="1" x14ac:dyDescent="0.25">
      <c r="A2202" s="21">
        <v>26065</v>
      </c>
      <c r="B2202" s="22" t="s">
        <v>16</v>
      </c>
      <c r="C2202" s="22" t="s">
        <v>16</v>
      </c>
      <c r="D2202" s="22" t="s">
        <v>4168</v>
      </c>
      <c r="E2202" s="22" t="s">
        <v>4169</v>
      </c>
      <c r="F2202" s="22">
        <v>32.684044078900001</v>
      </c>
      <c r="G2202" s="22">
        <v>44.087785994599997</v>
      </c>
      <c r="H2202" s="21" t="s">
        <v>3858</v>
      </c>
      <c r="I2202" s="21" t="s">
        <v>3934</v>
      </c>
      <c r="J2202" s="21"/>
      <c r="K2202" s="24">
        <v>122</v>
      </c>
      <c r="L2202" s="24">
        <v>732</v>
      </c>
      <c r="M2202" s="23"/>
      <c r="N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>
        <v>122</v>
      </c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>
        <v>122</v>
      </c>
      <c r="AK2202" s="23"/>
      <c r="AL2202" s="23"/>
      <c r="AM2202" s="23"/>
      <c r="AN2202" s="23"/>
      <c r="AO2202" s="23"/>
      <c r="AP2202" s="23">
        <v>122</v>
      </c>
      <c r="AQ2202" s="23"/>
      <c r="AR2202" s="23"/>
      <c r="AS2202" s="23"/>
      <c r="AT2202" s="23"/>
      <c r="AU2202" s="14" t="str">
        <f>HYPERLINK("http://www.openstreetmap.org/?mlat=32.6879&amp;mlon=44.0857&amp;zoom=12#map=12/32.6879/44.0857","Maplink1")</f>
        <v>Maplink1</v>
      </c>
      <c r="AV2202" s="14" t="str">
        <f>HYPERLINK("https://www.google.iq/maps/search/+32.6879,44.0857/@32.6879,44.0857,14z?hl=en","Maplink2")</f>
        <v>Maplink2</v>
      </c>
      <c r="AW2202" s="14" t="str">
        <f>HYPERLINK("http://www.bing.com/maps/?lvl=14&amp;sty=h&amp;cp=32.6879~44.0857&amp;sp=point.32.6879_44.0857_Badat Aswad","Maplink3")</f>
        <v>Maplink3</v>
      </c>
    </row>
    <row r="2203" spans="1:49" ht="15" customHeight="1" x14ac:dyDescent="0.25">
      <c r="A2203" s="21">
        <v>25901</v>
      </c>
      <c r="B2203" s="22" t="s">
        <v>16</v>
      </c>
      <c r="C2203" s="22" t="s">
        <v>16</v>
      </c>
      <c r="D2203" s="22" t="s">
        <v>4170</v>
      </c>
      <c r="E2203" s="22" t="s">
        <v>4171</v>
      </c>
      <c r="F2203" s="22">
        <v>32.659742469000001</v>
      </c>
      <c r="G2203" s="22">
        <v>44.066059934000002</v>
      </c>
      <c r="H2203" s="21" t="s">
        <v>3858</v>
      </c>
      <c r="I2203" s="21" t="s">
        <v>3934</v>
      </c>
      <c r="J2203" s="21"/>
      <c r="K2203" s="24">
        <v>9</v>
      </c>
      <c r="L2203" s="24">
        <v>54</v>
      </c>
      <c r="M2203" s="23"/>
      <c r="N2203" s="23">
        <v>9</v>
      </c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>
        <v>9</v>
      </c>
      <c r="AG2203" s="23"/>
      <c r="AH2203" s="23"/>
      <c r="AI2203" s="23"/>
      <c r="AJ2203" s="23"/>
      <c r="AK2203" s="23"/>
      <c r="AL2203" s="23"/>
      <c r="AM2203" s="23"/>
      <c r="AN2203" s="23"/>
      <c r="AO2203" s="23">
        <v>9</v>
      </c>
      <c r="AP2203" s="23"/>
      <c r="AQ2203" s="23"/>
      <c r="AR2203" s="23"/>
      <c r="AS2203" s="23"/>
      <c r="AT2203" s="23"/>
      <c r="AU2203" s="14" t="str">
        <f>HYPERLINK("http://www.openstreetmap.org/?mlat=32.7027&amp;mlon=44.1322&amp;zoom=12#map=12/32.7027/44.1322","Maplink1")</f>
        <v>Maplink1</v>
      </c>
      <c r="AV2203" s="14" t="str">
        <f>HYPERLINK("https://www.google.iq/maps/search/+32.7027,44.1322/@32.7027,44.1322,14z?hl=en","Maplink2")</f>
        <v>Maplink2</v>
      </c>
      <c r="AW2203" s="14" t="str">
        <f>HYPERLINK("http://www.bing.com/maps/?lvl=14&amp;sty=h&amp;cp=32.7027~44.1322&amp;sp=point.32.7027_44.1322_Badat Shareef","Maplink3")</f>
        <v>Maplink3</v>
      </c>
    </row>
    <row r="2204" spans="1:49" ht="15" customHeight="1" x14ac:dyDescent="0.25">
      <c r="A2204" s="21">
        <v>26061</v>
      </c>
      <c r="B2204" s="22" t="s">
        <v>16</v>
      </c>
      <c r="C2204" s="22" t="s">
        <v>16</v>
      </c>
      <c r="D2204" s="22" t="s">
        <v>4172</v>
      </c>
      <c r="E2204" s="22" t="s">
        <v>4173</v>
      </c>
      <c r="F2204" s="22">
        <v>32.668775268799997</v>
      </c>
      <c r="G2204" s="22">
        <v>44.071174655100002</v>
      </c>
      <c r="H2204" s="21" t="s">
        <v>3858</v>
      </c>
      <c r="I2204" s="21" t="s">
        <v>3934</v>
      </c>
      <c r="J2204" s="21"/>
      <c r="K2204" s="24">
        <v>86</v>
      </c>
      <c r="L2204" s="24">
        <v>516</v>
      </c>
      <c r="M2204" s="23"/>
      <c r="N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>
        <v>86</v>
      </c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>
        <v>86</v>
      </c>
      <c r="AK2204" s="23"/>
      <c r="AL2204" s="23"/>
      <c r="AM2204" s="23"/>
      <c r="AN2204" s="23"/>
      <c r="AO2204" s="23"/>
      <c r="AP2204" s="23">
        <v>86</v>
      </c>
      <c r="AQ2204" s="23"/>
      <c r="AR2204" s="23"/>
      <c r="AS2204" s="23"/>
      <c r="AT2204" s="23"/>
      <c r="AU2204" s="14" t="str">
        <f>HYPERLINK("http://www.openstreetmap.org/?mlat=32.7234&amp;mlon=44.1343&amp;zoom=12#map=12/32.7234/44.1343","Maplink1")</f>
        <v>Maplink1</v>
      </c>
      <c r="AV2204" s="14" t="str">
        <f>HYPERLINK("https://www.google.iq/maps/search/+32.7234,44.1343/@32.7234,44.1343,14z?hl=en","Maplink2")</f>
        <v>Maplink2</v>
      </c>
      <c r="AW2204" s="14" t="str">
        <f>HYPERLINK("http://www.bing.com/maps/?lvl=14&amp;sty=h&amp;cp=32.7234~44.1343&amp;sp=point.32.7234_44.1343_Badat Shareef Al Gharbiyah","Maplink3")</f>
        <v>Maplink3</v>
      </c>
    </row>
    <row r="2205" spans="1:49" ht="15" customHeight="1" x14ac:dyDescent="0.25">
      <c r="A2205" s="21">
        <v>14133</v>
      </c>
      <c r="B2205" s="22" t="s">
        <v>16</v>
      </c>
      <c r="C2205" s="22" t="s">
        <v>16</v>
      </c>
      <c r="D2205" s="22" t="s">
        <v>7335</v>
      </c>
      <c r="E2205" s="22" t="s">
        <v>4174</v>
      </c>
      <c r="F2205" s="22">
        <v>32.619938487200002</v>
      </c>
      <c r="G2205" s="22">
        <v>44.03421239</v>
      </c>
      <c r="H2205" s="21" t="s">
        <v>3858</v>
      </c>
      <c r="I2205" s="21" t="s">
        <v>3934</v>
      </c>
      <c r="J2205" s="21" t="s">
        <v>4175</v>
      </c>
      <c r="K2205" s="24">
        <v>42</v>
      </c>
      <c r="L2205" s="24">
        <v>252</v>
      </c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>
        <v>42</v>
      </c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>
        <v>42</v>
      </c>
      <c r="AL2205" s="23"/>
      <c r="AM2205" s="23"/>
      <c r="AN2205" s="23"/>
      <c r="AO2205" s="23"/>
      <c r="AP2205" s="23">
        <v>42</v>
      </c>
      <c r="AQ2205" s="23"/>
      <c r="AR2205" s="23"/>
      <c r="AS2205" s="23"/>
      <c r="AT2205" s="23"/>
      <c r="AU2205" s="14" t="str">
        <f>HYPERLINK("http://www.openstreetmap.org/?mlat=32.6306&amp;mlon=44.0281&amp;zoom=12#map=12/32.6306/44.0281","Maplink1")</f>
        <v>Maplink1</v>
      </c>
      <c r="AV2205" s="14" t="str">
        <f>HYPERLINK("https://www.google.iq/maps/search/+32.6306,44.0281/@32.6306,44.0281,14z?hl=en","Maplink2")</f>
        <v>Maplink2</v>
      </c>
      <c r="AW2205" s="14" t="str">
        <f>HYPERLINK("http://www.bing.com/maps/?lvl=14&amp;sty=h&amp;cp=32.6306~44.0281&amp;sp=point.32.6306_44.0281_Basatein bab alslalmah","Maplink3")</f>
        <v>Maplink3</v>
      </c>
    </row>
    <row r="2206" spans="1:49" ht="15" customHeight="1" x14ac:dyDescent="0.25">
      <c r="A2206" s="21">
        <v>25850</v>
      </c>
      <c r="B2206" s="22" t="s">
        <v>16</v>
      </c>
      <c r="C2206" s="22" t="s">
        <v>16</v>
      </c>
      <c r="D2206" s="22" t="s">
        <v>4176</v>
      </c>
      <c r="E2206" s="22" t="s">
        <v>4177</v>
      </c>
      <c r="F2206" s="22">
        <v>32.606118614800003</v>
      </c>
      <c r="G2206" s="22">
        <v>44.021643726199997</v>
      </c>
      <c r="H2206" s="21" t="s">
        <v>3858</v>
      </c>
      <c r="I2206" s="21" t="s">
        <v>3934</v>
      </c>
      <c r="J2206" s="21"/>
      <c r="K2206" s="24">
        <v>12</v>
      </c>
      <c r="L2206" s="24">
        <v>72</v>
      </c>
      <c r="M2206" s="23">
        <v>2</v>
      </c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>
        <v>10</v>
      </c>
      <c r="Z2206" s="23"/>
      <c r="AA2206" s="23"/>
      <c r="AB2206" s="23"/>
      <c r="AC2206" s="23"/>
      <c r="AD2206" s="23"/>
      <c r="AE2206" s="23"/>
      <c r="AF2206" s="23">
        <v>2</v>
      </c>
      <c r="AG2206" s="23"/>
      <c r="AH2206" s="23"/>
      <c r="AI2206" s="23"/>
      <c r="AJ2206" s="23">
        <v>1</v>
      </c>
      <c r="AK2206" s="23">
        <v>9</v>
      </c>
      <c r="AL2206" s="23"/>
      <c r="AM2206" s="23"/>
      <c r="AN2206" s="23"/>
      <c r="AO2206" s="23"/>
      <c r="AP2206" s="23">
        <v>10</v>
      </c>
      <c r="AQ2206" s="23">
        <v>2</v>
      </c>
      <c r="AR2206" s="23"/>
      <c r="AS2206" s="23"/>
      <c r="AT2206" s="23"/>
      <c r="AU2206" s="14" t="str">
        <f>HYPERLINK("http://www.openstreetmap.org/?mlat=32.6052&amp;mlon=44.0207&amp;zoom=12#map=12/32.6052/44.0207","Maplink1")</f>
        <v>Maplink1</v>
      </c>
      <c r="AV2206" s="14" t="str">
        <f>HYPERLINK("https://www.google.iq/maps/search/+32.6052,44.0207/@32.6052,44.0207,14z?hl=en","Maplink2")</f>
        <v>Maplink2</v>
      </c>
      <c r="AW2206" s="14" t="str">
        <f>HYPERLINK("http://www.bing.com/maps/?lvl=14&amp;sty=h&amp;cp=32.6052~44.0207&amp;sp=point.32.6052_44.0207_Basaten Al Naqeeb","Maplink3")</f>
        <v>Maplink3</v>
      </c>
    </row>
    <row r="2207" spans="1:49" ht="15" customHeight="1" x14ac:dyDescent="0.25">
      <c r="A2207" s="21">
        <v>13740</v>
      </c>
      <c r="B2207" s="22" t="s">
        <v>16</v>
      </c>
      <c r="C2207" s="22" t="s">
        <v>16</v>
      </c>
      <c r="D2207" s="22" t="s">
        <v>4178</v>
      </c>
      <c r="E2207" s="22" t="s">
        <v>4179</v>
      </c>
      <c r="F2207" s="22">
        <v>32.656750883900003</v>
      </c>
      <c r="G2207" s="22">
        <v>44.059158861599997</v>
      </c>
      <c r="H2207" s="21" t="s">
        <v>3858</v>
      </c>
      <c r="I2207" s="21" t="s">
        <v>3934</v>
      </c>
      <c r="J2207" s="21" t="s">
        <v>4180</v>
      </c>
      <c r="K2207" s="24">
        <v>4</v>
      </c>
      <c r="L2207" s="24">
        <v>24</v>
      </c>
      <c r="M2207" s="23"/>
      <c r="N2207" s="23">
        <v>1</v>
      </c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>
        <v>3</v>
      </c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>
        <v>4</v>
      </c>
      <c r="AL2207" s="23"/>
      <c r="AM2207" s="23"/>
      <c r="AN2207" s="23"/>
      <c r="AO2207" s="23"/>
      <c r="AP2207" s="23">
        <v>4</v>
      </c>
      <c r="AQ2207" s="23"/>
      <c r="AR2207" s="23"/>
      <c r="AS2207" s="23"/>
      <c r="AT2207" s="23"/>
      <c r="AU2207" s="14" t="str">
        <f>HYPERLINK("http://www.openstreetmap.org/?mlat=32.667&amp;mlon=44.1743&amp;zoom=12#map=12/32.667/44.1743","Maplink1")</f>
        <v>Maplink1</v>
      </c>
      <c r="AV2207" s="14" t="str">
        <f>HYPERLINK("https://www.google.iq/maps/search/+32.667,44.1743/@32.667,44.1743,14z?hl=en","Maplink2")</f>
        <v>Maplink2</v>
      </c>
      <c r="AW2207" s="14" t="str">
        <f>HYPERLINK("http://www.bing.com/maps/?lvl=14&amp;sty=h&amp;cp=32.667~44.1743&amp;sp=point.32.667_44.1743_Darawish","Maplink3")</f>
        <v>Maplink3</v>
      </c>
    </row>
    <row r="2208" spans="1:49" ht="15" customHeight="1" x14ac:dyDescent="0.25">
      <c r="A2208" s="21">
        <v>25268</v>
      </c>
      <c r="B2208" s="22" t="s">
        <v>16</v>
      </c>
      <c r="C2208" s="22" t="s">
        <v>16</v>
      </c>
      <c r="D2208" s="22" t="s">
        <v>4181</v>
      </c>
      <c r="E2208" s="22" t="s">
        <v>3915</v>
      </c>
      <c r="F2208" s="22">
        <v>32.610732181899998</v>
      </c>
      <c r="G2208" s="22">
        <v>44.011602457599999</v>
      </c>
      <c r="H2208" s="21" t="s">
        <v>3858</v>
      </c>
      <c r="I2208" s="21" t="s">
        <v>3934</v>
      </c>
      <c r="J2208" s="21"/>
      <c r="K2208" s="24">
        <v>4</v>
      </c>
      <c r="L2208" s="24">
        <v>24</v>
      </c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>
        <v>4</v>
      </c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>
        <v>4</v>
      </c>
      <c r="AL2208" s="23"/>
      <c r="AM2208" s="23"/>
      <c r="AN2208" s="23"/>
      <c r="AO2208" s="23"/>
      <c r="AP2208" s="23">
        <v>4</v>
      </c>
      <c r="AQ2208" s="23"/>
      <c r="AR2208" s="23"/>
      <c r="AS2208" s="23"/>
      <c r="AT2208" s="23"/>
      <c r="AU2208" s="14" t="str">
        <f>HYPERLINK("http://www.openstreetmap.org/?mlat=32.3646&amp;mlon=44.0041&amp;zoom=12#map=12/32.3646/44.0041","Maplink1")</f>
        <v>Maplink1</v>
      </c>
      <c r="AV2208" s="14" t="str">
        <f>HYPERLINK("https://www.google.iq/maps/search/+32.3646,44.0041/@32.3646,44.0041,14z?hl=en","Maplink2")</f>
        <v>Maplink2</v>
      </c>
      <c r="AW2208" s="14" t="str">
        <f>HYPERLINK("http://www.bing.com/maps/?lvl=14&amp;sty=h&amp;cp=32.3646~44.0041&amp;sp=point.32.3646_44.0041_Door al hajar","Maplink3")</f>
        <v>Maplink3</v>
      </c>
    </row>
    <row r="2209" spans="1:49" ht="15" customHeight="1" x14ac:dyDescent="0.25">
      <c r="A2209" s="21">
        <v>26062</v>
      </c>
      <c r="B2209" s="22" t="s">
        <v>16</v>
      </c>
      <c r="C2209" s="22" t="s">
        <v>16</v>
      </c>
      <c r="D2209" s="22" t="s">
        <v>4182</v>
      </c>
      <c r="E2209" s="22" t="s">
        <v>4183</v>
      </c>
      <c r="F2209" s="22">
        <v>32.6068454515</v>
      </c>
      <c r="G2209" s="22">
        <v>44.073004675999996</v>
      </c>
      <c r="H2209" s="21" t="s">
        <v>3858</v>
      </c>
      <c r="I2209" s="21" t="s">
        <v>3934</v>
      </c>
      <c r="J2209" s="21"/>
      <c r="K2209" s="24">
        <v>20</v>
      </c>
      <c r="L2209" s="24">
        <v>120</v>
      </c>
      <c r="M2209" s="23">
        <v>2</v>
      </c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>
        <v>18</v>
      </c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>
        <v>3</v>
      </c>
      <c r="AK2209" s="23">
        <v>17</v>
      </c>
      <c r="AL2209" s="23"/>
      <c r="AM2209" s="23"/>
      <c r="AN2209" s="23"/>
      <c r="AO2209" s="23"/>
      <c r="AP2209" s="23">
        <v>20</v>
      </c>
      <c r="AQ2209" s="23"/>
      <c r="AR2209" s="23"/>
      <c r="AS2209" s="23"/>
      <c r="AT2209" s="23"/>
      <c r="AU2209" s="14" t="str">
        <f>HYPERLINK("http://www.openstreetmap.org/?mlat=32.0652&amp;mlon=44.0767&amp;zoom=12#map=12/32.0652/44.0767","Maplink1")</f>
        <v>Maplink1</v>
      </c>
      <c r="AV2209" s="14" t="str">
        <f>HYPERLINK("https://www.google.iq/maps/search/+32.0652,44.0767/@32.0652,44.0767,14z?hl=en","Maplink2")</f>
        <v>Maplink2</v>
      </c>
      <c r="AW2209" s="14" t="str">
        <f>HYPERLINK("http://www.bing.com/maps/?lvl=14&amp;sty=h&amp;cp=32.0652~44.0767&amp;sp=point.32.0652_44.0767_Freaha Al Maamell","Maplink3")</f>
        <v>Maplink3</v>
      </c>
    </row>
    <row r="2210" spans="1:49" ht="15" customHeight="1" x14ac:dyDescent="0.25">
      <c r="A2210" s="21">
        <v>26063</v>
      </c>
      <c r="B2210" s="22" t="s">
        <v>16</v>
      </c>
      <c r="C2210" s="22" t="s">
        <v>16</v>
      </c>
      <c r="D2210" s="22" t="s">
        <v>4184</v>
      </c>
      <c r="E2210" s="22" t="s">
        <v>4185</v>
      </c>
      <c r="F2210" s="22">
        <v>32.675435780500003</v>
      </c>
      <c r="G2210" s="22">
        <v>44.126390945200001</v>
      </c>
      <c r="H2210" s="21" t="s">
        <v>3858</v>
      </c>
      <c r="I2210" s="21" t="s">
        <v>3934</v>
      </c>
      <c r="J2210" s="21"/>
      <c r="K2210" s="24">
        <v>5</v>
      </c>
      <c r="L2210" s="24">
        <v>30</v>
      </c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>
        <v>5</v>
      </c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>
        <v>5</v>
      </c>
      <c r="AL2210" s="23"/>
      <c r="AM2210" s="23"/>
      <c r="AN2210" s="23"/>
      <c r="AO2210" s="23"/>
      <c r="AP2210" s="23">
        <v>5</v>
      </c>
      <c r="AQ2210" s="23"/>
      <c r="AR2210" s="23"/>
      <c r="AS2210" s="23"/>
      <c r="AT2210" s="23"/>
      <c r="AU2210" s="14" t="str">
        <f>HYPERLINK("http://www.openstreetmap.org/?mlat=32.6777&amp;mlon=44.1235&amp;zoom=12#map=12/32.6777/44.1235","Maplink1")</f>
        <v>Maplink1</v>
      </c>
      <c r="AV2210" s="14" t="str">
        <f>HYPERLINK("https://www.google.iq/maps/search/+32.6777,44.1235/@32.6777,44.1235,14z?hl=en","Maplink2")</f>
        <v>Maplink2</v>
      </c>
      <c r="AW2210" s="14" t="str">
        <f>HYPERLINK("http://www.bing.com/maps/?lvl=14&amp;sty=h&amp;cp=32.6777~44.1235&amp;sp=point.32.6777_44.1235_Haswat Al Sood","Maplink3")</f>
        <v>Maplink3</v>
      </c>
    </row>
    <row r="2211" spans="1:49" ht="15" customHeight="1" x14ac:dyDescent="0.25">
      <c r="A2211" s="21">
        <v>22396</v>
      </c>
      <c r="B2211" s="22" t="s">
        <v>16</v>
      </c>
      <c r="C2211" s="22" t="s">
        <v>16</v>
      </c>
      <c r="D2211" s="22" t="s">
        <v>7519</v>
      </c>
      <c r="E2211" s="22" t="s">
        <v>4186</v>
      </c>
      <c r="F2211" s="22">
        <v>32.627875939900001</v>
      </c>
      <c r="G2211" s="22">
        <v>43.976988382599998</v>
      </c>
      <c r="H2211" s="21" t="s">
        <v>3858</v>
      </c>
      <c r="I2211" s="21" t="s">
        <v>3934</v>
      </c>
      <c r="J2211" s="21" t="s">
        <v>4187</v>
      </c>
      <c r="K2211" s="24">
        <v>13</v>
      </c>
      <c r="L2211" s="24">
        <v>78</v>
      </c>
      <c r="M2211" s="23"/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13</v>
      </c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/>
      <c r="AK2211" s="23">
        <v>13</v>
      </c>
      <c r="AL2211" s="23"/>
      <c r="AM2211" s="23"/>
      <c r="AN2211" s="23"/>
      <c r="AO2211" s="23"/>
      <c r="AP2211" s="23">
        <v>13</v>
      </c>
      <c r="AQ2211" s="23"/>
      <c r="AR2211" s="23"/>
      <c r="AS2211" s="23"/>
      <c r="AT2211" s="23"/>
      <c r="AU2211" s="14" t="str">
        <f>HYPERLINK("http://www.openstreetmap.org/?mlat=32.6279&amp;mlon=43.9766&amp;zoom=12#map=12/32.6279/43.9766","Maplink1")</f>
        <v>Maplink1</v>
      </c>
      <c r="AV2211" s="14" t="str">
        <f>HYPERLINK("https://www.google.iq/maps/search/+32.6279,43.9766/@32.6279,43.9766,14z?hl=en","Maplink2")</f>
        <v>Maplink2</v>
      </c>
      <c r="AW2211" s="14" t="str">
        <f>HYPERLINK("http://www.bing.com/maps/?lvl=14&amp;sty=h&amp;cp=32.6279~43.9766&amp;sp=point.32.6279_43.9766_Hay Al Ameer -1","Maplink3")</f>
        <v>Maplink3</v>
      </c>
    </row>
    <row r="2212" spans="1:49" ht="15" customHeight="1" x14ac:dyDescent="0.25">
      <c r="A2212" s="21">
        <v>25349</v>
      </c>
      <c r="B2212" s="22" t="s">
        <v>16</v>
      </c>
      <c r="C2212" s="22" t="s">
        <v>16</v>
      </c>
      <c r="D2212" s="22" t="s">
        <v>4188</v>
      </c>
      <c r="E2212" s="22" t="s">
        <v>4189</v>
      </c>
      <c r="F2212" s="22">
        <v>32.621945953000001</v>
      </c>
      <c r="G2212" s="22">
        <v>43.989175669799998</v>
      </c>
      <c r="H2212" s="21" t="s">
        <v>3858</v>
      </c>
      <c r="I2212" s="21" t="s">
        <v>3934</v>
      </c>
      <c r="J2212" s="21"/>
      <c r="K2212" s="24">
        <v>10</v>
      </c>
      <c r="L2212" s="24">
        <v>60</v>
      </c>
      <c r="M2212" s="23">
        <v>5</v>
      </c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>
        <v>5</v>
      </c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>
        <v>10</v>
      </c>
      <c r="AL2212" s="23"/>
      <c r="AM2212" s="23"/>
      <c r="AN2212" s="23"/>
      <c r="AO2212" s="23">
        <v>5</v>
      </c>
      <c r="AP2212" s="23">
        <v>5</v>
      </c>
      <c r="AQ2212" s="23"/>
      <c r="AR2212" s="23"/>
      <c r="AS2212" s="23"/>
      <c r="AT2212" s="23"/>
      <c r="AU2212" s="14" t="str">
        <f>HYPERLINK("http://www.openstreetmap.org/?mlat=32.6197&amp;mlon=43.9926&amp;zoom=12#map=12/32.6197/43.9926","Maplink1")</f>
        <v>Maplink1</v>
      </c>
      <c r="AV2212" s="14" t="str">
        <f>HYPERLINK("https://www.google.iq/maps/search/+32.6197,43.9926/@32.6197,43.9926,14z?hl=en","Maplink2")</f>
        <v>Maplink2</v>
      </c>
      <c r="AW2212" s="14" t="str">
        <f>HYPERLINK("http://www.bing.com/maps/?lvl=14&amp;sty=h&amp;cp=32.6197~43.9926&amp;sp=point.32.6197_43.9926_Hay Al Amel-4","Maplink3")</f>
        <v>Maplink3</v>
      </c>
    </row>
    <row r="2213" spans="1:49" ht="15" customHeight="1" x14ac:dyDescent="0.25">
      <c r="A2213" s="21">
        <v>25350</v>
      </c>
      <c r="B2213" s="22" t="s">
        <v>16</v>
      </c>
      <c r="C2213" s="22" t="s">
        <v>16</v>
      </c>
      <c r="D2213" s="22" t="s">
        <v>4190</v>
      </c>
      <c r="E2213" s="22" t="s">
        <v>4191</v>
      </c>
      <c r="F2213" s="22">
        <v>32.625092351799999</v>
      </c>
      <c r="G2213" s="22">
        <v>43.990360116600002</v>
      </c>
      <c r="H2213" s="21" t="s">
        <v>3858</v>
      </c>
      <c r="I2213" s="21" t="s">
        <v>3934</v>
      </c>
      <c r="J2213" s="21"/>
      <c r="K2213" s="24">
        <v>3</v>
      </c>
      <c r="L2213" s="24">
        <v>18</v>
      </c>
      <c r="M2213" s="23">
        <v>1</v>
      </c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/>
      <c r="Z2213" s="23"/>
      <c r="AA2213" s="23">
        <v>2</v>
      </c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>
        <v>3</v>
      </c>
      <c r="AL2213" s="23"/>
      <c r="AM2213" s="23"/>
      <c r="AN2213" s="23"/>
      <c r="AO2213" s="23"/>
      <c r="AP2213" s="23"/>
      <c r="AQ2213" s="23">
        <v>2</v>
      </c>
      <c r="AR2213" s="23">
        <v>1</v>
      </c>
      <c r="AS2213" s="23"/>
      <c r="AT2213" s="23"/>
      <c r="AU2213" s="14" t="str">
        <f>HYPERLINK("http://www.openstreetmap.org/?mlat=32.6197&amp;mlon=43.9926&amp;zoom=12#map=12/32.6197/43.9926","Maplink1")</f>
        <v>Maplink1</v>
      </c>
      <c r="AV2213" s="14" t="str">
        <f>HYPERLINK("https://www.google.iq/maps/search/+32.6197,43.9926/@32.6197,43.9926,14z?hl=en","Maplink2")</f>
        <v>Maplink2</v>
      </c>
      <c r="AW2213" s="14" t="str">
        <f>HYPERLINK("http://www.bing.com/maps/?lvl=14&amp;sty=h&amp;cp=32.6197~43.9926&amp;sp=point.32.6197_43.9926_Hay Al Amel-6","Maplink3")</f>
        <v>Maplink3</v>
      </c>
    </row>
    <row r="2214" spans="1:49" ht="15" customHeight="1" x14ac:dyDescent="0.25">
      <c r="A2214" s="21">
        <v>25351</v>
      </c>
      <c r="B2214" s="22" t="s">
        <v>16</v>
      </c>
      <c r="C2214" s="22" t="s">
        <v>16</v>
      </c>
      <c r="D2214" s="22" t="s">
        <v>4192</v>
      </c>
      <c r="E2214" s="22" t="s">
        <v>4193</v>
      </c>
      <c r="F2214" s="22">
        <v>32.626459356399998</v>
      </c>
      <c r="G2214" s="22">
        <v>43.985735820599999</v>
      </c>
      <c r="H2214" s="21" t="s">
        <v>3858</v>
      </c>
      <c r="I2214" s="21" t="s">
        <v>3934</v>
      </c>
      <c r="J2214" s="21"/>
      <c r="K2214" s="24">
        <v>14</v>
      </c>
      <c r="L2214" s="24">
        <v>84</v>
      </c>
      <c r="M2214" s="23">
        <v>1</v>
      </c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>
        <v>13</v>
      </c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>
        <v>14</v>
      </c>
      <c r="AL2214" s="23"/>
      <c r="AM2214" s="23"/>
      <c r="AN2214" s="23"/>
      <c r="AO2214" s="23"/>
      <c r="AP2214" s="23">
        <v>13</v>
      </c>
      <c r="AQ2214" s="23"/>
      <c r="AR2214" s="23">
        <v>1</v>
      </c>
      <c r="AS2214" s="23"/>
      <c r="AT2214" s="23"/>
      <c r="AU2214" s="14" t="str">
        <f>HYPERLINK("http://www.openstreetmap.org/?mlat=32.6196&amp;mlon=43.9927&amp;zoom=12#map=12/32.6196/43.9927","Maplink1")</f>
        <v>Maplink1</v>
      </c>
      <c r="AV2214" s="14" t="str">
        <f>HYPERLINK("https://www.google.iq/maps/search/+32.6196,43.9927/@32.6196,43.9927,14z?hl=en","Maplink2")</f>
        <v>Maplink2</v>
      </c>
      <c r="AW2214" s="14" t="str">
        <f>HYPERLINK("http://www.bing.com/maps/?lvl=14&amp;sty=h&amp;cp=32.6196~43.9927&amp;sp=point.32.6196_43.9927_Hay Al Amel-7","Maplink3")</f>
        <v>Maplink3</v>
      </c>
    </row>
    <row r="2215" spans="1:49" ht="15" customHeight="1" x14ac:dyDescent="0.25">
      <c r="A2215" s="21">
        <v>25352</v>
      </c>
      <c r="B2215" s="22" t="s">
        <v>16</v>
      </c>
      <c r="C2215" s="22" t="s">
        <v>16</v>
      </c>
      <c r="D2215" s="22" t="s">
        <v>4194</v>
      </c>
      <c r="E2215" s="22" t="s">
        <v>4195</v>
      </c>
      <c r="F2215" s="22">
        <v>32.629361925600001</v>
      </c>
      <c r="G2215" s="22">
        <v>43.983793314499998</v>
      </c>
      <c r="H2215" s="21" t="s">
        <v>3858</v>
      </c>
      <c r="I2215" s="21" t="s">
        <v>3934</v>
      </c>
      <c r="J2215" s="21"/>
      <c r="K2215" s="24">
        <v>4</v>
      </c>
      <c r="L2215" s="24">
        <v>24</v>
      </c>
      <c r="M2215" s="23">
        <v>2</v>
      </c>
      <c r="N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>
        <v>2</v>
      </c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>
        <v>4</v>
      </c>
      <c r="AL2215" s="23"/>
      <c r="AM2215" s="23"/>
      <c r="AN2215" s="23"/>
      <c r="AO2215" s="23">
        <v>2</v>
      </c>
      <c r="AP2215" s="23">
        <v>2</v>
      </c>
      <c r="AQ2215" s="23"/>
      <c r="AR2215" s="23"/>
      <c r="AS2215" s="23"/>
      <c r="AT2215" s="23"/>
      <c r="AU2215" s="14" t="str">
        <f>HYPERLINK("http://www.openstreetmap.org/?mlat=32.6195&amp;mlon=43.9926&amp;zoom=12#map=12/32.6195/43.9926","Maplink1")</f>
        <v>Maplink1</v>
      </c>
      <c r="AV2215" s="14" t="str">
        <f>HYPERLINK("https://www.google.iq/maps/search/+32.6195,43.9926/@32.6195,43.9926,14z?hl=en","Maplink2")</f>
        <v>Maplink2</v>
      </c>
      <c r="AW2215" s="14" t="str">
        <f>HYPERLINK("http://www.bing.com/maps/?lvl=14&amp;sty=h&amp;cp=32.6195~43.9926&amp;sp=point.32.6195_43.9926_Hay Al Amel-8","Maplink3")</f>
        <v>Maplink3</v>
      </c>
    </row>
    <row r="2216" spans="1:49" ht="15" customHeight="1" x14ac:dyDescent="0.25">
      <c r="A2216" s="21">
        <v>25353</v>
      </c>
      <c r="B2216" s="22" t="s">
        <v>16</v>
      </c>
      <c r="C2216" s="22" t="s">
        <v>16</v>
      </c>
      <c r="D2216" s="22" t="s">
        <v>4196</v>
      </c>
      <c r="E2216" s="22" t="s">
        <v>4197</v>
      </c>
      <c r="F2216" s="22">
        <v>32.630384475900001</v>
      </c>
      <c r="G2216" s="22">
        <v>43.981992714100002</v>
      </c>
      <c r="H2216" s="21" t="s">
        <v>3858</v>
      </c>
      <c r="I2216" s="21" t="s">
        <v>3934</v>
      </c>
      <c r="J2216" s="21"/>
      <c r="K2216" s="24">
        <v>8</v>
      </c>
      <c r="L2216" s="24">
        <v>48</v>
      </c>
      <c r="M2216" s="23">
        <v>5</v>
      </c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>
        <v>3</v>
      </c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>
        <v>8</v>
      </c>
      <c r="AL2216" s="23"/>
      <c r="AM2216" s="23"/>
      <c r="AN2216" s="23"/>
      <c r="AO2216" s="23"/>
      <c r="AP2216" s="23">
        <v>3</v>
      </c>
      <c r="AQ2216" s="23">
        <v>5</v>
      </c>
      <c r="AR2216" s="23"/>
      <c r="AS2216" s="23"/>
      <c r="AT2216" s="23"/>
      <c r="AU2216" s="14" t="str">
        <f>HYPERLINK("http://www.openstreetmap.org/?mlat=32.6196&amp;mlon=43.9925&amp;zoom=12#map=12/32.6196/43.9925","Maplink1")</f>
        <v>Maplink1</v>
      </c>
      <c r="AV2216" s="14" t="str">
        <f>HYPERLINK("https://www.google.iq/maps/search/+32.6196,43.9925/@32.6196,43.9925,14z?hl=en","Maplink2")</f>
        <v>Maplink2</v>
      </c>
      <c r="AW2216" s="14" t="str">
        <f>HYPERLINK("http://www.bing.com/maps/?lvl=14&amp;sty=h&amp;cp=32.6196~43.9925&amp;sp=point.32.6196_43.9925_Hay Al Amel-9","Maplink3")</f>
        <v>Maplink3</v>
      </c>
    </row>
    <row r="2217" spans="1:49" ht="15" customHeight="1" x14ac:dyDescent="0.25">
      <c r="A2217" s="21">
        <v>23495</v>
      </c>
      <c r="B2217" s="22" t="s">
        <v>16</v>
      </c>
      <c r="C2217" s="22" t="s">
        <v>16</v>
      </c>
      <c r="D2217" s="22" t="s">
        <v>4198</v>
      </c>
      <c r="E2217" s="22" t="s">
        <v>4199</v>
      </c>
      <c r="F2217" s="22">
        <v>32.622413998500001</v>
      </c>
      <c r="G2217" s="22">
        <v>43.988825138700001</v>
      </c>
      <c r="H2217" s="21" t="s">
        <v>3858</v>
      </c>
      <c r="I2217" s="21" t="s">
        <v>3934</v>
      </c>
      <c r="J2217" s="21" t="s">
        <v>4200</v>
      </c>
      <c r="K2217" s="24">
        <v>6</v>
      </c>
      <c r="L2217" s="24">
        <v>36</v>
      </c>
      <c r="M2217" s="23">
        <v>6</v>
      </c>
      <c r="N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>
        <v>6</v>
      </c>
      <c r="AL2217" s="23"/>
      <c r="AM2217" s="23"/>
      <c r="AN2217" s="23"/>
      <c r="AO2217" s="23">
        <v>6</v>
      </c>
      <c r="AP2217" s="23"/>
      <c r="AQ2217" s="23"/>
      <c r="AR2217" s="23"/>
      <c r="AS2217" s="23"/>
      <c r="AT2217" s="23"/>
      <c r="AU2217" s="14" t="str">
        <f>HYPERLINK("http://www.openstreetmap.org/?mlat=32.6193&amp;mlon=43.9852&amp;zoom=12#map=12/32.6193/43.9852","Maplink1")</f>
        <v>Maplink1</v>
      </c>
      <c r="AV2217" s="14" t="str">
        <f>HYPERLINK("https://www.google.iq/maps/search/+32.6193,43.9852/@32.6193,43.9852,14z?hl=en","Maplink2")</f>
        <v>Maplink2</v>
      </c>
      <c r="AW2217" s="14" t="str">
        <f>HYPERLINK("http://www.bing.com/maps/?lvl=14&amp;sty=h&amp;cp=32.6193~43.9852&amp;sp=point.32.6193_43.9852_Hay Al Amil-5","Maplink3")</f>
        <v>Maplink3</v>
      </c>
    </row>
    <row r="2218" spans="1:49" ht="15" customHeight="1" x14ac:dyDescent="0.25">
      <c r="A2218" s="21">
        <v>23594</v>
      </c>
      <c r="B2218" s="22" t="s">
        <v>16</v>
      </c>
      <c r="C2218" s="22" t="s">
        <v>16</v>
      </c>
      <c r="D2218" s="22" t="s">
        <v>4201</v>
      </c>
      <c r="E2218" s="22" t="s">
        <v>4202</v>
      </c>
      <c r="F2218" s="22">
        <v>32.581200683500001</v>
      </c>
      <c r="G2218" s="22">
        <v>43.995433933999998</v>
      </c>
      <c r="H2218" s="21" t="s">
        <v>3858</v>
      </c>
      <c r="I2218" s="21" t="s">
        <v>3934</v>
      </c>
      <c r="J2218" s="21" t="s">
        <v>4203</v>
      </c>
      <c r="K2218" s="24">
        <v>16</v>
      </c>
      <c r="L2218" s="24">
        <v>96</v>
      </c>
      <c r="M2218" s="23">
        <v>3</v>
      </c>
      <c r="N2218" s="23"/>
      <c r="O2218" s="23"/>
      <c r="P2218" s="23"/>
      <c r="Q2218" s="23"/>
      <c r="R2218" s="23">
        <v>2</v>
      </c>
      <c r="S2218" s="23"/>
      <c r="T2218" s="23"/>
      <c r="U2218" s="23"/>
      <c r="V2218" s="23"/>
      <c r="W2218" s="23"/>
      <c r="X2218" s="23"/>
      <c r="Y2218" s="23">
        <v>11</v>
      </c>
      <c r="Z2218" s="23"/>
      <c r="AA2218" s="23"/>
      <c r="AB2218" s="23"/>
      <c r="AC2218" s="23"/>
      <c r="AD2218" s="23"/>
      <c r="AE2218" s="23"/>
      <c r="AF2218" s="23">
        <v>2</v>
      </c>
      <c r="AG2218" s="23"/>
      <c r="AH2218" s="23"/>
      <c r="AI2218" s="23"/>
      <c r="AJ2218" s="23"/>
      <c r="AK2218" s="23">
        <v>14</v>
      </c>
      <c r="AL2218" s="23"/>
      <c r="AM2218" s="23"/>
      <c r="AN2218" s="23"/>
      <c r="AO2218" s="23">
        <v>3</v>
      </c>
      <c r="AP2218" s="23">
        <v>11</v>
      </c>
      <c r="AQ2218" s="23">
        <v>2</v>
      </c>
      <c r="AR2218" s="23"/>
      <c r="AS2218" s="23"/>
      <c r="AT2218" s="23"/>
      <c r="AU2218" s="14" t="str">
        <f>HYPERLINK("http://www.openstreetmap.org/?mlat=32.5829&amp;mlon=44.0027&amp;zoom=12#map=12/32.5829/44.0027","Maplink1")</f>
        <v>Maplink1</v>
      </c>
      <c r="AV2218" s="14" t="str">
        <f>HYPERLINK("https://www.google.iq/maps/search/+32.5829,44.0027/@32.5829,44.0027,14z?hl=en","Maplink2")</f>
        <v>Maplink2</v>
      </c>
      <c r="AW2218" s="14" t="str">
        <f>HYPERLINK("http://www.bing.com/maps/?lvl=14&amp;sty=h&amp;cp=32.5829~44.0027&amp;sp=point.32.5829_44.0027_Hay Al Atebba-354","Maplink3")</f>
        <v>Maplink3</v>
      </c>
    </row>
    <row r="2219" spans="1:49" ht="15" customHeight="1" x14ac:dyDescent="0.25">
      <c r="A2219" s="21">
        <v>25063</v>
      </c>
      <c r="B2219" s="22" t="s">
        <v>16</v>
      </c>
      <c r="C2219" s="22" t="s">
        <v>16</v>
      </c>
      <c r="D2219" s="22" t="s">
        <v>4204</v>
      </c>
      <c r="E2219" s="22" t="s">
        <v>995</v>
      </c>
      <c r="F2219" s="22">
        <v>32.600840237</v>
      </c>
      <c r="G2219" s="22">
        <v>44.0170472581</v>
      </c>
      <c r="H2219" s="21" t="s">
        <v>3858</v>
      </c>
      <c r="I2219" s="21" t="s">
        <v>3934</v>
      </c>
      <c r="J2219" s="21"/>
      <c r="K2219" s="24">
        <v>14</v>
      </c>
      <c r="L2219" s="24">
        <v>84</v>
      </c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>
        <v>14</v>
      </c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>
        <v>14</v>
      </c>
      <c r="AL2219" s="23"/>
      <c r="AM2219" s="23"/>
      <c r="AN2219" s="23"/>
      <c r="AO2219" s="23"/>
      <c r="AP2219" s="23">
        <v>14</v>
      </c>
      <c r="AQ2219" s="23"/>
      <c r="AR2219" s="23"/>
      <c r="AS2219" s="23"/>
      <c r="AT2219" s="23"/>
      <c r="AU2219" s="14" t="str">
        <f>HYPERLINK("http://www.openstreetmap.org/?mlat=32.5999&amp;mlon=44.0133&amp;zoom=12#map=12/32.5999/44.0133","Maplink1")</f>
        <v>Maplink1</v>
      </c>
      <c r="AV2219" s="14" t="str">
        <f>HYPERLINK("https://www.google.iq/maps/search/+32.5999,44.0133/@32.5999,44.0133,14z?hl=en","Maplink2")</f>
        <v>Maplink2</v>
      </c>
      <c r="AW2219" s="14" t="str">
        <f>HYPERLINK("http://www.bing.com/maps/?lvl=14&amp;sty=h&amp;cp=32.5999~44.0133&amp;sp=point.32.5999_44.0133_Hay Al Husain","Maplink3")</f>
        <v>Maplink3</v>
      </c>
    </row>
    <row r="2220" spans="1:49" ht="15" customHeight="1" x14ac:dyDescent="0.25">
      <c r="A2220" s="21">
        <v>25266</v>
      </c>
      <c r="B2220" s="22" t="s">
        <v>16</v>
      </c>
      <c r="C2220" s="22" t="s">
        <v>16</v>
      </c>
      <c r="D2220" s="22" t="s">
        <v>4205</v>
      </c>
      <c r="E2220" s="22" t="s">
        <v>2781</v>
      </c>
      <c r="F2220" s="22">
        <v>32.620710586199998</v>
      </c>
      <c r="G2220" s="22">
        <v>44.046729253599999</v>
      </c>
      <c r="H2220" s="21" t="s">
        <v>3858</v>
      </c>
      <c r="I2220" s="21" t="s">
        <v>3934</v>
      </c>
      <c r="J2220" s="21"/>
      <c r="K2220" s="24">
        <v>60</v>
      </c>
      <c r="L2220" s="24">
        <v>360</v>
      </c>
      <c r="M2220" s="23"/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>
        <v>60</v>
      </c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>
        <v>3</v>
      </c>
      <c r="AK2220" s="23">
        <v>57</v>
      </c>
      <c r="AL2220" s="23"/>
      <c r="AM2220" s="23"/>
      <c r="AN2220" s="23"/>
      <c r="AO2220" s="23"/>
      <c r="AP2220" s="23">
        <v>60</v>
      </c>
      <c r="AQ2220" s="23"/>
      <c r="AR2220" s="23"/>
      <c r="AS2220" s="23"/>
      <c r="AT2220" s="23"/>
      <c r="AU2220" s="14" t="str">
        <f>HYPERLINK("http://www.openstreetmap.org/?mlat=32.3712&amp;mlon=44.0244&amp;zoom=12#map=12/32.3712/44.0244","Maplink1")</f>
        <v>Maplink1</v>
      </c>
      <c r="AV2220" s="14" t="str">
        <f>HYPERLINK("https://www.google.iq/maps/search/+32.3712,44.0244/@32.3712,44.0244,14z?hl=en","Maplink2")</f>
        <v>Maplink2</v>
      </c>
      <c r="AW2220" s="14" t="str">
        <f>HYPERLINK("http://www.bing.com/maps/?lvl=14&amp;sty=h&amp;cp=32.3712~44.0244&amp;sp=point.32.3712_44.0244_Hay Al Karrar","Maplink3")</f>
        <v>Maplink3</v>
      </c>
    </row>
    <row r="2221" spans="1:49" ht="15" customHeight="1" x14ac:dyDescent="0.25">
      <c r="A2221" s="21">
        <v>22087</v>
      </c>
      <c r="B2221" s="22" t="s">
        <v>16</v>
      </c>
      <c r="C2221" s="22" t="s">
        <v>16</v>
      </c>
      <c r="D2221" s="22" t="s">
        <v>4206</v>
      </c>
      <c r="E2221" s="22" t="s">
        <v>429</v>
      </c>
      <c r="F2221" s="22">
        <v>32.591736903399998</v>
      </c>
      <c r="G2221" s="22">
        <v>44.046609727700002</v>
      </c>
      <c r="H2221" s="21" t="s">
        <v>3858</v>
      </c>
      <c r="I2221" s="21" t="s">
        <v>3934</v>
      </c>
      <c r="J2221" s="21" t="s">
        <v>4207</v>
      </c>
      <c r="K2221" s="24">
        <v>28</v>
      </c>
      <c r="L2221" s="24">
        <v>168</v>
      </c>
      <c r="M2221" s="23">
        <v>1</v>
      </c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27</v>
      </c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>
        <v>1</v>
      </c>
      <c r="AK2221" s="23">
        <v>27</v>
      </c>
      <c r="AL2221" s="23"/>
      <c r="AM2221" s="23"/>
      <c r="AN2221" s="23"/>
      <c r="AO2221" s="23"/>
      <c r="AP2221" s="23">
        <v>28</v>
      </c>
      <c r="AQ2221" s="23"/>
      <c r="AR2221" s="23"/>
      <c r="AS2221" s="23"/>
      <c r="AT2221" s="23"/>
      <c r="AU2221" s="14" t="str">
        <f>HYPERLINK("http://www.openstreetmap.org/?mlat=32.5905&amp;mlon=44.0468&amp;zoom=12#map=12/32.5905/44.0468","Maplink1")</f>
        <v>Maplink1</v>
      </c>
      <c r="AV2221" s="14" t="str">
        <f>HYPERLINK("https://www.google.iq/maps/search/+32.5905,44.0468/@32.5905,44.0468,14z?hl=en","Maplink2")</f>
        <v>Maplink2</v>
      </c>
      <c r="AW2221" s="14" t="str">
        <f>HYPERLINK("http://www.bing.com/maps/?lvl=14&amp;sty=h&amp;cp=32.5905~44.0468&amp;sp=point.32.5905_44.0468_Al Angaa","Maplink3")</f>
        <v>Maplink3</v>
      </c>
    </row>
    <row r="2222" spans="1:49" ht="15" customHeight="1" x14ac:dyDescent="0.25">
      <c r="A2222" s="21">
        <v>22716</v>
      </c>
      <c r="B2222" s="22" t="s">
        <v>16</v>
      </c>
      <c r="C2222" s="22" t="s">
        <v>16</v>
      </c>
      <c r="D2222" s="22" t="s">
        <v>4208</v>
      </c>
      <c r="E2222" s="22" t="s">
        <v>4209</v>
      </c>
      <c r="F2222" s="22">
        <v>32.637197915500003</v>
      </c>
      <c r="G2222" s="22">
        <v>43.991745226100001</v>
      </c>
      <c r="H2222" s="21" t="s">
        <v>3858</v>
      </c>
      <c r="I2222" s="21" t="s">
        <v>3934</v>
      </c>
      <c r="J2222" s="21" t="s">
        <v>4210</v>
      </c>
      <c r="K2222" s="24">
        <v>11</v>
      </c>
      <c r="L2222" s="24">
        <v>66</v>
      </c>
      <c r="M2222" s="23">
        <v>1</v>
      </c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>
        <v>10</v>
      </c>
      <c r="Z2222" s="23"/>
      <c r="AA2222" s="23"/>
      <c r="AB2222" s="23"/>
      <c r="AC2222" s="23"/>
      <c r="AD2222" s="23"/>
      <c r="AE2222" s="23"/>
      <c r="AF2222" s="23">
        <v>1</v>
      </c>
      <c r="AG2222" s="23"/>
      <c r="AH2222" s="23"/>
      <c r="AI2222" s="23"/>
      <c r="AJ2222" s="23"/>
      <c r="AK2222" s="23">
        <v>10</v>
      </c>
      <c r="AL2222" s="23"/>
      <c r="AM2222" s="23"/>
      <c r="AN2222" s="23"/>
      <c r="AO2222" s="23"/>
      <c r="AP2222" s="23">
        <v>10</v>
      </c>
      <c r="AQ2222" s="23"/>
      <c r="AR2222" s="23"/>
      <c r="AS2222" s="23">
        <v>1</v>
      </c>
      <c r="AT2222" s="23"/>
      <c r="AU2222" s="14" t="str">
        <f>HYPERLINK("http://www.openstreetmap.org/?mlat=32.6368&amp;mlon=43.99&amp;zoom=12#map=12/32.6368/43.99","Maplink1")</f>
        <v>Maplink1</v>
      </c>
      <c r="AV2222" s="14" t="str">
        <f>HYPERLINK("https://www.google.iq/maps/search/+32.6368,43.99/@32.6368,43.99,14z?hl=en","Maplink2")</f>
        <v>Maplink2</v>
      </c>
      <c r="AW2222" s="14" t="str">
        <f>HYPERLINK("http://www.bing.com/maps/?lvl=14&amp;sty=h&amp;cp=32.6368~43.99&amp;sp=point.32.6368_43.99_Hay Al Mujtaba","Maplink3")</f>
        <v>Maplink3</v>
      </c>
    </row>
    <row r="2223" spans="1:49" ht="15" customHeight="1" x14ac:dyDescent="0.25">
      <c r="A2223" s="21">
        <v>25888</v>
      </c>
      <c r="B2223" s="22" t="s">
        <v>16</v>
      </c>
      <c r="C2223" s="22" t="s">
        <v>16</v>
      </c>
      <c r="D2223" s="22" t="s">
        <v>4211</v>
      </c>
      <c r="E2223" s="22" t="s">
        <v>4212</v>
      </c>
      <c r="F2223" s="22">
        <v>32.6020604745</v>
      </c>
      <c r="G2223" s="22">
        <v>43.979311846199998</v>
      </c>
      <c r="H2223" s="21" t="s">
        <v>3858</v>
      </c>
      <c r="I2223" s="21" t="s">
        <v>3934</v>
      </c>
      <c r="J2223" s="21"/>
      <c r="K2223" s="24">
        <v>9</v>
      </c>
      <c r="L2223" s="24">
        <v>54</v>
      </c>
      <c r="M2223" s="23">
        <v>2</v>
      </c>
      <c r="N2223" s="23"/>
      <c r="O2223" s="23"/>
      <c r="P2223" s="23"/>
      <c r="Q2223" s="23"/>
      <c r="R2223" s="23"/>
      <c r="S2223" s="23"/>
      <c r="T2223" s="23"/>
      <c r="U2223" s="23">
        <v>2</v>
      </c>
      <c r="V2223" s="23"/>
      <c r="W2223" s="23"/>
      <c r="X2223" s="23"/>
      <c r="Y2223" s="23">
        <v>4</v>
      </c>
      <c r="Z2223" s="23"/>
      <c r="AA2223" s="23">
        <v>1</v>
      </c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>
        <v>9</v>
      </c>
      <c r="AL2223" s="23"/>
      <c r="AM2223" s="23"/>
      <c r="AN2223" s="23"/>
      <c r="AO2223" s="23"/>
      <c r="AP2223" s="23">
        <v>5</v>
      </c>
      <c r="AQ2223" s="23"/>
      <c r="AR2223" s="23"/>
      <c r="AS2223" s="23">
        <v>4</v>
      </c>
      <c r="AT2223" s="23"/>
      <c r="AU2223" s="14" t="str">
        <f>HYPERLINK("http://www.openstreetmap.org/?mlat=32.6134&amp;mlon=43.9743&amp;zoom=12#map=12/32.6134/43.9743","Maplink1")</f>
        <v>Maplink1</v>
      </c>
      <c r="AV2223" s="14" t="str">
        <f>HYPERLINK("https://www.google.iq/maps/search/+32.6134,43.9743/@32.6134,43.9743,14z?hl=en","Maplink2")</f>
        <v>Maplink2</v>
      </c>
      <c r="AW2223" s="14" t="str">
        <f>HYPERLINK("http://www.bing.com/maps/?lvl=14&amp;sty=h&amp;cp=32.6134~43.9743&amp;sp=point.32.6134_43.9743_Hay Al Nidhal 1","Maplink3")</f>
        <v>Maplink3</v>
      </c>
    </row>
    <row r="2224" spans="1:49" ht="15" customHeight="1" x14ac:dyDescent="0.25">
      <c r="A2224" s="21">
        <v>25889</v>
      </c>
      <c r="B2224" s="22" t="s">
        <v>16</v>
      </c>
      <c r="C2224" s="22" t="s">
        <v>16</v>
      </c>
      <c r="D2224" s="22" t="s">
        <v>4213</v>
      </c>
      <c r="E2224" s="22" t="s">
        <v>4214</v>
      </c>
      <c r="F2224" s="22">
        <v>32.600917308600003</v>
      </c>
      <c r="G2224" s="22">
        <v>43.975820783499998</v>
      </c>
      <c r="H2224" s="21" t="s">
        <v>3858</v>
      </c>
      <c r="I2224" s="21" t="s">
        <v>3934</v>
      </c>
      <c r="J2224" s="21"/>
      <c r="K2224" s="24">
        <v>3</v>
      </c>
      <c r="L2224" s="24">
        <v>18</v>
      </c>
      <c r="M2224" s="23"/>
      <c r="N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>
        <v>3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3</v>
      </c>
      <c r="AL2224" s="23"/>
      <c r="AM2224" s="23"/>
      <c r="AN2224" s="23"/>
      <c r="AO2224" s="23"/>
      <c r="AP2224" s="23">
        <v>3</v>
      </c>
      <c r="AQ2224" s="23"/>
      <c r="AR2224" s="23"/>
      <c r="AS2224" s="23"/>
      <c r="AT2224" s="23"/>
      <c r="AU2224" s="14" t="str">
        <f>HYPERLINK("http://www.openstreetmap.org/?mlat=32.6095&amp;mlon=42.9768&amp;zoom=12#map=12/32.6095/42.9768","Maplink1")</f>
        <v>Maplink1</v>
      </c>
      <c r="AV2224" s="14" t="str">
        <f>HYPERLINK("https://www.google.iq/maps/search/+32.6095,42.9768/@32.6095,42.9768,14z?hl=en","Maplink2")</f>
        <v>Maplink2</v>
      </c>
      <c r="AW2224" s="14" t="str">
        <f>HYPERLINK("http://www.bing.com/maps/?lvl=14&amp;sty=h&amp;cp=32.6095~42.9768&amp;sp=point.32.6095_42.9768_Hay Al Nidhal 2","Maplink3")</f>
        <v>Maplink3</v>
      </c>
    </row>
    <row r="2225" spans="1:49" ht="15" customHeight="1" x14ac:dyDescent="0.25">
      <c r="A2225" s="21">
        <v>25062</v>
      </c>
      <c r="B2225" s="22" t="s">
        <v>16</v>
      </c>
      <c r="C2225" s="22" t="s">
        <v>16</v>
      </c>
      <c r="D2225" s="22" t="s">
        <v>8879</v>
      </c>
      <c r="E2225" s="22" t="s">
        <v>893</v>
      </c>
      <c r="F2225" s="22">
        <v>32.649604976200003</v>
      </c>
      <c r="G2225" s="22">
        <v>43.987473473000001</v>
      </c>
      <c r="H2225" s="21" t="s">
        <v>3858</v>
      </c>
      <c r="I2225" s="21" t="s">
        <v>3934</v>
      </c>
      <c r="J2225" s="21"/>
      <c r="K2225" s="24">
        <v>13</v>
      </c>
      <c r="L2225" s="24">
        <v>78</v>
      </c>
      <c r="M2225" s="23"/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>
        <v>13</v>
      </c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>
        <v>13</v>
      </c>
      <c r="AL2225" s="23"/>
      <c r="AM2225" s="23"/>
      <c r="AN2225" s="23"/>
      <c r="AO2225" s="23"/>
      <c r="AP2225" s="23">
        <v>13</v>
      </c>
      <c r="AQ2225" s="23"/>
      <c r="AR2225" s="23"/>
      <c r="AS2225" s="23"/>
      <c r="AT2225" s="23"/>
      <c r="AU2225" s="14" t="str">
        <f>HYPERLINK("http://www.openstreetmap.org/?mlat=32.6535&amp;mlon=43.9845&amp;zoom=12#map=12/32.6535/43.9845","Maplink1")</f>
        <v>Maplink1</v>
      </c>
      <c r="AV2225" s="14" t="str">
        <f>HYPERLINK("https://www.google.iq/maps/search/+32.6535,43.9845/@32.6535,43.9845,14z?hl=en","Maplink2")</f>
        <v>Maplink2</v>
      </c>
      <c r="AW2225" s="14" t="str">
        <f>HYPERLINK("http://www.bing.com/maps/?lvl=14&amp;sty=h&amp;cp=32.6535~43.9845&amp;sp=point.32.6535_43.9845_Al-Hurr-Hay Al Noor","Maplink3")</f>
        <v>Maplink3</v>
      </c>
    </row>
    <row r="2226" spans="1:49" ht="15" customHeight="1" x14ac:dyDescent="0.25">
      <c r="A2226" s="21">
        <v>25267</v>
      </c>
      <c r="B2226" s="22" t="s">
        <v>16</v>
      </c>
      <c r="C2226" s="22" t="s">
        <v>16</v>
      </c>
      <c r="D2226" s="22" t="s">
        <v>4215</v>
      </c>
      <c r="E2226" s="22" t="s">
        <v>1405</v>
      </c>
      <c r="F2226" s="22">
        <v>32.615894638</v>
      </c>
      <c r="G2226" s="22">
        <v>44.0430347621</v>
      </c>
      <c r="H2226" s="21" t="s">
        <v>3858</v>
      </c>
      <c r="I2226" s="21" t="s">
        <v>3934</v>
      </c>
      <c r="J2226" s="21"/>
      <c r="K2226" s="24">
        <v>37</v>
      </c>
      <c r="L2226" s="24">
        <v>222</v>
      </c>
      <c r="M2226" s="23">
        <v>7</v>
      </c>
      <c r="N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>
        <v>30</v>
      </c>
      <c r="Z2226" s="23"/>
      <c r="AA2226" s="23"/>
      <c r="AB2226" s="23"/>
      <c r="AC2226" s="23"/>
      <c r="AD2226" s="23"/>
      <c r="AE2226" s="23"/>
      <c r="AF2226" s="23"/>
      <c r="AG2226" s="23">
        <v>5</v>
      </c>
      <c r="AH2226" s="23"/>
      <c r="AI2226" s="23"/>
      <c r="AJ2226" s="23"/>
      <c r="AK2226" s="23">
        <v>32</v>
      </c>
      <c r="AL2226" s="23"/>
      <c r="AM2226" s="23"/>
      <c r="AN2226" s="23"/>
      <c r="AO2226" s="23"/>
      <c r="AP2226" s="23">
        <v>32</v>
      </c>
      <c r="AQ2226" s="23"/>
      <c r="AR2226" s="23"/>
      <c r="AS2226" s="23">
        <v>5</v>
      </c>
      <c r="AT2226" s="23"/>
      <c r="AU2226" s="14" t="str">
        <f>HYPERLINK("http://www.openstreetmap.org/?mlat=32.3642&amp;mlon=44.0245&amp;zoom=12#map=12/32.3642/44.0245","Maplink1")</f>
        <v>Maplink1</v>
      </c>
      <c r="AV2226" s="14" t="str">
        <f>HYPERLINK("https://www.google.iq/maps/search/+32.3642,44.0245/@32.3642,44.0245,14z?hl=en","Maplink2")</f>
        <v>Maplink2</v>
      </c>
      <c r="AW2226" s="14" t="str">
        <f>HYPERLINK("http://www.bing.com/maps/?lvl=14&amp;sty=h&amp;cp=32.3642~44.0245&amp;sp=point.32.3642_44.0245_Hay Al Rada","Maplink3")</f>
        <v>Maplink3</v>
      </c>
    </row>
    <row r="2227" spans="1:49" ht="15" customHeight="1" x14ac:dyDescent="0.25">
      <c r="A2227" s="21">
        <v>25555</v>
      </c>
      <c r="B2227" s="22" t="s">
        <v>16</v>
      </c>
      <c r="C2227" s="22" t="s">
        <v>16</v>
      </c>
      <c r="D2227" s="22" t="s">
        <v>8880</v>
      </c>
      <c r="E2227" s="22" t="s">
        <v>4014</v>
      </c>
      <c r="F2227" s="22">
        <v>32.609957233099998</v>
      </c>
      <c r="G2227" s="22">
        <v>43.973383996599999</v>
      </c>
      <c r="H2227" s="21" t="s">
        <v>3858</v>
      </c>
      <c r="I2227" s="21" t="s">
        <v>3934</v>
      </c>
      <c r="J2227" s="21"/>
      <c r="K2227" s="24">
        <v>21</v>
      </c>
      <c r="L2227" s="24">
        <v>126</v>
      </c>
      <c r="M2227" s="23">
        <v>3</v>
      </c>
      <c r="N2227" s="23"/>
      <c r="O2227" s="23"/>
      <c r="P2227" s="23"/>
      <c r="Q2227" s="23"/>
      <c r="R2227" s="23"/>
      <c r="S2227" s="23"/>
      <c r="T2227" s="23"/>
      <c r="U2227" s="23">
        <v>8</v>
      </c>
      <c r="V2227" s="23"/>
      <c r="W2227" s="23"/>
      <c r="X2227" s="23"/>
      <c r="Y2227" s="23">
        <v>8</v>
      </c>
      <c r="Z2227" s="23"/>
      <c r="AA2227" s="23">
        <v>2</v>
      </c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>
        <v>21</v>
      </c>
      <c r="AL2227" s="23"/>
      <c r="AM2227" s="23"/>
      <c r="AN2227" s="23"/>
      <c r="AO2227" s="23">
        <v>3</v>
      </c>
      <c r="AP2227" s="23">
        <v>16</v>
      </c>
      <c r="AQ2227" s="23">
        <v>2</v>
      </c>
      <c r="AR2227" s="23"/>
      <c r="AS2227" s="23"/>
      <c r="AT2227" s="23"/>
      <c r="AU2227" s="14" t="str">
        <f>HYPERLINK("http://www.openstreetmap.org/?mlat=32.602&amp;mlon=43.9884&amp;zoom=12#map=12/32.602/43.9884","Maplink1")</f>
        <v>Maplink1</v>
      </c>
      <c r="AV2227" s="14" t="str">
        <f>HYPERLINK("https://www.google.iq/maps/search/+32.602,43.9884/@32.602,43.9884,14z?hl=en","Maplink2")</f>
        <v>Maplink2</v>
      </c>
      <c r="AW2227" s="14" t="str">
        <f>HYPERLINK("http://www.bing.com/maps/?lvl=14&amp;sty=h&amp;cp=32.602~43.9884&amp;sp=point.32.602_43.9884_Al Hurr-Hay Al Rafdean 2","Maplink3")</f>
        <v>Maplink3</v>
      </c>
    </row>
    <row r="2228" spans="1:49" ht="15" customHeight="1" x14ac:dyDescent="0.25">
      <c r="A2228" s="21">
        <v>25261</v>
      </c>
      <c r="B2228" s="22" t="s">
        <v>16</v>
      </c>
      <c r="C2228" s="22" t="s">
        <v>16</v>
      </c>
      <c r="D2228" s="22" t="s">
        <v>4217</v>
      </c>
      <c r="E2228" s="22" t="s">
        <v>261</v>
      </c>
      <c r="F2228" s="22">
        <v>32.601061058200003</v>
      </c>
      <c r="G2228" s="22">
        <v>44.045349173200002</v>
      </c>
      <c r="H2228" s="21" t="s">
        <v>3858</v>
      </c>
      <c r="I2228" s="21" t="s">
        <v>3934</v>
      </c>
      <c r="J2228" s="21"/>
      <c r="K2228" s="24">
        <v>6</v>
      </c>
      <c r="L2228" s="24">
        <v>36</v>
      </c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6</v>
      </c>
      <c r="Z2228" s="23"/>
      <c r="AA2228" s="23"/>
      <c r="AB2228" s="23"/>
      <c r="AC2228" s="23"/>
      <c r="AD2228" s="23"/>
      <c r="AE2228" s="23"/>
      <c r="AF2228" s="23">
        <v>1</v>
      </c>
      <c r="AG2228" s="23"/>
      <c r="AH2228" s="23"/>
      <c r="AI2228" s="23"/>
      <c r="AJ2228" s="23"/>
      <c r="AK2228" s="23">
        <v>5</v>
      </c>
      <c r="AL2228" s="23"/>
      <c r="AM2228" s="23"/>
      <c r="AN2228" s="23"/>
      <c r="AO2228" s="23"/>
      <c r="AP2228" s="23">
        <v>6</v>
      </c>
      <c r="AQ2228" s="23"/>
      <c r="AR2228" s="23"/>
      <c r="AS2228" s="23"/>
      <c r="AT2228" s="23"/>
      <c r="AU2228" s="14" t="str">
        <f>HYPERLINK("http://www.openstreetmap.org/?mlat=32.3601&amp;mlon=44.0253&amp;zoom=12#map=12/32.3601/44.0253","Maplink1")</f>
        <v>Maplink1</v>
      </c>
      <c r="AV2228" s="14" t="str">
        <f>HYPERLINK("https://www.google.iq/maps/search/+32.3601,44.0253/@32.3601,44.0253,14z?hl=en","Maplink2")</f>
        <v>Maplink2</v>
      </c>
      <c r="AW2228" s="14" t="str">
        <f>HYPERLINK("http://www.bing.com/maps/?lvl=14&amp;sty=h&amp;cp=32.3601~44.0253&amp;sp=point.32.3601_44.0253_Hay Al Shorta","Maplink3")</f>
        <v>Maplink3</v>
      </c>
    </row>
    <row r="2229" spans="1:49" ht="15" customHeight="1" x14ac:dyDescent="0.25">
      <c r="A2229" s="21">
        <v>14134</v>
      </c>
      <c r="B2229" s="22" t="s">
        <v>16</v>
      </c>
      <c r="C2229" s="22" t="s">
        <v>16</v>
      </c>
      <c r="D2229" s="22" t="s">
        <v>4221</v>
      </c>
      <c r="E2229" s="22" t="s">
        <v>1012</v>
      </c>
      <c r="F2229" s="22">
        <v>32.637175703399997</v>
      </c>
      <c r="G2229" s="22">
        <v>44.050012696499998</v>
      </c>
      <c r="H2229" s="21" t="s">
        <v>3858</v>
      </c>
      <c r="I2229" s="21" t="s">
        <v>3934</v>
      </c>
      <c r="J2229" s="21" t="s">
        <v>4222</v>
      </c>
      <c r="K2229" s="24">
        <v>37</v>
      </c>
      <c r="L2229" s="24">
        <v>222</v>
      </c>
      <c r="M2229" s="23">
        <v>1</v>
      </c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>
        <v>26</v>
      </c>
      <c r="Z2229" s="23"/>
      <c r="AA2229" s="23">
        <v>10</v>
      </c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>
        <v>37</v>
      </c>
      <c r="AL2229" s="23"/>
      <c r="AM2229" s="23"/>
      <c r="AN2229" s="23"/>
      <c r="AO2229" s="23">
        <v>1</v>
      </c>
      <c r="AP2229" s="23">
        <v>26</v>
      </c>
      <c r="AQ2229" s="23">
        <v>10</v>
      </c>
      <c r="AR2229" s="23"/>
      <c r="AS2229" s="23"/>
      <c r="AT2229" s="23"/>
      <c r="AU2229" s="14" t="str">
        <f>HYPERLINK("http://www.openstreetmap.org/?mlat=32.6356&amp;mlon=44.0491&amp;zoom=12#map=12/32.6356/44.0491","Maplink1")</f>
        <v>Maplink1</v>
      </c>
      <c r="AV2229" s="14" t="str">
        <f>HYPERLINK("https://www.google.iq/maps/search/+32.6356,44.0491/@32.6356,44.0491,14z?hl=en","Maplink2")</f>
        <v>Maplink2</v>
      </c>
      <c r="AW2229" s="14" t="str">
        <f>HYPERLINK("http://www.bing.com/maps/?lvl=14&amp;sty=h&amp;cp=32.6356~44.0491&amp;sp=point.32.6356_44.0491_Hay Al-Abbas","Maplink3")</f>
        <v>Maplink3</v>
      </c>
    </row>
    <row r="2230" spans="1:49" ht="15" customHeight="1" x14ac:dyDescent="0.25">
      <c r="A2230" s="21">
        <v>14138</v>
      </c>
      <c r="B2230" s="22" t="s">
        <v>16</v>
      </c>
      <c r="C2230" s="22" t="s">
        <v>16</v>
      </c>
      <c r="D2230" s="22" t="s">
        <v>4223</v>
      </c>
      <c r="E2230" s="22" t="s">
        <v>4224</v>
      </c>
      <c r="F2230" s="22">
        <v>32.610799907699999</v>
      </c>
      <c r="G2230" s="22">
        <v>43.968964135299998</v>
      </c>
      <c r="H2230" s="21" t="s">
        <v>3858</v>
      </c>
      <c r="I2230" s="21" t="s">
        <v>3934</v>
      </c>
      <c r="J2230" s="21" t="s">
        <v>4225</v>
      </c>
      <c r="K2230" s="24">
        <v>11</v>
      </c>
      <c r="L2230" s="24">
        <v>66</v>
      </c>
      <c r="M2230" s="23">
        <v>4</v>
      </c>
      <c r="N2230" s="23"/>
      <c r="O2230" s="23"/>
      <c r="P2230" s="23"/>
      <c r="Q2230" s="23"/>
      <c r="R2230" s="23"/>
      <c r="S2230" s="23"/>
      <c r="T2230" s="23"/>
      <c r="U2230" s="23">
        <v>5</v>
      </c>
      <c r="V2230" s="23"/>
      <c r="W2230" s="23"/>
      <c r="X2230" s="23"/>
      <c r="Y2230" s="23">
        <v>2</v>
      </c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>
        <v>11</v>
      </c>
      <c r="AL2230" s="23"/>
      <c r="AM2230" s="23"/>
      <c r="AN2230" s="23"/>
      <c r="AO2230" s="23"/>
      <c r="AP2230" s="23">
        <v>7</v>
      </c>
      <c r="AQ2230" s="23"/>
      <c r="AR2230" s="23"/>
      <c r="AS2230" s="23">
        <v>4</v>
      </c>
      <c r="AT2230" s="23"/>
      <c r="AU2230" s="14" t="str">
        <f>HYPERLINK("http://www.openstreetmap.org/?mlat=32.6356&amp;mlon=43.9844&amp;zoom=12#map=12/32.6356/43.9844","Maplink1")</f>
        <v>Maplink1</v>
      </c>
      <c r="AV2230" s="14" t="str">
        <f>HYPERLINK("https://www.google.iq/maps/search/+32.6356,43.9844/@32.6356,43.9844,14z?hl=en","Maplink2")</f>
        <v>Maplink2</v>
      </c>
      <c r="AW2230" s="14" t="str">
        <f>HYPERLINK("http://www.bing.com/maps/?lvl=14&amp;sty=h&amp;cp=32.6356~43.9844&amp;sp=point.32.6356_43.9844_Hay al-amein al-dakheily","Maplink3")</f>
        <v>Maplink3</v>
      </c>
    </row>
    <row r="2231" spans="1:49" ht="15" customHeight="1" x14ac:dyDescent="0.25">
      <c r="A2231" s="21">
        <v>14104</v>
      </c>
      <c r="B2231" s="22" t="s">
        <v>16</v>
      </c>
      <c r="C2231" s="22" t="s">
        <v>16</v>
      </c>
      <c r="D2231" s="22" t="s">
        <v>4226</v>
      </c>
      <c r="E2231" s="22" t="s">
        <v>4227</v>
      </c>
      <c r="F2231" s="22">
        <v>32.610994451700002</v>
      </c>
      <c r="G2231" s="22">
        <v>43.996990285800003</v>
      </c>
      <c r="H2231" s="21" t="s">
        <v>3858</v>
      </c>
      <c r="I2231" s="21" t="s">
        <v>3934</v>
      </c>
      <c r="J2231" s="21" t="s">
        <v>4228</v>
      </c>
      <c r="K2231" s="24">
        <v>10</v>
      </c>
      <c r="L2231" s="24">
        <v>60</v>
      </c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>
        <v>10</v>
      </c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>
        <v>10</v>
      </c>
      <c r="AL2231" s="23"/>
      <c r="AM2231" s="23"/>
      <c r="AN2231" s="23"/>
      <c r="AO2231" s="23"/>
      <c r="AP2231" s="23">
        <v>10</v>
      </c>
      <c r="AQ2231" s="23"/>
      <c r="AR2231" s="23"/>
      <c r="AS2231" s="23"/>
      <c r="AT2231" s="23"/>
      <c r="AU2231" s="14" t="str">
        <f>HYPERLINK("http://www.openstreetmap.org/?mlat=32.6161&amp;mlon=43.9922&amp;zoom=12#map=12/32.6161/43.9922","Maplink1")</f>
        <v>Maplink1</v>
      </c>
      <c r="AV2231" s="14" t="str">
        <f>HYPERLINK("https://www.google.iq/maps/search/+32.6161,43.9922/@32.6161,43.9922,14z?hl=en","Maplink2")</f>
        <v>Maplink2</v>
      </c>
      <c r="AW2231" s="14" t="str">
        <f>HYPERLINK("http://www.bing.com/maps/?lvl=14&amp;sty=h&amp;cp=32.6161~43.9922&amp;sp=point.32.6161_43.9922_Hay al-Amel-1","Maplink3")</f>
        <v>Maplink3</v>
      </c>
    </row>
    <row r="2232" spans="1:49" ht="15" customHeight="1" x14ac:dyDescent="0.25">
      <c r="A2232" s="21">
        <v>14060</v>
      </c>
      <c r="B2232" s="22" t="s">
        <v>16</v>
      </c>
      <c r="C2232" s="22" t="s">
        <v>16</v>
      </c>
      <c r="D2232" s="22" t="s">
        <v>4229</v>
      </c>
      <c r="E2232" s="22" t="s">
        <v>4230</v>
      </c>
      <c r="F2232" s="22">
        <v>32.591515956400002</v>
      </c>
      <c r="G2232" s="22">
        <v>44.0217446443</v>
      </c>
      <c r="H2232" s="21" t="s">
        <v>3858</v>
      </c>
      <c r="I2232" s="21" t="s">
        <v>3934</v>
      </c>
      <c r="J2232" s="21" t="s">
        <v>4231</v>
      </c>
      <c r="K2232" s="24">
        <v>16</v>
      </c>
      <c r="L2232" s="24">
        <v>96</v>
      </c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>
        <v>16</v>
      </c>
      <c r="Z2232" s="23"/>
      <c r="AA2232" s="23"/>
      <c r="AB2232" s="23"/>
      <c r="AC2232" s="23"/>
      <c r="AD2232" s="23"/>
      <c r="AE2232" s="23"/>
      <c r="AF2232" s="23">
        <v>6</v>
      </c>
      <c r="AG2232" s="23"/>
      <c r="AH2232" s="23"/>
      <c r="AI2232" s="23"/>
      <c r="AJ2232" s="23"/>
      <c r="AK2232" s="23">
        <v>10</v>
      </c>
      <c r="AL2232" s="23"/>
      <c r="AM2232" s="23"/>
      <c r="AN2232" s="23"/>
      <c r="AO2232" s="23"/>
      <c r="AP2232" s="23">
        <v>16</v>
      </c>
      <c r="AQ2232" s="23"/>
      <c r="AR2232" s="23"/>
      <c r="AS2232" s="23"/>
      <c r="AT2232" s="23"/>
      <c r="AU2232" s="14" t="str">
        <f>HYPERLINK("http://www.openstreetmap.org/?mlat=32.5917&amp;mlon=44.0217&amp;zoom=12#map=12/32.5917/44.0217","Maplink1")</f>
        <v>Maplink1</v>
      </c>
      <c r="AV2232" s="14" t="str">
        <f>HYPERLINK("https://www.google.iq/maps/search/+32.5917,44.0217/@32.5917,44.0217,14z?hl=en","Maplink2")</f>
        <v>Maplink2</v>
      </c>
      <c r="AW2232" s="14" t="str">
        <f>HYPERLINK("http://www.bing.com/maps/?lvl=14&amp;sty=h&amp;cp=32.5917~44.0217&amp;sp=point.32.5917_44.0217_Hay al-askan","Maplink3")</f>
        <v>Maplink3</v>
      </c>
    </row>
    <row r="2233" spans="1:49" ht="15" customHeight="1" x14ac:dyDescent="0.25">
      <c r="A2233" s="21">
        <v>14073</v>
      </c>
      <c r="B2233" s="22" t="s">
        <v>16</v>
      </c>
      <c r="C2233" s="22" t="s">
        <v>16</v>
      </c>
      <c r="D2233" s="22" t="s">
        <v>8881</v>
      </c>
      <c r="E2233" s="22" t="s">
        <v>4232</v>
      </c>
      <c r="F2233" s="22">
        <v>32.604507571100001</v>
      </c>
      <c r="G2233" s="22">
        <v>44.0295526385</v>
      </c>
      <c r="H2233" s="21" t="s">
        <v>3858</v>
      </c>
      <c r="I2233" s="21" t="s">
        <v>3934</v>
      </c>
      <c r="J2233" s="21" t="s">
        <v>4233</v>
      </c>
      <c r="K2233" s="24">
        <v>40</v>
      </c>
      <c r="L2233" s="24">
        <v>240</v>
      </c>
      <c r="M2233" s="23"/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>
        <v>40</v>
      </c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>
        <v>40</v>
      </c>
      <c r="AL2233" s="23"/>
      <c r="AM2233" s="23"/>
      <c r="AN2233" s="23"/>
      <c r="AO2233" s="23"/>
      <c r="AP2233" s="23">
        <v>40</v>
      </c>
      <c r="AQ2233" s="23"/>
      <c r="AR2233" s="23"/>
      <c r="AS2233" s="23"/>
      <c r="AT2233" s="23"/>
      <c r="AU2233" s="14" t="str">
        <f>HYPERLINK("http://www.openstreetmap.org/?mlat=32.6006&amp;mlon=44.0244&amp;zoom=12#map=12/32.6006/44.0244","Maplink1")</f>
        <v>Maplink1</v>
      </c>
      <c r="AV2233" s="14" t="str">
        <f>HYPERLINK("https://www.google.iq/maps/search/+32.6006,44.0244/@32.6006,44.0244,14z?hl=en","Maplink2")</f>
        <v>Maplink2</v>
      </c>
      <c r="AW2233" s="14" t="str">
        <f>HYPERLINK("http://www.bing.com/maps/?lvl=14&amp;sty=h&amp;cp=32.6006~44.0244&amp;sp=point.32.6006_44.0244_Hay al-baldeiah","Maplink3")</f>
        <v>Maplink3</v>
      </c>
    </row>
    <row r="2234" spans="1:49" ht="15" customHeight="1" x14ac:dyDescent="0.25">
      <c r="A2234" s="21">
        <v>24138</v>
      </c>
      <c r="B2234" s="22" t="s">
        <v>16</v>
      </c>
      <c r="C2234" s="22" t="s">
        <v>16</v>
      </c>
      <c r="D2234" s="22" t="s">
        <v>4234</v>
      </c>
      <c r="E2234" s="22" t="s">
        <v>1098</v>
      </c>
      <c r="F2234" s="22">
        <v>32.606042842400001</v>
      </c>
      <c r="G2234" s="22">
        <v>43.990164650600001</v>
      </c>
      <c r="H2234" s="21" t="s">
        <v>3858</v>
      </c>
      <c r="I2234" s="21" t="s">
        <v>3934</v>
      </c>
      <c r="J2234" s="21" t="s">
        <v>4235</v>
      </c>
      <c r="K2234" s="24">
        <v>8</v>
      </c>
      <c r="L2234" s="24">
        <v>48</v>
      </c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>
        <v>8</v>
      </c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>
        <v>8</v>
      </c>
      <c r="AL2234" s="23"/>
      <c r="AM2234" s="23"/>
      <c r="AN2234" s="23"/>
      <c r="AO2234" s="23"/>
      <c r="AP2234" s="23">
        <v>8</v>
      </c>
      <c r="AQ2234" s="23"/>
      <c r="AR2234" s="23"/>
      <c r="AS2234" s="23"/>
      <c r="AT2234" s="23"/>
      <c r="AU2234" s="14" t="str">
        <f>HYPERLINK("http://www.openstreetmap.org/?mlat=32.6053&amp;mlon=43.9931&amp;zoom=12#map=12/32.6053/43.9931","Maplink1")</f>
        <v>Maplink1</v>
      </c>
      <c r="AV2234" s="14" t="str">
        <f>HYPERLINK("https://www.google.iq/maps/search/+32.6053,43.9931/@32.6053,43.9931,14z?hl=en","Maplink2")</f>
        <v>Maplink2</v>
      </c>
      <c r="AW2234" s="14" t="str">
        <f>HYPERLINK("http://www.bing.com/maps/?lvl=14&amp;sty=h&amp;cp=32.6053~43.9931&amp;sp=point.32.6053_43.9931_Hay Al-Ghadeer","Maplink3")</f>
        <v>Maplink3</v>
      </c>
    </row>
    <row r="2235" spans="1:49" ht="15" customHeight="1" x14ac:dyDescent="0.25">
      <c r="A2235" s="21">
        <v>25344</v>
      </c>
      <c r="B2235" s="22" t="s">
        <v>16</v>
      </c>
      <c r="C2235" s="22" t="s">
        <v>16</v>
      </c>
      <c r="D2235" s="22" t="s">
        <v>4236</v>
      </c>
      <c r="E2235" s="22" t="s">
        <v>4237</v>
      </c>
      <c r="F2235" s="22">
        <v>32.608074741400003</v>
      </c>
      <c r="G2235" s="22">
        <v>43.989933226300003</v>
      </c>
      <c r="H2235" s="21" t="s">
        <v>3858</v>
      </c>
      <c r="I2235" s="21" t="s">
        <v>3934</v>
      </c>
      <c r="J2235" s="21"/>
      <c r="K2235" s="24">
        <v>10</v>
      </c>
      <c r="L2235" s="24">
        <v>60</v>
      </c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>
        <v>10</v>
      </c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>
        <v>10</v>
      </c>
      <c r="AL2235" s="23"/>
      <c r="AM2235" s="23"/>
      <c r="AN2235" s="23"/>
      <c r="AO2235" s="23"/>
      <c r="AP2235" s="23">
        <v>10</v>
      </c>
      <c r="AQ2235" s="23"/>
      <c r="AR2235" s="23"/>
      <c r="AS2235" s="23"/>
      <c r="AT2235" s="23"/>
      <c r="AU2235" s="14" t="str">
        <f>HYPERLINK("http://www.openstreetmap.org/?mlat=32.6103&amp;mlon=43.9856&amp;zoom=12#map=12/32.6103/43.9856","Maplink1")</f>
        <v>Maplink1</v>
      </c>
      <c r="AV2235" s="14" t="str">
        <f>HYPERLINK("https://www.google.iq/maps/search/+32.6103,43.9856/@32.6103,43.9856,14z?hl=en","Maplink2")</f>
        <v>Maplink2</v>
      </c>
      <c r="AW2235" s="14" t="str">
        <f>HYPERLINK("http://www.bing.com/maps/?lvl=14&amp;sty=h&amp;cp=32.6103~43.9856&amp;sp=point.32.6103_43.9856_Hay Al-Ghadeer 4","Maplink3")</f>
        <v>Maplink3</v>
      </c>
    </row>
    <row r="2236" spans="1:49" ht="15" customHeight="1" x14ac:dyDescent="0.25">
      <c r="A2236" s="21">
        <v>25345</v>
      </c>
      <c r="B2236" s="22" t="s">
        <v>16</v>
      </c>
      <c r="C2236" s="22" t="s">
        <v>16</v>
      </c>
      <c r="D2236" s="22" t="s">
        <v>4238</v>
      </c>
      <c r="E2236" s="22" t="s">
        <v>4239</v>
      </c>
      <c r="F2236" s="22">
        <v>32.606845074299997</v>
      </c>
      <c r="G2236" s="22">
        <v>43.987796343900001</v>
      </c>
      <c r="H2236" s="21" t="s">
        <v>3858</v>
      </c>
      <c r="I2236" s="21" t="s">
        <v>3934</v>
      </c>
      <c r="J2236" s="21"/>
      <c r="K2236" s="24">
        <v>13</v>
      </c>
      <c r="L2236" s="24">
        <v>78</v>
      </c>
      <c r="M2236" s="23"/>
      <c r="N2236" s="23"/>
      <c r="O2236" s="23">
        <v>1</v>
      </c>
      <c r="P2236" s="23"/>
      <c r="Q2236" s="23"/>
      <c r="R2236" s="23"/>
      <c r="S2236" s="23"/>
      <c r="T2236" s="23"/>
      <c r="U2236" s="23">
        <v>3</v>
      </c>
      <c r="V2236" s="23"/>
      <c r="W2236" s="23"/>
      <c r="X2236" s="23"/>
      <c r="Y2236" s="23">
        <v>9</v>
      </c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>
        <v>13</v>
      </c>
      <c r="AL2236" s="23"/>
      <c r="AM2236" s="23"/>
      <c r="AN2236" s="23"/>
      <c r="AO2236" s="23">
        <v>2</v>
      </c>
      <c r="AP2236" s="23">
        <v>9</v>
      </c>
      <c r="AQ2236" s="23">
        <v>2</v>
      </c>
      <c r="AR2236" s="23"/>
      <c r="AS2236" s="23"/>
      <c r="AT2236" s="23"/>
      <c r="AU2236" s="14" t="str">
        <f>HYPERLINK("http://www.openstreetmap.org/?mlat=32.6053&amp;mlon=43.9931&amp;zoom=12#map=12/32.6053/43.9931","Maplink1")</f>
        <v>Maplink1</v>
      </c>
      <c r="AV2236" s="14" t="str">
        <f>HYPERLINK("https://www.google.iq/maps/search/+32.6053,43.9931/@32.6053,43.9931,14z?hl=en","Maplink2")</f>
        <v>Maplink2</v>
      </c>
      <c r="AW2236" s="14" t="str">
        <f>HYPERLINK("http://www.bing.com/maps/?lvl=14&amp;sty=h&amp;cp=32.6053~43.9931&amp;sp=point.32.6053_43.9931_Hay Al-Ghadeer 5","Maplink3")</f>
        <v>Maplink3</v>
      </c>
    </row>
    <row r="2237" spans="1:49" ht="15" customHeight="1" x14ac:dyDescent="0.25">
      <c r="A2237" s="21">
        <v>25347</v>
      </c>
      <c r="B2237" s="22" t="s">
        <v>16</v>
      </c>
      <c r="C2237" s="22" t="s">
        <v>16</v>
      </c>
      <c r="D2237" s="22" t="s">
        <v>4240</v>
      </c>
      <c r="E2237" s="22" t="s">
        <v>4241</v>
      </c>
      <c r="F2237" s="22">
        <v>32.604223298800001</v>
      </c>
      <c r="G2237" s="22">
        <v>43.982393452899998</v>
      </c>
      <c r="H2237" s="21" t="s">
        <v>3858</v>
      </c>
      <c r="I2237" s="21" t="s">
        <v>3934</v>
      </c>
      <c r="J2237" s="21"/>
      <c r="K2237" s="24">
        <v>1</v>
      </c>
      <c r="L2237" s="24">
        <v>6</v>
      </c>
      <c r="M2237" s="23">
        <v>1</v>
      </c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>
        <v>1</v>
      </c>
      <c r="AL2237" s="23"/>
      <c r="AM2237" s="23"/>
      <c r="AN2237" s="23"/>
      <c r="AO2237" s="23">
        <v>1</v>
      </c>
      <c r="AP2237" s="23"/>
      <c r="AQ2237" s="23"/>
      <c r="AR2237" s="23"/>
      <c r="AS2237" s="23"/>
      <c r="AT2237" s="23"/>
      <c r="AU2237" s="14" t="str">
        <f>HYPERLINK("http://www.openstreetmap.org/?mlat=32.6053&amp;mlon=43.9921&amp;zoom=12#map=12/32.6053/43.9921","Maplink1")</f>
        <v>Maplink1</v>
      </c>
      <c r="AV2237" s="14" t="str">
        <f>HYPERLINK("https://www.google.iq/maps/search/+32.6053,43.9921/@32.6053,43.9921,14z?hl=en","Maplink2")</f>
        <v>Maplink2</v>
      </c>
      <c r="AW2237" s="14" t="str">
        <f>HYPERLINK("http://www.bing.com/maps/?lvl=14&amp;sty=h&amp;cp=32.6053~43.9921&amp;sp=point.32.6053_43.9921_Hay Al-Ghadeer 7","Maplink3")</f>
        <v>Maplink3</v>
      </c>
    </row>
    <row r="2238" spans="1:49" ht="15" customHeight="1" x14ac:dyDescent="0.25">
      <c r="A2238" s="21">
        <v>25348</v>
      </c>
      <c r="B2238" s="22" t="s">
        <v>16</v>
      </c>
      <c r="C2238" s="22" t="s">
        <v>16</v>
      </c>
      <c r="D2238" s="22" t="s">
        <v>4242</v>
      </c>
      <c r="E2238" s="22" t="s">
        <v>4243</v>
      </c>
      <c r="F2238" s="22">
        <v>32.602557605100003</v>
      </c>
      <c r="G2238" s="22">
        <v>43.982474338300001</v>
      </c>
      <c r="H2238" s="21" t="s">
        <v>3858</v>
      </c>
      <c r="I2238" s="21" t="s">
        <v>3934</v>
      </c>
      <c r="J2238" s="21"/>
      <c r="K2238" s="24">
        <v>4</v>
      </c>
      <c r="L2238" s="24">
        <v>24</v>
      </c>
      <c r="M2238" s="23">
        <v>2</v>
      </c>
      <c r="N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>
        <v>2</v>
      </c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>
        <v>4</v>
      </c>
      <c r="AL2238" s="23"/>
      <c r="AM2238" s="23"/>
      <c r="AN2238" s="23"/>
      <c r="AO2238" s="23">
        <v>2</v>
      </c>
      <c r="AP2238" s="23">
        <v>2</v>
      </c>
      <c r="AQ2238" s="23"/>
      <c r="AR2238" s="23"/>
      <c r="AS2238" s="23"/>
      <c r="AT2238" s="23"/>
      <c r="AU2238" s="14" t="str">
        <f>HYPERLINK("http://www.openstreetmap.org/?mlat=32.6043&amp;mlon=43.9921&amp;zoom=12#map=12/32.6043/43.9921","Maplink1")</f>
        <v>Maplink1</v>
      </c>
      <c r="AV2238" s="14" t="str">
        <f>HYPERLINK("https://www.google.iq/maps/search/+32.6043,43.9921/@32.6043,43.9921,14z?hl=en","Maplink2")</f>
        <v>Maplink2</v>
      </c>
      <c r="AW2238" s="14" t="str">
        <f>HYPERLINK("http://www.bing.com/maps/?lvl=14&amp;sty=h&amp;cp=32.6043~43.9921&amp;sp=point.32.6043_43.9921_Hay Al-Ghadeer 8","Maplink3")</f>
        <v>Maplink3</v>
      </c>
    </row>
    <row r="2239" spans="1:49" ht="15" customHeight="1" x14ac:dyDescent="0.25">
      <c r="A2239" s="21">
        <v>25552</v>
      </c>
      <c r="B2239" s="22" t="s">
        <v>16</v>
      </c>
      <c r="C2239" s="22" t="s">
        <v>16</v>
      </c>
      <c r="D2239" s="22" t="s">
        <v>8882</v>
      </c>
      <c r="E2239" s="22" t="s">
        <v>1356</v>
      </c>
      <c r="F2239" s="22">
        <v>32.622057851400001</v>
      </c>
      <c r="G2239" s="22">
        <v>43.986346777500003</v>
      </c>
      <c r="H2239" s="21" t="s">
        <v>3858</v>
      </c>
      <c r="I2239" s="21" t="s">
        <v>3934</v>
      </c>
      <c r="J2239" s="21"/>
      <c r="K2239" s="24">
        <v>4</v>
      </c>
      <c r="L2239" s="24">
        <v>24</v>
      </c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>
        <v>3</v>
      </c>
      <c r="Z2239" s="23"/>
      <c r="AA2239" s="23">
        <v>1</v>
      </c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>
        <v>4</v>
      </c>
      <c r="AL2239" s="23"/>
      <c r="AM2239" s="23"/>
      <c r="AN2239" s="23"/>
      <c r="AO2239" s="23">
        <v>1</v>
      </c>
      <c r="AP2239" s="23">
        <v>3</v>
      </c>
      <c r="AQ2239" s="23"/>
      <c r="AR2239" s="23"/>
      <c r="AS2239" s="23"/>
      <c r="AT2239" s="23"/>
      <c r="AU2239" s="14" t="str">
        <f>HYPERLINK("http://www.openstreetmap.org/?mlat=32.6224&amp;mlon=43.9821&amp;zoom=12#map=12/32.6224/43.9821","Maplink1")</f>
        <v>Maplink1</v>
      </c>
      <c r="AV2239" s="14" t="str">
        <f>HYPERLINK("https://www.google.iq/maps/search/+32.6224,43.9821/@32.6224,43.9821,14z?hl=en","Maplink2")</f>
        <v>Maplink2</v>
      </c>
      <c r="AW2239" s="14" t="str">
        <f>HYPERLINK("http://www.bing.com/maps/?lvl=14&amp;sty=h&amp;cp=32.6224~43.9821&amp;sp=point.32.6224_43.9821_Al Hurr-Hay Al-Jawad","Maplink3")</f>
        <v>Maplink3</v>
      </c>
    </row>
    <row r="2240" spans="1:49" ht="15" customHeight="1" x14ac:dyDescent="0.25">
      <c r="A2240" s="21">
        <v>13988</v>
      </c>
      <c r="B2240" s="22" t="s">
        <v>16</v>
      </c>
      <c r="C2240" s="22" t="s">
        <v>16</v>
      </c>
      <c r="D2240" s="22" t="s">
        <v>4244</v>
      </c>
      <c r="E2240" s="22" t="s">
        <v>4245</v>
      </c>
      <c r="F2240" s="22">
        <v>32.568210368000003</v>
      </c>
      <c r="G2240" s="22">
        <v>44.0378456097</v>
      </c>
      <c r="H2240" s="21" t="s">
        <v>3858</v>
      </c>
      <c r="I2240" s="21" t="s">
        <v>3934</v>
      </c>
      <c r="J2240" s="21" t="s">
        <v>4246</v>
      </c>
      <c r="K2240" s="24">
        <v>9</v>
      </c>
      <c r="L2240" s="24">
        <v>54</v>
      </c>
      <c r="M2240" s="23"/>
      <c r="N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>
        <v>9</v>
      </c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>
        <v>9</v>
      </c>
      <c r="AL2240" s="23"/>
      <c r="AM2240" s="23"/>
      <c r="AN2240" s="23"/>
      <c r="AO2240" s="23"/>
      <c r="AP2240" s="23">
        <v>9</v>
      </c>
      <c r="AQ2240" s="23"/>
      <c r="AR2240" s="23"/>
      <c r="AS2240" s="23"/>
      <c r="AT2240" s="23"/>
      <c r="AU2240" s="14" t="str">
        <f>HYPERLINK("http://www.openstreetmap.org/?mlat=32.5597&amp;mlon=44.0319&amp;zoom=12#map=12/32.5597/44.0319","Maplink1")</f>
        <v>Maplink1</v>
      </c>
      <c r="AV2240" s="14" t="str">
        <f>HYPERLINK("https://www.google.iq/maps/search/+32.5597,44.0319/@32.5597,44.0319,14z?hl=en","Maplink2")</f>
        <v>Maplink2</v>
      </c>
      <c r="AW2240" s="14" t="str">
        <f>HYPERLINK("http://www.bing.com/maps/?lvl=14&amp;sty=h&amp;cp=32.5597~44.0319&amp;sp=point.32.5597_44.0319_Hay al-milad","Maplink3")</f>
        <v>Maplink3</v>
      </c>
    </row>
    <row r="2241" spans="1:49" ht="15" customHeight="1" x14ac:dyDescent="0.25">
      <c r="A2241" s="21">
        <v>14288</v>
      </c>
      <c r="B2241" s="22" t="s">
        <v>16</v>
      </c>
      <c r="C2241" s="22" t="s">
        <v>16</v>
      </c>
      <c r="D2241" s="22" t="s">
        <v>8883</v>
      </c>
      <c r="E2241" s="22" t="s">
        <v>4015</v>
      </c>
      <c r="F2241" s="22">
        <v>32.648389809800001</v>
      </c>
      <c r="G2241" s="22">
        <v>43.979422906400004</v>
      </c>
      <c r="H2241" s="21" t="s">
        <v>3858</v>
      </c>
      <c r="I2241" s="21" t="s">
        <v>3934</v>
      </c>
      <c r="J2241" s="21" t="s">
        <v>4016</v>
      </c>
      <c r="K2241" s="24">
        <v>11</v>
      </c>
      <c r="L2241" s="24">
        <v>66</v>
      </c>
      <c r="M2241" s="23">
        <v>5</v>
      </c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>
        <v>6</v>
      </c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>
        <v>11</v>
      </c>
      <c r="AL2241" s="23"/>
      <c r="AM2241" s="23"/>
      <c r="AN2241" s="23"/>
      <c r="AO2241" s="23"/>
      <c r="AP2241" s="23">
        <v>6</v>
      </c>
      <c r="AQ2241" s="23">
        <v>5</v>
      </c>
      <c r="AR2241" s="23"/>
      <c r="AS2241" s="23"/>
      <c r="AT2241" s="23"/>
      <c r="AU2241" s="14" t="str">
        <f>HYPERLINK("http://www.openstreetmap.org/?mlat=32.6434&amp;mlon=44.0317&amp;zoom=12#map=12/32.6434/44.0317","Maplink1")</f>
        <v>Maplink1</v>
      </c>
      <c r="AV2241" s="14" t="str">
        <f>HYPERLINK("https://www.google.iq/maps/search/+32.6434,44.0317/@32.6434,44.0317,14z?hl=en","Maplink2")</f>
        <v>Maplink2</v>
      </c>
      <c r="AW2241" s="14" t="str">
        <f>HYPERLINK("http://www.bing.com/maps/?lvl=14&amp;sty=h&amp;cp=32.6434~44.0317&amp;sp=point.32.6434_44.0317_Al Hurr-Hay Al-Momnean","Maplink3")</f>
        <v>Maplink3</v>
      </c>
    </row>
    <row r="2242" spans="1:49" ht="15" customHeight="1" x14ac:dyDescent="0.25">
      <c r="A2242" s="21">
        <v>14077</v>
      </c>
      <c r="B2242" s="22" t="s">
        <v>16</v>
      </c>
      <c r="C2242" s="22" t="s">
        <v>16</v>
      </c>
      <c r="D2242" s="22" t="s">
        <v>4247</v>
      </c>
      <c r="E2242" s="22" t="s">
        <v>889</v>
      </c>
      <c r="F2242" s="22">
        <v>32.603663597299999</v>
      </c>
      <c r="G2242" s="22">
        <v>44.011605726600003</v>
      </c>
      <c r="H2242" s="21" t="s">
        <v>3858</v>
      </c>
      <c r="I2242" s="21" t="s">
        <v>3934</v>
      </c>
      <c r="J2242" s="21" t="s">
        <v>4248</v>
      </c>
      <c r="K2242" s="24">
        <v>8</v>
      </c>
      <c r="L2242" s="24">
        <v>48</v>
      </c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>
        <v>8</v>
      </c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>
        <v>5</v>
      </c>
      <c r="AK2242" s="23">
        <v>3</v>
      </c>
      <c r="AL2242" s="23"/>
      <c r="AM2242" s="23"/>
      <c r="AN2242" s="23"/>
      <c r="AO2242" s="23"/>
      <c r="AP2242" s="23">
        <v>8</v>
      </c>
      <c r="AQ2242" s="23"/>
      <c r="AR2242" s="23"/>
      <c r="AS2242" s="23"/>
      <c r="AT2242" s="23"/>
      <c r="AU2242" s="14" t="str">
        <f>HYPERLINK("http://www.openstreetmap.org/?mlat=32.6014&amp;mlon=44.0028&amp;zoom=12#map=12/32.6014/44.0028","Maplink1")</f>
        <v>Maplink1</v>
      </c>
      <c r="AV2242" s="14" t="str">
        <f>HYPERLINK("https://www.google.iq/maps/search/+32.6014,44.0028/@32.6014,44.0028,14z?hl=en","Maplink2")</f>
        <v>Maplink2</v>
      </c>
      <c r="AW2242" s="14" t="str">
        <f>HYPERLINK("http://www.bing.com/maps/?lvl=14&amp;sty=h&amp;cp=32.6014~44.0028&amp;sp=point.32.6014_44.0028_Hay al-muadhafein","Maplink3")</f>
        <v>Maplink3</v>
      </c>
    </row>
    <row r="2243" spans="1:49" ht="15" customHeight="1" x14ac:dyDescent="0.25">
      <c r="A2243" s="21">
        <v>14099</v>
      </c>
      <c r="B2243" s="22" t="s">
        <v>16</v>
      </c>
      <c r="C2243" s="22" t="s">
        <v>16</v>
      </c>
      <c r="D2243" s="22" t="s">
        <v>2523</v>
      </c>
      <c r="E2243" s="22" t="s">
        <v>464</v>
      </c>
      <c r="F2243" s="22">
        <v>32.614955403800003</v>
      </c>
      <c r="G2243" s="22">
        <v>44.003968723100002</v>
      </c>
      <c r="H2243" s="21" t="s">
        <v>3858</v>
      </c>
      <c r="I2243" s="21" t="s">
        <v>3934</v>
      </c>
      <c r="J2243" s="21" t="s">
        <v>4249</v>
      </c>
      <c r="K2243" s="24">
        <v>6</v>
      </c>
      <c r="L2243" s="24">
        <v>36</v>
      </c>
      <c r="M2243" s="23">
        <v>1</v>
      </c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>
        <v>5</v>
      </c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>
        <v>1</v>
      </c>
      <c r="AK2243" s="23">
        <v>5</v>
      </c>
      <c r="AL2243" s="23"/>
      <c r="AM2243" s="23"/>
      <c r="AN2243" s="23"/>
      <c r="AO2243" s="23"/>
      <c r="AP2243" s="23">
        <v>6</v>
      </c>
      <c r="AQ2243" s="23"/>
      <c r="AR2243" s="23"/>
      <c r="AS2243" s="23"/>
      <c r="AT2243" s="23"/>
      <c r="AU2243" s="14" t="str">
        <f>HYPERLINK("http://www.openstreetmap.org/?mlat=32.6128&amp;mlon=44.0044&amp;zoom=12#map=12/32.6128/44.0044","Maplink1")</f>
        <v>Maplink1</v>
      </c>
      <c r="AV2243" s="14" t="str">
        <f>HYPERLINK("https://www.google.iq/maps/search/+32.6128,44.0044/@32.6128,44.0044,14z?hl=en","Maplink2")</f>
        <v>Maplink2</v>
      </c>
      <c r="AW2243" s="14" t="str">
        <f>HYPERLINK("http://www.bing.com/maps/?lvl=14&amp;sty=h&amp;cp=32.6128~44.0044&amp;sp=point.32.6128_44.0044_Hay al-mualmein","Maplink3")</f>
        <v>Maplink3</v>
      </c>
    </row>
    <row r="2244" spans="1:49" ht="15" customHeight="1" x14ac:dyDescent="0.25">
      <c r="A2244" s="21">
        <v>14013</v>
      </c>
      <c r="B2244" s="22" t="s">
        <v>16</v>
      </c>
      <c r="C2244" s="22" t="s">
        <v>16</v>
      </c>
      <c r="D2244" s="22" t="s">
        <v>4250</v>
      </c>
      <c r="E2244" s="22" t="s">
        <v>4251</v>
      </c>
      <c r="F2244" s="22">
        <v>32.628665138000002</v>
      </c>
      <c r="G2244" s="22">
        <v>43.967336285899997</v>
      </c>
      <c r="H2244" s="21" t="s">
        <v>3858</v>
      </c>
      <c r="I2244" s="21" t="s">
        <v>3934</v>
      </c>
      <c r="J2244" s="21" t="s">
        <v>4252</v>
      </c>
      <c r="K2244" s="24">
        <v>4</v>
      </c>
      <c r="L2244" s="24">
        <v>24</v>
      </c>
      <c r="M2244" s="23">
        <v>4</v>
      </c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>
        <v>4</v>
      </c>
      <c r="AL2244" s="23"/>
      <c r="AM2244" s="23"/>
      <c r="AN2244" s="23"/>
      <c r="AO2244" s="23"/>
      <c r="AP2244" s="23">
        <v>4</v>
      </c>
      <c r="AQ2244" s="23"/>
      <c r="AR2244" s="23"/>
      <c r="AS2244" s="23"/>
      <c r="AT2244" s="23"/>
      <c r="AU2244" s="14" t="str">
        <f>HYPERLINK("http://www.openstreetmap.org/?mlat=32.575&amp;mlon=44.0236&amp;zoom=12#map=12/32.575/44.0236","Maplink1")</f>
        <v>Maplink1</v>
      </c>
      <c r="AV2244" s="14" t="str">
        <f>HYPERLINK("https://www.google.iq/maps/search/+32.575,44.0236/@32.575,44.0236,14z?hl=en","Maplink2")</f>
        <v>Maplink2</v>
      </c>
      <c r="AW2244" s="14" t="str">
        <f>HYPERLINK("http://www.bing.com/maps/?lvl=14&amp;sty=h&amp;cp=32.575~44.0236&amp;sp=point.32.575_44.0236_Hay al-muhandseen al-zeraeien","Maplink3")</f>
        <v>Maplink3</v>
      </c>
    </row>
    <row r="2245" spans="1:49" ht="15" customHeight="1" x14ac:dyDescent="0.25">
      <c r="A2245" s="21">
        <v>14018</v>
      </c>
      <c r="B2245" s="22" t="s">
        <v>16</v>
      </c>
      <c r="C2245" s="22" t="s">
        <v>16</v>
      </c>
      <c r="D2245" s="22" t="s">
        <v>4253</v>
      </c>
      <c r="E2245" s="22" t="s">
        <v>4254</v>
      </c>
      <c r="F2245" s="22">
        <v>32.577069830100001</v>
      </c>
      <c r="G2245" s="22">
        <v>44.009051173899998</v>
      </c>
      <c r="H2245" s="21" t="s">
        <v>3858</v>
      </c>
      <c r="I2245" s="21" t="s">
        <v>3934</v>
      </c>
      <c r="J2245" s="21" t="s">
        <v>4255</v>
      </c>
      <c r="K2245" s="24">
        <v>35</v>
      </c>
      <c r="L2245" s="24">
        <v>210</v>
      </c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>
        <v>35</v>
      </c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>
        <v>35</v>
      </c>
      <c r="AL2245" s="23"/>
      <c r="AM2245" s="23"/>
      <c r="AN2245" s="23"/>
      <c r="AO2245" s="23"/>
      <c r="AP2245" s="23">
        <v>35</v>
      </c>
      <c r="AQ2245" s="23"/>
      <c r="AR2245" s="23"/>
      <c r="AS2245" s="23"/>
      <c r="AT2245" s="23"/>
      <c r="AU2245" s="14" t="str">
        <f>HYPERLINK("http://www.openstreetmap.org/?mlat=32.5772&amp;mlon=44.0069&amp;zoom=12#map=12/32.5772/44.0069","Maplink1")</f>
        <v>Maplink1</v>
      </c>
      <c r="AV2245" s="14" t="str">
        <f>HYPERLINK("https://www.google.iq/maps/search/+32.5772,44.0069/@32.5772,44.0069,14z?hl=en","Maplink2")</f>
        <v>Maplink2</v>
      </c>
      <c r="AW2245" s="14" t="str">
        <f>HYPERLINK("http://www.bing.com/maps/?lvl=14&amp;sty=h&amp;cp=32.5772~44.0069&amp;sp=point.32.5772_44.0069_Hay Al-Naser","Maplink3")</f>
        <v>Maplink3</v>
      </c>
    </row>
    <row r="2246" spans="1:49" ht="15" customHeight="1" x14ac:dyDescent="0.25">
      <c r="A2246" s="21">
        <v>25780</v>
      </c>
      <c r="B2246" s="22" t="s">
        <v>16</v>
      </c>
      <c r="C2246" s="22" t="s">
        <v>16</v>
      </c>
      <c r="D2246" s="22" t="s">
        <v>8884</v>
      </c>
      <c r="E2246" s="22" t="s">
        <v>4293</v>
      </c>
      <c r="F2246" s="22">
        <v>32.575988000000002</v>
      </c>
      <c r="G2246" s="22">
        <v>44.003053000000001</v>
      </c>
      <c r="H2246" s="21" t="s">
        <v>3858</v>
      </c>
      <c r="I2246" s="21" t="s">
        <v>3934</v>
      </c>
      <c r="J2246" s="21"/>
      <c r="K2246" s="24">
        <v>8</v>
      </c>
      <c r="L2246" s="24">
        <v>48</v>
      </c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>
        <v>7</v>
      </c>
      <c r="Z2246" s="23"/>
      <c r="AA2246" s="23">
        <v>1</v>
      </c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>
        <v>8</v>
      </c>
      <c r="AL2246" s="23"/>
      <c r="AM2246" s="23"/>
      <c r="AN2246" s="23"/>
      <c r="AO2246" s="23"/>
      <c r="AP2246" s="23">
        <v>8</v>
      </c>
      <c r="AQ2246" s="23"/>
      <c r="AR2246" s="23"/>
      <c r="AS2246" s="23"/>
      <c r="AT2246" s="23"/>
      <c r="AU2246" s="14" t="str">
        <f>HYPERLINK("http://www.openstreetmap.org/?mlat=32.576&amp;mlon=44.0031&amp;zoom=12#map=12/32.576/44.0031","Maplink1")</f>
        <v>Maplink1</v>
      </c>
      <c r="AV2246" s="14" t="str">
        <f>HYPERLINK("https://www.google.iq/maps/search/+32.576,44.0031/@32.576,44.0031,14z?hl=en","Maplink2")</f>
        <v>Maplink2</v>
      </c>
      <c r="AW2246" s="14" t="str">
        <f>HYPERLINK("http://www.bing.com/maps/?lvl=14&amp;sty=h&amp;cp=32.576~44.0031&amp;sp=point.32.576_44.0031_Kerbala-Hay Al-Naser14","Maplink3")</f>
        <v>Maplink3</v>
      </c>
    </row>
    <row r="2247" spans="1:49" ht="15" customHeight="1" x14ac:dyDescent="0.25">
      <c r="A2247" s="21">
        <v>26112</v>
      </c>
      <c r="B2247" s="22" t="s">
        <v>16</v>
      </c>
      <c r="C2247" s="22" t="s">
        <v>16</v>
      </c>
      <c r="D2247" s="22" t="s">
        <v>4256</v>
      </c>
      <c r="E2247" s="22" t="s">
        <v>4257</v>
      </c>
      <c r="F2247" s="22">
        <v>32.586931306899999</v>
      </c>
      <c r="G2247" s="22">
        <v>44.050824400000003</v>
      </c>
      <c r="H2247" s="21" t="s">
        <v>3858</v>
      </c>
      <c r="I2247" s="21" t="s">
        <v>3934</v>
      </c>
      <c r="J2247" s="21"/>
      <c r="K2247" s="24">
        <v>15</v>
      </c>
      <c r="L2247" s="24">
        <v>90</v>
      </c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>
        <v>15</v>
      </c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>
        <v>15</v>
      </c>
      <c r="AL2247" s="23"/>
      <c r="AM2247" s="23"/>
      <c r="AN2247" s="23"/>
      <c r="AO2247" s="23"/>
      <c r="AP2247" s="23">
        <v>15</v>
      </c>
      <c r="AQ2247" s="23"/>
      <c r="AR2247" s="23"/>
      <c r="AS2247" s="23"/>
      <c r="AT2247" s="23"/>
      <c r="AU2247" s="14" t="str">
        <f>HYPERLINK("http://www.openstreetmap.org/?mlat=32.5551&amp;mlon=44.0261&amp;zoom=12#map=12/32.5551/44.0261","Maplink1")</f>
        <v>Maplink1</v>
      </c>
      <c r="AV2247" s="14" t="str">
        <f>HYPERLINK("https://www.google.iq/maps/search/+32.5551,44.0261/@32.5551,44.0261,14z?hl=en","Maplink2")</f>
        <v>Maplink2</v>
      </c>
      <c r="AW2247" s="14" t="str">
        <f>HYPERLINK("http://www.bing.com/maps/?lvl=14&amp;sty=h&amp;cp=32.5551~44.0261&amp;sp=point.32.5551_44.0261_Hay Al-Noab","Maplink3")</f>
        <v>Maplink3</v>
      </c>
    </row>
    <row r="2248" spans="1:49" ht="15" customHeight="1" x14ac:dyDescent="0.25">
      <c r="A2248" s="21">
        <v>14273</v>
      </c>
      <c r="B2248" s="22" t="s">
        <v>16</v>
      </c>
      <c r="C2248" s="22" t="s">
        <v>16</v>
      </c>
      <c r="D2248" s="22" t="s">
        <v>4258</v>
      </c>
      <c r="E2248" s="22" t="s">
        <v>869</v>
      </c>
      <c r="F2248" s="22">
        <v>32.574000460999997</v>
      </c>
      <c r="G2248" s="22">
        <v>44.015643792200002</v>
      </c>
      <c r="H2248" s="21" t="s">
        <v>3858</v>
      </c>
      <c r="I2248" s="21" t="s">
        <v>3934</v>
      </c>
      <c r="J2248" s="21" t="s">
        <v>4259</v>
      </c>
      <c r="K2248" s="24">
        <v>35</v>
      </c>
      <c r="L2248" s="24">
        <v>210</v>
      </c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>
        <v>35</v>
      </c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>
        <v>31</v>
      </c>
      <c r="AL2248" s="23"/>
      <c r="AM2248" s="23">
        <v>4</v>
      </c>
      <c r="AN2248" s="23"/>
      <c r="AO2248" s="23"/>
      <c r="AP2248" s="23">
        <v>35</v>
      </c>
      <c r="AQ2248" s="23"/>
      <c r="AR2248" s="23"/>
      <c r="AS2248" s="23"/>
      <c r="AT2248" s="23"/>
      <c r="AU2248" s="14" t="str">
        <f>HYPERLINK("http://www.openstreetmap.org/?mlat=32.5742&amp;mlon=44.0144&amp;zoom=12#map=12/32.5742/44.0144","Maplink1")</f>
        <v>Maplink1</v>
      </c>
      <c r="AV2248" s="14" t="str">
        <f>HYPERLINK("https://www.google.iq/maps/search/+32.5742,44.0144/@32.5742,44.0144,14z?hl=en","Maplink2")</f>
        <v>Maplink2</v>
      </c>
      <c r="AW2248" s="14" t="str">
        <f>HYPERLINK("http://www.bing.com/maps/?lvl=14&amp;sty=h&amp;cp=32.5742~44.0144&amp;sp=point.32.5742_44.0144_Hay Al-Rasool","Maplink3")</f>
        <v>Maplink3</v>
      </c>
    </row>
    <row r="2249" spans="1:49" ht="15" customHeight="1" x14ac:dyDescent="0.25">
      <c r="A2249" s="21">
        <v>14004</v>
      </c>
      <c r="B2249" s="22" t="s">
        <v>16</v>
      </c>
      <c r="C2249" s="22" t="s">
        <v>16</v>
      </c>
      <c r="D2249" s="22" t="s">
        <v>4260</v>
      </c>
      <c r="E2249" s="22" t="s">
        <v>4261</v>
      </c>
      <c r="F2249" s="22">
        <v>32.565077925099999</v>
      </c>
      <c r="G2249" s="22">
        <v>44.033273784400002</v>
      </c>
      <c r="H2249" s="21" t="s">
        <v>3858</v>
      </c>
      <c r="I2249" s="21" t="s">
        <v>3934</v>
      </c>
      <c r="J2249" s="21" t="s">
        <v>4262</v>
      </c>
      <c r="K2249" s="24">
        <v>28</v>
      </c>
      <c r="L2249" s="24">
        <v>168</v>
      </c>
      <c r="M2249" s="23">
        <v>5</v>
      </c>
      <c r="N2249" s="23"/>
      <c r="O2249" s="23"/>
      <c r="P2249" s="23"/>
      <c r="Q2249" s="23"/>
      <c r="R2249" s="23">
        <v>4</v>
      </c>
      <c r="S2249" s="23"/>
      <c r="T2249" s="23"/>
      <c r="U2249" s="23"/>
      <c r="V2249" s="23"/>
      <c r="W2249" s="23"/>
      <c r="X2249" s="23"/>
      <c r="Y2249" s="23">
        <v>18</v>
      </c>
      <c r="Z2249" s="23"/>
      <c r="AA2249" s="23">
        <v>1</v>
      </c>
      <c r="AB2249" s="23"/>
      <c r="AC2249" s="23"/>
      <c r="AD2249" s="23"/>
      <c r="AE2249" s="23"/>
      <c r="AF2249" s="23">
        <v>3</v>
      </c>
      <c r="AG2249" s="23"/>
      <c r="AH2249" s="23"/>
      <c r="AI2249" s="23"/>
      <c r="AJ2249" s="23"/>
      <c r="AK2249" s="23">
        <v>25</v>
      </c>
      <c r="AL2249" s="23"/>
      <c r="AM2249" s="23"/>
      <c r="AN2249" s="23"/>
      <c r="AO2249" s="23">
        <v>5</v>
      </c>
      <c r="AP2249" s="23">
        <v>18</v>
      </c>
      <c r="AQ2249" s="23">
        <v>5</v>
      </c>
      <c r="AR2249" s="23"/>
      <c r="AS2249" s="23"/>
      <c r="AT2249" s="23"/>
      <c r="AU2249" s="14" t="str">
        <f>HYPERLINK("http://www.openstreetmap.org/?mlat=32.5678&amp;mlon=44.0156&amp;zoom=12#map=12/32.5678/44.0156","Maplink1")</f>
        <v>Maplink1</v>
      </c>
      <c r="AV2249" s="14" t="str">
        <f>HYPERLINK("https://www.google.iq/maps/search/+32.5678,44.0156/@32.5678,44.0156,14z?hl=en","Maplink2")</f>
        <v>Maplink2</v>
      </c>
      <c r="AW2249" s="14" t="str">
        <f>HYPERLINK("http://www.bing.com/maps/?lvl=14&amp;sty=h&amp;cp=32.5678~44.0156&amp;sp=point.32.5678_44.0156_Hay al-resalah","Maplink3")</f>
        <v>Maplink3</v>
      </c>
    </row>
    <row r="2250" spans="1:49" ht="15" customHeight="1" x14ac:dyDescent="0.25">
      <c r="A2250" s="21">
        <v>14079</v>
      </c>
      <c r="B2250" s="22" t="s">
        <v>16</v>
      </c>
      <c r="C2250" s="22" t="s">
        <v>16</v>
      </c>
      <c r="D2250" s="22" t="s">
        <v>4263</v>
      </c>
      <c r="E2250" s="22" t="s">
        <v>4264</v>
      </c>
      <c r="F2250" s="22">
        <v>32.647837358499999</v>
      </c>
      <c r="G2250" s="22">
        <v>44.003033721800001</v>
      </c>
      <c r="H2250" s="21" t="s">
        <v>3858</v>
      </c>
      <c r="I2250" s="21" t="s">
        <v>3934</v>
      </c>
      <c r="J2250" s="21" t="s">
        <v>4265</v>
      </c>
      <c r="K2250" s="24">
        <v>10</v>
      </c>
      <c r="L2250" s="24">
        <v>60</v>
      </c>
      <c r="M2250" s="23">
        <v>4</v>
      </c>
      <c r="N2250" s="23"/>
      <c r="O2250" s="23">
        <v>3</v>
      </c>
      <c r="P2250" s="23"/>
      <c r="Q2250" s="23"/>
      <c r="R2250" s="23"/>
      <c r="S2250" s="23"/>
      <c r="T2250" s="23"/>
      <c r="U2250" s="23"/>
      <c r="V2250" s="23"/>
      <c r="W2250" s="23"/>
      <c r="X2250" s="23"/>
      <c r="Y2250" s="23">
        <v>3</v>
      </c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>
        <v>10</v>
      </c>
      <c r="AL2250" s="23"/>
      <c r="AM2250" s="23"/>
      <c r="AN2250" s="23"/>
      <c r="AO2250" s="23"/>
      <c r="AP2250" s="23">
        <v>3</v>
      </c>
      <c r="AQ2250" s="23">
        <v>6</v>
      </c>
      <c r="AR2250" s="23"/>
      <c r="AS2250" s="23">
        <v>1</v>
      </c>
      <c r="AT2250" s="23"/>
      <c r="AU2250" s="14" t="str">
        <f>HYPERLINK("http://www.openstreetmap.org/?mlat=32.6022&amp;mlon=44.0222&amp;zoom=12#map=12/32.6022/44.0222","Maplink1")</f>
        <v>Maplink1</v>
      </c>
      <c r="AV2250" s="14" t="str">
        <f>HYPERLINK("https://www.google.iq/maps/search/+32.6022,44.0222/@32.6022,44.0222,14z?hl=en","Maplink2")</f>
        <v>Maplink2</v>
      </c>
      <c r="AW2250" s="14" t="str">
        <f>HYPERLINK("http://www.bing.com/maps/?lvl=14&amp;sty=h&amp;cp=32.6022~44.0222&amp;sp=point.32.6022_44.0222_Hay al-sahah","Maplink3")</f>
        <v>Maplink3</v>
      </c>
    </row>
    <row r="2251" spans="1:49" ht="15" customHeight="1" x14ac:dyDescent="0.25">
      <c r="A2251" s="21">
        <v>14023</v>
      </c>
      <c r="B2251" s="22" t="s">
        <v>16</v>
      </c>
      <c r="C2251" s="22" t="s">
        <v>16</v>
      </c>
      <c r="D2251" s="22" t="s">
        <v>4266</v>
      </c>
      <c r="E2251" s="22" t="s">
        <v>4267</v>
      </c>
      <c r="F2251" s="22">
        <v>32.581567978499997</v>
      </c>
      <c r="G2251" s="22">
        <v>44.020130876499998</v>
      </c>
      <c r="H2251" s="21" t="s">
        <v>3858</v>
      </c>
      <c r="I2251" s="21" t="s">
        <v>3934</v>
      </c>
      <c r="J2251" s="21" t="s">
        <v>4268</v>
      </c>
      <c r="K2251" s="24">
        <v>6</v>
      </c>
      <c r="L2251" s="24">
        <v>36</v>
      </c>
      <c r="M2251" s="23">
        <v>1</v>
      </c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>
        <v>5</v>
      </c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>
        <v>6</v>
      </c>
      <c r="AL2251" s="23"/>
      <c r="AM2251" s="23"/>
      <c r="AN2251" s="23"/>
      <c r="AO2251" s="23">
        <v>1</v>
      </c>
      <c r="AP2251" s="23">
        <v>5</v>
      </c>
      <c r="AQ2251" s="23"/>
      <c r="AR2251" s="23"/>
      <c r="AS2251" s="23"/>
      <c r="AT2251" s="23"/>
      <c r="AU2251" s="14" t="str">
        <f>HYPERLINK("http://www.openstreetmap.org/?mlat=32.5786&amp;mlon=44.0175&amp;zoom=12#map=12/32.5786/44.0175","Maplink1")</f>
        <v>Maplink1</v>
      </c>
      <c r="AV2251" s="14" t="str">
        <f>HYPERLINK("https://www.google.iq/maps/search/+32.5786,44.0175/@32.5786,44.0175,14z?hl=en","Maplink2")</f>
        <v>Maplink2</v>
      </c>
      <c r="AW2251" s="14" t="str">
        <f>HYPERLINK("http://www.bing.com/maps/?lvl=14&amp;sty=h&amp;cp=32.5786~44.0175&amp;sp=point.32.5786_44.0175_Hay al-taawen","Maplink3")</f>
        <v>Maplink3</v>
      </c>
    </row>
    <row r="2252" spans="1:49" ht="15" customHeight="1" x14ac:dyDescent="0.25">
      <c r="A2252" s="21">
        <v>14067</v>
      </c>
      <c r="B2252" s="22" t="s">
        <v>16</v>
      </c>
      <c r="C2252" s="22" t="s">
        <v>16</v>
      </c>
      <c r="D2252" s="22" t="s">
        <v>1151</v>
      </c>
      <c r="E2252" s="22" t="s">
        <v>4269</v>
      </c>
      <c r="F2252" s="22">
        <v>32.596013476099998</v>
      </c>
      <c r="G2252" s="22">
        <v>44.006841117500002</v>
      </c>
      <c r="H2252" s="21" t="s">
        <v>3858</v>
      </c>
      <c r="I2252" s="21" t="s">
        <v>3934</v>
      </c>
      <c r="J2252" s="21" t="s">
        <v>4270</v>
      </c>
      <c r="K2252" s="24">
        <v>11</v>
      </c>
      <c r="L2252" s="24">
        <v>66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>
        <v>11</v>
      </c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>
        <v>11</v>
      </c>
      <c r="AL2252" s="23"/>
      <c r="AM2252" s="23"/>
      <c r="AN2252" s="23"/>
      <c r="AO2252" s="23"/>
      <c r="AP2252" s="23">
        <v>11</v>
      </c>
      <c r="AQ2252" s="23"/>
      <c r="AR2252" s="23"/>
      <c r="AS2252" s="23"/>
      <c r="AT2252" s="23"/>
      <c r="AU2252" s="14" t="str">
        <f>HYPERLINK("http://www.openstreetmap.org/?mlat=32.5942&amp;mlon=44.0092&amp;zoom=12#map=12/32.5942/44.0092","Maplink1")</f>
        <v>Maplink1</v>
      </c>
      <c r="AV2252" s="14" t="str">
        <f>HYPERLINK("https://www.google.iq/maps/search/+32.5942,44.0092/@32.5942,44.0092,14z?hl=en","Maplink2")</f>
        <v>Maplink2</v>
      </c>
      <c r="AW2252" s="14" t="str">
        <f>HYPERLINK("http://www.bing.com/maps/?lvl=14&amp;sty=h&amp;cp=32.5942~44.0092&amp;sp=point.32.5942_44.0092_Hay al-tahady","Maplink3")</f>
        <v>Maplink3</v>
      </c>
    </row>
    <row r="2253" spans="1:49" ht="15" customHeight="1" x14ac:dyDescent="0.25">
      <c r="A2253" s="21">
        <v>14043</v>
      </c>
      <c r="B2253" s="22" t="s">
        <v>16</v>
      </c>
      <c r="C2253" s="22" t="s">
        <v>16</v>
      </c>
      <c r="D2253" s="22" t="s">
        <v>4271</v>
      </c>
      <c r="E2253" s="22" t="s">
        <v>4272</v>
      </c>
      <c r="F2253" s="22">
        <v>32.583063477700001</v>
      </c>
      <c r="G2253" s="22">
        <v>44.037135913999997</v>
      </c>
      <c r="H2253" s="21" t="s">
        <v>3858</v>
      </c>
      <c r="I2253" s="21" t="s">
        <v>3934</v>
      </c>
      <c r="J2253" s="21" t="s">
        <v>4273</v>
      </c>
      <c r="K2253" s="24">
        <v>10</v>
      </c>
      <c r="L2253" s="24">
        <v>60</v>
      </c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>
        <v>10</v>
      </c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>
        <v>10</v>
      </c>
      <c r="AL2253" s="23"/>
      <c r="AM2253" s="23"/>
      <c r="AN2253" s="23"/>
      <c r="AO2253" s="23"/>
      <c r="AP2253" s="23">
        <v>10</v>
      </c>
      <c r="AQ2253" s="23"/>
      <c r="AR2253" s="23"/>
      <c r="AS2253" s="23"/>
      <c r="AT2253" s="23"/>
      <c r="AU2253" s="14" t="str">
        <f>HYPERLINK("http://www.openstreetmap.org/?mlat=32.5855&amp;mlon=44.0312&amp;zoom=12#map=12/32.5855/44.0312","Maplink1")</f>
        <v>Maplink1</v>
      </c>
      <c r="AV2253" s="14" t="str">
        <f>HYPERLINK("https://www.google.iq/maps/search/+32.5855,44.0312/@32.5855,44.0312,14z?hl=en","Maplink2")</f>
        <v>Maplink2</v>
      </c>
      <c r="AW2253" s="14" t="str">
        <f>HYPERLINK("http://www.bing.com/maps/?lvl=14&amp;sty=h&amp;cp=32.5855~44.0312&amp;sp=point.32.5855_44.0312_Hay al-Usrah","Maplink3")</f>
        <v>Maplink3</v>
      </c>
    </row>
    <row r="2254" spans="1:49" ht="15" customHeight="1" x14ac:dyDescent="0.25">
      <c r="A2254" s="21">
        <v>14005</v>
      </c>
      <c r="B2254" s="22" t="s">
        <v>16</v>
      </c>
      <c r="C2254" s="22" t="s">
        <v>16</v>
      </c>
      <c r="D2254" s="22" t="s">
        <v>4274</v>
      </c>
      <c r="E2254" s="22" t="s">
        <v>4275</v>
      </c>
      <c r="F2254" s="22">
        <v>32.568894331300001</v>
      </c>
      <c r="G2254" s="22">
        <v>44.025867031899999</v>
      </c>
      <c r="H2254" s="21" t="s">
        <v>3858</v>
      </c>
      <c r="I2254" s="21" t="s">
        <v>3934</v>
      </c>
      <c r="J2254" s="21" t="s">
        <v>4276</v>
      </c>
      <c r="K2254" s="24">
        <v>51</v>
      </c>
      <c r="L2254" s="24">
        <v>306</v>
      </c>
      <c r="M2254" s="23">
        <v>8</v>
      </c>
      <c r="N2254" s="23"/>
      <c r="O2254" s="23"/>
      <c r="P2254" s="23"/>
      <c r="Q2254" s="23"/>
      <c r="R2254" s="23">
        <v>3</v>
      </c>
      <c r="S2254" s="23"/>
      <c r="T2254" s="23"/>
      <c r="U2254" s="23">
        <v>4</v>
      </c>
      <c r="V2254" s="23"/>
      <c r="W2254" s="23"/>
      <c r="X2254" s="23"/>
      <c r="Y2254" s="23">
        <v>32</v>
      </c>
      <c r="Z2254" s="23"/>
      <c r="AA2254" s="23">
        <v>4</v>
      </c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>
        <v>51</v>
      </c>
      <c r="AL2254" s="23"/>
      <c r="AM2254" s="23"/>
      <c r="AN2254" s="23"/>
      <c r="AO2254" s="23"/>
      <c r="AP2254" s="23">
        <v>43</v>
      </c>
      <c r="AQ2254" s="23"/>
      <c r="AR2254" s="23">
        <v>2</v>
      </c>
      <c r="AS2254" s="23">
        <v>6</v>
      </c>
      <c r="AT2254" s="23"/>
      <c r="AU2254" s="14" t="str">
        <f>HYPERLINK("http://www.openstreetmap.org/?mlat=32.5681&amp;mlon=44.0272&amp;zoom=12#map=12/32.5681/44.0272","Maplink1")</f>
        <v>Maplink1</v>
      </c>
      <c r="AV2254" s="14" t="str">
        <f>HYPERLINK("https://www.google.iq/maps/search/+32.5681,44.0272/@32.5681,44.0272,14z?hl=en","Maplink2")</f>
        <v>Maplink2</v>
      </c>
      <c r="AW2254" s="14" t="str">
        <f>HYPERLINK("http://www.bing.com/maps/?lvl=14&amp;sty=h&amp;cp=32.5681~44.0272&amp;sp=point.32.5681_44.0272_Hay Al-Wafaa-333","Maplink3")</f>
        <v>Maplink3</v>
      </c>
    </row>
    <row r="2255" spans="1:49" ht="15" customHeight="1" x14ac:dyDescent="0.25">
      <c r="A2255" s="21">
        <v>25554</v>
      </c>
      <c r="B2255" s="22" t="s">
        <v>16</v>
      </c>
      <c r="C2255" s="22" t="s">
        <v>16</v>
      </c>
      <c r="D2255" s="22" t="s">
        <v>4277</v>
      </c>
      <c r="E2255" s="22" t="s">
        <v>4278</v>
      </c>
      <c r="F2255" s="22">
        <v>32.628505085599997</v>
      </c>
      <c r="G2255" s="22">
        <v>43.969729738300003</v>
      </c>
      <c r="H2255" s="21" t="s">
        <v>3858</v>
      </c>
      <c r="I2255" s="21" t="s">
        <v>3934</v>
      </c>
      <c r="J2255" s="21"/>
      <c r="K2255" s="24">
        <v>3</v>
      </c>
      <c r="L2255" s="24">
        <v>18</v>
      </c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>
        <v>3</v>
      </c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>
        <v>3</v>
      </c>
      <c r="AL2255" s="23"/>
      <c r="AM2255" s="23"/>
      <c r="AN2255" s="23"/>
      <c r="AO2255" s="23"/>
      <c r="AP2255" s="23">
        <v>3</v>
      </c>
      <c r="AQ2255" s="23"/>
      <c r="AR2255" s="23"/>
      <c r="AS2255" s="23"/>
      <c r="AT2255" s="23"/>
      <c r="AU2255" s="14" t="str">
        <f>HYPERLINK("http://www.openstreetmap.org/?mlat=32.5744&amp;mlon=44.0268&amp;zoom=12#map=12/32.5744/44.0268","Maplink1")</f>
        <v>Maplink1</v>
      </c>
      <c r="AV2255" s="14" t="str">
        <f>HYPERLINK("https://www.google.iq/maps/search/+32.5744,44.0268/@32.5744,44.0268,14z?hl=en","Maplink2")</f>
        <v>Maplink2</v>
      </c>
      <c r="AW2255" s="14" t="str">
        <f>HYPERLINK("http://www.bing.com/maps/?lvl=14&amp;sty=h&amp;cp=32.5744~44.0268&amp;sp=point.32.5744_44.0268_Hay Almohandsen Alzerain 24","Maplink3")</f>
        <v>Maplink3</v>
      </c>
    </row>
    <row r="2256" spans="1:49" ht="15" customHeight="1" x14ac:dyDescent="0.25">
      <c r="A2256" s="21">
        <v>25272</v>
      </c>
      <c r="B2256" s="22" t="s">
        <v>16</v>
      </c>
      <c r="C2256" s="22" t="s">
        <v>16</v>
      </c>
      <c r="D2256" s="22" t="s">
        <v>4280</v>
      </c>
      <c r="E2256" s="22" t="s">
        <v>4281</v>
      </c>
      <c r="F2256" s="22">
        <v>32.584794172999999</v>
      </c>
      <c r="G2256" s="22">
        <v>44.010045854399998</v>
      </c>
      <c r="H2256" s="21" t="s">
        <v>3858</v>
      </c>
      <c r="I2256" s="21" t="s">
        <v>3934</v>
      </c>
      <c r="J2256" s="21"/>
      <c r="K2256" s="24">
        <v>17</v>
      </c>
      <c r="L2256" s="24">
        <v>102</v>
      </c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>
        <v>17</v>
      </c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>
        <v>13</v>
      </c>
      <c r="AK2256" s="23">
        <v>4</v>
      </c>
      <c r="AL2256" s="23"/>
      <c r="AM2256" s="23"/>
      <c r="AN2256" s="23"/>
      <c r="AO2256" s="23"/>
      <c r="AP2256" s="23">
        <v>17</v>
      </c>
      <c r="AQ2256" s="23"/>
      <c r="AR2256" s="23"/>
      <c r="AS2256" s="23"/>
      <c r="AT2256" s="23"/>
      <c r="AU2256" s="14" t="str">
        <f>HYPERLINK("http://www.openstreetmap.org/?mlat=32.3419&amp;mlon=44.0055&amp;zoom=12#map=12/32.3419/44.0055","Maplink1")</f>
        <v>Maplink1</v>
      </c>
      <c r="AV2256" s="14" t="str">
        <f>HYPERLINK("https://www.google.iq/maps/search/+32.3419,44.0055/@32.3419,44.0055,14z?hl=en","Maplink2")</f>
        <v>Maplink2</v>
      </c>
      <c r="AW2256" s="14" t="str">
        <f>HYPERLINK("http://www.bing.com/maps/?lvl=14&amp;sty=h&amp;cp=32.3419~44.0055&amp;sp=point.32.3419_44.0055_Hay El Al Iman-3","Maplink3")</f>
        <v>Maplink3</v>
      </c>
    </row>
    <row r="2257" spans="1:49" ht="15" customHeight="1" x14ac:dyDescent="0.25">
      <c r="A2257" s="21">
        <v>27266</v>
      </c>
      <c r="B2257" s="22" t="s">
        <v>16</v>
      </c>
      <c r="C2257" s="22" t="s">
        <v>16</v>
      </c>
      <c r="D2257" s="22" t="s">
        <v>7469</v>
      </c>
      <c r="E2257" s="22" t="s">
        <v>4279</v>
      </c>
      <c r="F2257" s="22">
        <v>32.591259553999997</v>
      </c>
      <c r="G2257" s="22">
        <v>44.009982571000002</v>
      </c>
      <c r="H2257" s="21" t="s">
        <v>3858</v>
      </c>
      <c r="I2257" s="21" t="s">
        <v>3934</v>
      </c>
      <c r="J2257" s="21"/>
      <c r="K2257" s="24">
        <v>30</v>
      </c>
      <c r="L2257" s="24">
        <v>180</v>
      </c>
      <c r="M2257" s="23">
        <v>1</v>
      </c>
      <c r="N2257" s="23"/>
      <c r="O2257" s="23"/>
      <c r="P2257" s="23"/>
      <c r="Q2257" s="23"/>
      <c r="R2257" s="23">
        <v>1</v>
      </c>
      <c r="S2257" s="23"/>
      <c r="T2257" s="23"/>
      <c r="U2257" s="23">
        <v>2</v>
      </c>
      <c r="V2257" s="23"/>
      <c r="W2257" s="23"/>
      <c r="X2257" s="23"/>
      <c r="Y2257" s="23">
        <v>26</v>
      </c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>
        <v>30</v>
      </c>
      <c r="AL2257" s="23"/>
      <c r="AM2257" s="23"/>
      <c r="AN2257" s="23"/>
      <c r="AO2257" s="23">
        <v>1</v>
      </c>
      <c r="AP2257" s="23">
        <v>26</v>
      </c>
      <c r="AQ2257" s="23">
        <v>3</v>
      </c>
      <c r="AR2257" s="23"/>
      <c r="AS2257" s="23"/>
      <c r="AT2257" s="23"/>
      <c r="AU2257" s="14" t="str">
        <f>HYPERLINK("http://www.openstreetmap.org/?mlat=32.8869&amp;mlon=44.0126&amp;zoom=12#map=12/32.8869/44.0126","Maplink1")</f>
        <v>Maplink1</v>
      </c>
      <c r="AV2257" s="14" t="str">
        <f>HYPERLINK("https://www.google.iq/maps/search/+32.8869,44.0126/@32.8869,44.0126,14z?hl=en","Maplink2")</f>
        <v>Maplink2</v>
      </c>
      <c r="AW2257" s="14" t="str">
        <f>HYPERLINK("http://www.bing.com/maps/?lvl=14&amp;sty=h&amp;cp=32.8869~44.0126&amp;sp=point.32.8869_44.0126_Hay El Al Iman - 4","Maplink3")</f>
        <v>Maplink3</v>
      </c>
    </row>
    <row r="2258" spans="1:49" ht="15" customHeight="1" x14ac:dyDescent="0.25">
      <c r="A2258" s="21">
        <v>14274</v>
      </c>
      <c r="B2258" s="22" t="s">
        <v>16</v>
      </c>
      <c r="C2258" s="22" t="s">
        <v>16</v>
      </c>
      <c r="D2258" s="22" t="s">
        <v>4282</v>
      </c>
      <c r="E2258" s="22" t="s">
        <v>4283</v>
      </c>
      <c r="F2258" s="22">
        <v>32.607440901899999</v>
      </c>
      <c r="G2258" s="22">
        <v>44.0132847056</v>
      </c>
      <c r="H2258" s="21" t="s">
        <v>3858</v>
      </c>
      <c r="I2258" s="21" t="s">
        <v>3934</v>
      </c>
      <c r="J2258" s="21" t="s">
        <v>4284</v>
      </c>
      <c r="K2258" s="24">
        <v>13</v>
      </c>
      <c r="L2258" s="24">
        <v>78</v>
      </c>
      <c r="M2258" s="23"/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>
        <v>13</v>
      </c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>
        <v>2</v>
      </c>
      <c r="AK2258" s="23">
        <v>11</v>
      </c>
      <c r="AL2258" s="23"/>
      <c r="AM2258" s="23"/>
      <c r="AN2258" s="23"/>
      <c r="AO2258" s="23"/>
      <c r="AP2258" s="23">
        <v>13</v>
      </c>
      <c r="AQ2258" s="23"/>
      <c r="AR2258" s="23"/>
      <c r="AS2258" s="23"/>
      <c r="AT2258" s="23"/>
      <c r="AU2258" s="14" t="str">
        <f>HYPERLINK("http://www.openstreetmap.org/?mlat=32.604&amp;mlon=44.0139&amp;zoom=12#map=12/32.604/44.0139","Maplink1")</f>
        <v>Maplink1</v>
      </c>
      <c r="AV2258" s="14" t="str">
        <f>HYPERLINK("https://www.google.iq/maps/search/+32.604,44.0139/@32.604,44.0139,14z?hl=en","Maplink2")</f>
        <v>Maplink2</v>
      </c>
      <c r="AW2258" s="14" t="str">
        <f>HYPERLINK("http://www.bing.com/maps/?lvl=14&amp;sty=h&amp;cp=32.604~44.0139&amp;sp=point.32.604_44.0139_Hay Ramadan","Maplink3")</f>
        <v>Maplink3</v>
      </c>
    </row>
    <row r="2259" spans="1:49" ht="15" customHeight="1" x14ac:dyDescent="0.25">
      <c r="A2259" s="21">
        <v>14272</v>
      </c>
      <c r="B2259" s="22" t="s">
        <v>16</v>
      </c>
      <c r="C2259" s="22" t="s">
        <v>16</v>
      </c>
      <c r="D2259" s="22" t="s">
        <v>4285</v>
      </c>
      <c r="E2259" s="22" t="s">
        <v>4286</v>
      </c>
      <c r="F2259" s="22">
        <v>32.608669227900002</v>
      </c>
      <c r="G2259" s="22">
        <v>44.010179461900002</v>
      </c>
      <c r="H2259" s="21" t="s">
        <v>3858</v>
      </c>
      <c r="I2259" s="21" t="s">
        <v>3934</v>
      </c>
      <c r="J2259" s="21" t="s">
        <v>4287</v>
      </c>
      <c r="K2259" s="24">
        <v>11</v>
      </c>
      <c r="L2259" s="24">
        <v>66</v>
      </c>
      <c r="M2259" s="23">
        <v>1</v>
      </c>
      <c r="N2259" s="23"/>
      <c r="O2259" s="23"/>
      <c r="P2259" s="23"/>
      <c r="Q2259" s="23"/>
      <c r="R2259" s="23">
        <v>1</v>
      </c>
      <c r="S2259" s="23"/>
      <c r="T2259" s="23"/>
      <c r="U2259" s="23"/>
      <c r="V2259" s="23"/>
      <c r="W2259" s="23"/>
      <c r="X2259" s="23"/>
      <c r="Y2259" s="23">
        <v>9</v>
      </c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>
        <v>11</v>
      </c>
      <c r="AL2259" s="23"/>
      <c r="AM2259" s="23"/>
      <c r="AN2259" s="23"/>
      <c r="AO2259" s="23">
        <v>1</v>
      </c>
      <c r="AP2259" s="23">
        <v>10</v>
      </c>
      <c r="AQ2259" s="23"/>
      <c r="AR2259" s="23"/>
      <c r="AS2259" s="23"/>
      <c r="AT2259" s="23"/>
      <c r="AU2259" s="14" t="str">
        <f>HYPERLINK("http://www.openstreetmap.org/?mlat=32.6039&amp;mlon=44.0128&amp;zoom=12#map=12/32.6039/44.0128","Maplink1")</f>
        <v>Maplink1</v>
      </c>
      <c r="AV2259" s="14" t="str">
        <f>HYPERLINK("https://www.google.iq/maps/search/+32.6039,44.0128/@32.6039,44.0128,14z?hl=en","Maplink2")</f>
        <v>Maplink2</v>
      </c>
      <c r="AW2259" s="14" t="str">
        <f>HYPERLINK("http://www.bing.com/maps/?lvl=14&amp;sty=h&amp;cp=32.6039~44.0128&amp;sp=point.32.6039_44.0128_Hay Ramadan 2","Maplink3")</f>
        <v>Maplink3</v>
      </c>
    </row>
    <row r="2260" spans="1:49" ht="15" customHeight="1" x14ac:dyDescent="0.25">
      <c r="A2260" s="21">
        <v>25851</v>
      </c>
      <c r="B2260" s="22" t="s">
        <v>16</v>
      </c>
      <c r="C2260" s="22" t="s">
        <v>16</v>
      </c>
      <c r="D2260" s="22" t="s">
        <v>8043</v>
      </c>
      <c r="E2260" s="22" t="s">
        <v>8044</v>
      </c>
      <c r="F2260" s="22">
        <v>32.636510000000001</v>
      </c>
      <c r="G2260" s="22">
        <v>44.144329999999997</v>
      </c>
      <c r="H2260" s="21" t="s">
        <v>3858</v>
      </c>
      <c r="I2260" s="21" t="s">
        <v>3934</v>
      </c>
      <c r="J2260" s="21"/>
      <c r="K2260" s="24">
        <v>3</v>
      </c>
      <c r="L2260" s="24">
        <v>18</v>
      </c>
      <c r="M2260" s="23"/>
      <c r="N2260" s="23"/>
      <c r="O2260" s="23">
        <v>1</v>
      </c>
      <c r="P2260" s="23"/>
      <c r="Q2260" s="23"/>
      <c r="R2260" s="23">
        <v>1</v>
      </c>
      <c r="S2260" s="23"/>
      <c r="T2260" s="23"/>
      <c r="U2260" s="23"/>
      <c r="V2260" s="23"/>
      <c r="W2260" s="23"/>
      <c r="X2260" s="23"/>
      <c r="Y2260" s="23">
        <v>1</v>
      </c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>
        <v>3</v>
      </c>
      <c r="AL2260" s="23"/>
      <c r="AM2260" s="23"/>
      <c r="AN2260" s="23"/>
      <c r="AO2260" s="23"/>
      <c r="AP2260" s="23">
        <v>1</v>
      </c>
      <c r="AQ2260" s="23">
        <v>2</v>
      </c>
      <c r="AR2260" s="23"/>
      <c r="AS2260" s="23"/>
      <c r="AT2260" s="23"/>
      <c r="AU2260" s="14" t="str">
        <f>HYPERLINK("http://www.openstreetmap.org/?mlat=32.6365&amp;mlon=44.1443&amp;zoom=12#map=12/32.6365/44.1443","Maplink1")</f>
        <v>Maplink1</v>
      </c>
      <c r="AV2260" s="14" t="str">
        <f>HYPERLINK("https://www.google.iq/maps/search/+32.6365,44.1443/@32.6365,44.1443,14z?hl=en","Maplink2")</f>
        <v>Maplink2</v>
      </c>
      <c r="AW2260" s="14" t="str">
        <f>HYPERLINK("http://www.bing.com/maps/?lvl=14&amp;sty=h&amp;cp=32.6365~44.1443&amp;sp=point.32.6365_44.1443_Hor Al Imam Noh","Maplink3")</f>
        <v>Maplink3</v>
      </c>
    </row>
    <row r="2261" spans="1:49" ht="15" customHeight="1" x14ac:dyDescent="0.25">
      <c r="A2261" s="21">
        <v>25263</v>
      </c>
      <c r="B2261" s="22" t="s">
        <v>16</v>
      </c>
      <c r="C2261" s="22" t="s">
        <v>16</v>
      </c>
      <c r="D2261" s="22" t="s">
        <v>4288</v>
      </c>
      <c r="E2261" s="22" t="s">
        <v>4289</v>
      </c>
      <c r="F2261" s="22">
        <v>32.606074735500002</v>
      </c>
      <c r="G2261" s="22">
        <v>44.0598150808</v>
      </c>
      <c r="H2261" s="21" t="s">
        <v>3858</v>
      </c>
      <c r="I2261" s="21" t="s">
        <v>3934</v>
      </c>
      <c r="J2261" s="21"/>
      <c r="K2261" s="24">
        <v>192</v>
      </c>
      <c r="L2261" s="24">
        <v>1152</v>
      </c>
      <c r="M2261" s="23">
        <v>10</v>
      </c>
      <c r="N2261" s="23"/>
      <c r="O2261" s="23"/>
      <c r="P2261" s="23"/>
      <c r="Q2261" s="23"/>
      <c r="R2261" s="23">
        <v>5</v>
      </c>
      <c r="S2261" s="23"/>
      <c r="T2261" s="23"/>
      <c r="U2261" s="23"/>
      <c r="V2261" s="23"/>
      <c r="W2261" s="23"/>
      <c r="X2261" s="23"/>
      <c r="Y2261" s="23">
        <v>165</v>
      </c>
      <c r="Z2261" s="23"/>
      <c r="AA2261" s="23">
        <v>12</v>
      </c>
      <c r="AB2261" s="23"/>
      <c r="AC2261" s="23"/>
      <c r="AD2261" s="23"/>
      <c r="AE2261" s="23"/>
      <c r="AF2261" s="23">
        <v>25</v>
      </c>
      <c r="AG2261" s="23"/>
      <c r="AH2261" s="23">
        <v>3</v>
      </c>
      <c r="AI2261" s="23"/>
      <c r="AJ2261" s="23">
        <v>90</v>
      </c>
      <c r="AK2261" s="23">
        <v>72</v>
      </c>
      <c r="AL2261" s="23"/>
      <c r="AM2261" s="23">
        <v>2</v>
      </c>
      <c r="AN2261" s="23"/>
      <c r="AO2261" s="23">
        <v>10</v>
      </c>
      <c r="AP2261" s="23">
        <v>165</v>
      </c>
      <c r="AQ2261" s="23">
        <v>17</v>
      </c>
      <c r="AR2261" s="23"/>
      <c r="AS2261" s="23"/>
      <c r="AT2261" s="23"/>
      <c r="AU2261" s="14" t="str">
        <f>HYPERLINK("http://www.openstreetmap.org/?mlat=32.3631&amp;mlon=44.0241&amp;zoom=12#map=12/32.3631/44.0241","Maplink1")</f>
        <v>Maplink1</v>
      </c>
      <c r="AV2261" s="14" t="str">
        <f>HYPERLINK("https://www.google.iq/maps/search/+32.3631,44.0241/@32.3631,44.0241,14z?hl=en","Maplink2")</f>
        <v>Maplink2</v>
      </c>
      <c r="AW2261" s="14" t="str">
        <f>HYPERLINK("http://www.bing.com/maps/?lvl=14&amp;sty=h&amp;cp=32.3631~44.0241&amp;sp=point.32.3631_44.0241_Kantraat Al Salam","Maplink3")</f>
        <v>Maplink3</v>
      </c>
    </row>
    <row r="2262" spans="1:49" ht="15" customHeight="1" x14ac:dyDescent="0.25">
      <c r="A2262" s="21">
        <v>25847</v>
      </c>
      <c r="B2262" s="22" t="s">
        <v>16</v>
      </c>
      <c r="C2262" s="22" t="s">
        <v>16</v>
      </c>
      <c r="D2262" s="22" t="s">
        <v>4294</v>
      </c>
      <c r="E2262" s="22" t="s">
        <v>4295</v>
      </c>
      <c r="F2262" s="22">
        <v>32.604801231099998</v>
      </c>
      <c r="G2262" s="22">
        <v>44.081452125699997</v>
      </c>
      <c r="H2262" s="21" t="s">
        <v>3858</v>
      </c>
      <c r="I2262" s="21" t="s">
        <v>3934</v>
      </c>
      <c r="J2262" s="21"/>
      <c r="K2262" s="24">
        <v>22</v>
      </c>
      <c r="L2262" s="24">
        <v>132</v>
      </c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>
        <v>22</v>
      </c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>
        <v>6</v>
      </c>
      <c r="AK2262" s="23">
        <v>16</v>
      </c>
      <c r="AL2262" s="23"/>
      <c r="AM2262" s="23"/>
      <c r="AN2262" s="23"/>
      <c r="AO2262" s="23"/>
      <c r="AP2262" s="23">
        <v>22</v>
      </c>
      <c r="AQ2262" s="23"/>
      <c r="AR2262" s="23"/>
      <c r="AS2262" s="23"/>
      <c r="AT2262" s="23"/>
      <c r="AU2262" s="14" t="str">
        <f>HYPERLINK("http://www.openstreetmap.org/?mlat=32.6005&amp;mlon=44.0444&amp;zoom=12#map=12/32.6005/44.0444","Maplink1")</f>
        <v>Maplink1</v>
      </c>
      <c r="AV2262" s="14" t="str">
        <f>HYPERLINK("https://www.google.iq/maps/search/+32.6005,44.0444/@32.6005,44.0444,14z?hl=en","Maplink2")</f>
        <v>Maplink2</v>
      </c>
      <c r="AW2262" s="14" t="str">
        <f>HYPERLINK("http://www.bing.com/maps/?lvl=14&amp;sty=h&amp;cp=32.6005~44.0444&amp;sp=point.32.6005_44.0444_Kerbala1","Maplink3")</f>
        <v>Maplink3</v>
      </c>
    </row>
    <row r="2263" spans="1:49" ht="15" customHeight="1" x14ac:dyDescent="0.25">
      <c r="A2263" s="21">
        <v>25854</v>
      </c>
      <c r="B2263" s="22" t="s">
        <v>16</v>
      </c>
      <c r="C2263" s="22" t="s">
        <v>16</v>
      </c>
      <c r="D2263" s="22" t="s">
        <v>4296</v>
      </c>
      <c r="E2263" s="22" t="s">
        <v>4297</v>
      </c>
      <c r="F2263" s="22">
        <v>32.654485297400001</v>
      </c>
      <c r="G2263" s="22">
        <v>44.117687596000003</v>
      </c>
      <c r="H2263" s="21" t="s">
        <v>3858</v>
      </c>
      <c r="I2263" s="21" t="s">
        <v>3934</v>
      </c>
      <c r="J2263" s="21"/>
      <c r="K2263" s="24">
        <v>10</v>
      </c>
      <c r="L2263" s="24">
        <v>60</v>
      </c>
      <c r="M2263" s="23">
        <v>5</v>
      </c>
      <c r="N2263" s="23"/>
      <c r="O2263" s="23"/>
      <c r="P2263" s="23"/>
      <c r="Q2263" s="23"/>
      <c r="R2263" s="23">
        <v>1</v>
      </c>
      <c r="S2263" s="23"/>
      <c r="T2263" s="23"/>
      <c r="U2263" s="23"/>
      <c r="V2263" s="23"/>
      <c r="W2263" s="23"/>
      <c r="X2263" s="23"/>
      <c r="Y2263" s="23">
        <v>4</v>
      </c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>
        <v>1</v>
      </c>
      <c r="AK2263" s="23">
        <v>9</v>
      </c>
      <c r="AL2263" s="23"/>
      <c r="AM2263" s="23"/>
      <c r="AN2263" s="23"/>
      <c r="AO2263" s="23">
        <v>5</v>
      </c>
      <c r="AP2263" s="23">
        <v>4</v>
      </c>
      <c r="AQ2263" s="23"/>
      <c r="AR2263" s="23"/>
      <c r="AS2263" s="23">
        <v>1</v>
      </c>
      <c r="AT2263" s="23"/>
      <c r="AU2263" s="14" t="str">
        <f>HYPERLINK("http://www.openstreetmap.org/?mlat=32.6487&amp;mlon=44.1399&amp;zoom=12#map=12/32.6487/44.1399","Maplink1")</f>
        <v>Maplink1</v>
      </c>
      <c r="AV2263" s="14" t="str">
        <f>HYPERLINK("https://www.google.iq/maps/search/+32.6487,44.1399/@32.6487,44.1399,14z?hl=en","Maplink2")</f>
        <v>Maplink2</v>
      </c>
      <c r="AW2263" s="14" t="str">
        <f>HYPERLINK("http://www.bing.com/maps/?lvl=14&amp;sty=h&amp;cp=32.6487~44.1399&amp;sp=point.32.6487_44.1399_Khair Al-den Al Janouby","Maplink3")</f>
        <v>Maplink3</v>
      </c>
    </row>
    <row r="2264" spans="1:49" ht="15" customHeight="1" x14ac:dyDescent="0.25">
      <c r="A2264" s="21">
        <v>25853</v>
      </c>
      <c r="B2264" s="22" t="s">
        <v>16</v>
      </c>
      <c r="C2264" s="22" t="s">
        <v>16</v>
      </c>
      <c r="D2264" s="22" t="s">
        <v>4298</v>
      </c>
      <c r="E2264" s="22" t="s">
        <v>4299</v>
      </c>
      <c r="F2264" s="22">
        <v>32.652276121100002</v>
      </c>
      <c r="G2264" s="22">
        <v>44.114143392099997</v>
      </c>
      <c r="H2264" s="21" t="s">
        <v>3858</v>
      </c>
      <c r="I2264" s="21" t="s">
        <v>3934</v>
      </c>
      <c r="J2264" s="21"/>
      <c r="K2264" s="24">
        <v>7</v>
      </c>
      <c r="L2264" s="24">
        <v>42</v>
      </c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>
        <v>7</v>
      </c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>
        <v>7</v>
      </c>
      <c r="AK2264" s="23"/>
      <c r="AL2264" s="23"/>
      <c r="AM2264" s="23"/>
      <c r="AN2264" s="23"/>
      <c r="AO2264" s="23"/>
      <c r="AP2264" s="23">
        <v>7</v>
      </c>
      <c r="AQ2264" s="23"/>
      <c r="AR2264" s="23"/>
      <c r="AS2264" s="23"/>
      <c r="AT2264" s="23"/>
      <c r="AU2264" s="14" t="str">
        <f>HYPERLINK("http://www.openstreetmap.org/?mlat=32.6545&amp;mlon=44.1388&amp;zoom=12#map=12/32.6545/44.1388","Maplink1")</f>
        <v>Maplink1</v>
      </c>
      <c r="AV2264" s="14" t="str">
        <f>HYPERLINK("https://www.google.iq/maps/search/+32.6545,44.1388/@32.6545,44.1388,14z?hl=en","Maplink2")</f>
        <v>Maplink2</v>
      </c>
      <c r="AW2264" s="14" t="str">
        <f>HYPERLINK("http://www.bing.com/maps/?lvl=14&amp;sty=h&amp;cp=32.6545~44.1388&amp;sp=point.32.6545_44.1388_Khair Al-den Al Shamaly","Maplink3")</f>
        <v>Maplink3</v>
      </c>
    </row>
    <row r="2265" spans="1:49" ht="15" customHeight="1" x14ac:dyDescent="0.25">
      <c r="A2265" s="21">
        <v>14102</v>
      </c>
      <c r="B2265" s="22" t="s">
        <v>16</v>
      </c>
      <c r="C2265" s="22" t="s">
        <v>16</v>
      </c>
      <c r="D2265" s="22" t="s">
        <v>4300</v>
      </c>
      <c r="E2265" s="22" t="s">
        <v>4301</v>
      </c>
      <c r="F2265" s="22">
        <v>32.614148352299999</v>
      </c>
      <c r="G2265" s="22">
        <v>44.030738174900002</v>
      </c>
      <c r="H2265" s="21" t="s">
        <v>3858</v>
      </c>
      <c r="I2265" s="21" t="s">
        <v>3934</v>
      </c>
      <c r="J2265" s="21" t="s">
        <v>4302</v>
      </c>
      <c r="K2265" s="24">
        <v>65</v>
      </c>
      <c r="L2265" s="24">
        <v>390</v>
      </c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>
        <v>65</v>
      </c>
      <c r="Z2265" s="23"/>
      <c r="AA2265" s="23"/>
      <c r="AB2265" s="23"/>
      <c r="AC2265" s="23"/>
      <c r="AD2265" s="23"/>
      <c r="AE2265" s="23"/>
      <c r="AF2265" s="23">
        <v>32</v>
      </c>
      <c r="AG2265" s="23"/>
      <c r="AH2265" s="23"/>
      <c r="AI2265" s="23"/>
      <c r="AJ2265" s="23"/>
      <c r="AK2265" s="23">
        <v>33</v>
      </c>
      <c r="AL2265" s="23"/>
      <c r="AM2265" s="23"/>
      <c r="AN2265" s="23"/>
      <c r="AO2265" s="23"/>
      <c r="AP2265" s="23">
        <v>65</v>
      </c>
      <c r="AQ2265" s="23"/>
      <c r="AR2265" s="23"/>
      <c r="AS2265" s="23"/>
      <c r="AT2265" s="23"/>
      <c r="AU2265" s="14" t="str">
        <f>HYPERLINK("http://www.openstreetmap.org/?mlat=32.6147&amp;mlon=44.0306&amp;zoom=12#map=12/32.6147/44.0306","Maplink1")</f>
        <v>Maplink1</v>
      </c>
      <c r="AV2265" s="14" t="str">
        <f>HYPERLINK("https://www.google.iq/maps/search/+32.6147,44.0306/@32.6147,44.0306,14z?hl=en","Maplink2")</f>
        <v>Maplink2</v>
      </c>
      <c r="AW2265" s="14" t="str">
        <f>HYPERLINK("http://www.bing.com/maps/?lvl=14&amp;sty=h&amp;cp=32.6147~44.0306&amp;sp=point.32.6147_44.0306_Mahlat al-mukheim","Maplink3")</f>
        <v>Maplink3</v>
      </c>
    </row>
    <row r="2266" spans="1:49" ht="15" customHeight="1" x14ac:dyDescent="0.25">
      <c r="A2266" s="21">
        <v>14121</v>
      </c>
      <c r="B2266" s="22" t="s">
        <v>16</v>
      </c>
      <c r="C2266" s="22" t="s">
        <v>16</v>
      </c>
      <c r="D2266" s="22" t="s">
        <v>4303</v>
      </c>
      <c r="E2266" s="22" t="s">
        <v>4304</v>
      </c>
      <c r="F2266" s="22">
        <v>32.617217889099997</v>
      </c>
      <c r="G2266" s="22">
        <v>44.040110316099998</v>
      </c>
      <c r="H2266" s="21" t="s">
        <v>3858</v>
      </c>
      <c r="I2266" s="21" t="s">
        <v>3934</v>
      </c>
      <c r="J2266" s="21" t="s">
        <v>4305</v>
      </c>
      <c r="K2266" s="24">
        <v>100</v>
      </c>
      <c r="L2266" s="24">
        <v>600</v>
      </c>
      <c r="M2266" s="23">
        <v>1</v>
      </c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>
        <v>99</v>
      </c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>
        <v>100</v>
      </c>
      <c r="AL2266" s="23"/>
      <c r="AM2266" s="23"/>
      <c r="AN2266" s="23"/>
      <c r="AO2266" s="23">
        <v>1</v>
      </c>
      <c r="AP2266" s="23">
        <v>99</v>
      </c>
      <c r="AQ2266" s="23"/>
      <c r="AR2266" s="23"/>
      <c r="AS2266" s="23"/>
      <c r="AT2266" s="23"/>
      <c r="AU2266" s="14" t="str">
        <f>HYPERLINK("http://www.openstreetmap.org/?mlat=32.6222&amp;mlon=44.0328&amp;zoom=12#map=12/32.6222/44.0328","Maplink1")</f>
        <v>Maplink1</v>
      </c>
      <c r="AV2266" s="14" t="str">
        <f>HYPERLINK("https://www.google.iq/maps/search/+32.6222,44.0328/@32.6222,44.0328,14z?hl=en","Maplink2")</f>
        <v>Maplink2</v>
      </c>
      <c r="AW2266" s="14" t="str">
        <f>HYPERLINK("http://www.bing.com/maps/?lvl=14&amp;sty=h&amp;cp=32.6222~44.0328&amp;sp=point.32.6222_44.0328_Mahlat bab al-khan","Maplink3")</f>
        <v>Maplink3</v>
      </c>
    </row>
    <row r="2267" spans="1:49" ht="15" customHeight="1" x14ac:dyDescent="0.25">
      <c r="A2267" s="21">
        <v>14114</v>
      </c>
      <c r="B2267" s="22" t="s">
        <v>16</v>
      </c>
      <c r="C2267" s="22" t="s">
        <v>16</v>
      </c>
      <c r="D2267" s="22" t="s">
        <v>4306</v>
      </c>
      <c r="E2267" s="22" t="s">
        <v>4307</v>
      </c>
      <c r="F2267" s="22">
        <v>32.619282100299998</v>
      </c>
      <c r="G2267" s="22">
        <v>44.033661195999997</v>
      </c>
      <c r="H2267" s="21" t="s">
        <v>3858</v>
      </c>
      <c r="I2267" s="21" t="s">
        <v>3934</v>
      </c>
      <c r="J2267" s="21" t="s">
        <v>4308</v>
      </c>
      <c r="K2267" s="24">
        <v>40</v>
      </c>
      <c r="L2267" s="24">
        <v>240</v>
      </c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>
        <v>40</v>
      </c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>
        <v>40</v>
      </c>
      <c r="AL2267" s="23"/>
      <c r="AM2267" s="23"/>
      <c r="AN2267" s="23"/>
      <c r="AO2267" s="23"/>
      <c r="AP2267" s="23">
        <v>40</v>
      </c>
      <c r="AQ2267" s="23"/>
      <c r="AR2267" s="23"/>
      <c r="AS2267" s="23"/>
      <c r="AT2267" s="23"/>
      <c r="AU2267" s="14" t="str">
        <f>HYPERLINK("http://www.openstreetmap.org/?mlat=32.62&amp;mlon=44.0325&amp;zoom=12#map=12/32.62/44.0325","Maplink1")</f>
        <v>Maplink1</v>
      </c>
      <c r="AV2267" s="14" t="str">
        <f>HYPERLINK("https://www.google.iq/maps/search/+32.62,44.0325/@32.62,44.0325,14z?hl=en","Maplink2")</f>
        <v>Maplink2</v>
      </c>
      <c r="AW2267" s="14" t="str">
        <f>HYPERLINK("http://www.bing.com/maps/?lvl=14&amp;sty=h&amp;cp=32.62~44.0325&amp;sp=point.32.62_44.0325_Mahlat bab al-taak","Maplink3")</f>
        <v>Maplink3</v>
      </c>
    </row>
    <row r="2268" spans="1:49" ht="15" customHeight="1" x14ac:dyDescent="0.25">
      <c r="A2268" s="21">
        <v>14117</v>
      </c>
      <c r="B2268" s="22" t="s">
        <v>16</v>
      </c>
      <c r="C2268" s="22" t="s">
        <v>16</v>
      </c>
      <c r="D2268" s="22" t="s">
        <v>4309</v>
      </c>
      <c r="E2268" s="22" t="s">
        <v>4310</v>
      </c>
      <c r="F2268" s="22">
        <v>32.618679692999997</v>
      </c>
      <c r="G2268" s="22">
        <v>44.036551443900002</v>
      </c>
      <c r="H2268" s="21" t="s">
        <v>3858</v>
      </c>
      <c r="I2268" s="21" t="s">
        <v>3934</v>
      </c>
      <c r="J2268" s="21" t="s">
        <v>4311</v>
      </c>
      <c r="K2268" s="24">
        <v>20</v>
      </c>
      <c r="L2268" s="24">
        <v>120</v>
      </c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>
        <v>20</v>
      </c>
      <c r="Z2268" s="23"/>
      <c r="AA2268" s="23"/>
      <c r="AB2268" s="23"/>
      <c r="AC2268" s="23"/>
      <c r="AD2268" s="23"/>
      <c r="AE2268" s="23"/>
      <c r="AF2268" s="23">
        <v>1</v>
      </c>
      <c r="AG2268" s="23"/>
      <c r="AH2268" s="23"/>
      <c r="AI2268" s="23"/>
      <c r="AJ2268" s="23"/>
      <c r="AK2268" s="23">
        <v>19</v>
      </c>
      <c r="AL2268" s="23"/>
      <c r="AM2268" s="23"/>
      <c r="AN2268" s="23"/>
      <c r="AO2268" s="23"/>
      <c r="AP2268" s="23">
        <v>20</v>
      </c>
      <c r="AQ2268" s="23"/>
      <c r="AR2268" s="23"/>
      <c r="AS2268" s="23"/>
      <c r="AT2268" s="23"/>
      <c r="AU2268" s="14" t="str">
        <f>HYPERLINK("http://www.openstreetmap.org/?mlat=32.6208&amp;mlon=44.0392&amp;zoom=12#map=12/32.6208/44.0392","Maplink1")</f>
        <v>Maplink1</v>
      </c>
      <c r="AV2268" s="14" t="str">
        <f>HYPERLINK("https://www.google.iq/maps/search/+32.6208,44.0392/@32.6208,44.0392,14z?hl=en","Maplink2")</f>
        <v>Maplink2</v>
      </c>
      <c r="AW2268" s="14" t="str">
        <f>HYPERLINK("http://www.bing.com/maps/?lvl=14&amp;sty=h&amp;cp=32.6208~44.0392&amp;sp=point.32.6208_44.0392_Mahlat bab baghdad","Maplink3")</f>
        <v>Maplink3</v>
      </c>
    </row>
    <row r="2269" spans="1:49" ht="15" customHeight="1" x14ac:dyDescent="0.25">
      <c r="A2269" s="21">
        <v>24137</v>
      </c>
      <c r="B2269" s="22" t="s">
        <v>16</v>
      </c>
      <c r="C2269" s="22" t="s">
        <v>16</v>
      </c>
      <c r="D2269" s="22" t="s">
        <v>4314</v>
      </c>
      <c r="E2269" s="22" t="s">
        <v>4315</v>
      </c>
      <c r="F2269" s="22">
        <v>32.618691343800002</v>
      </c>
      <c r="G2269" s="22">
        <v>44.042440149900003</v>
      </c>
      <c r="H2269" s="21" t="s">
        <v>3858</v>
      </c>
      <c r="I2269" s="21" t="s">
        <v>3934</v>
      </c>
      <c r="J2269" s="21" t="s">
        <v>4316</v>
      </c>
      <c r="K2269" s="24">
        <v>140</v>
      </c>
      <c r="L2269" s="24">
        <v>840</v>
      </c>
      <c r="M2269" s="23"/>
      <c r="N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>
        <v>140</v>
      </c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>
        <v>50</v>
      </c>
      <c r="AK2269" s="23">
        <v>90</v>
      </c>
      <c r="AL2269" s="23"/>
      <c r="AM2269" s="23"/>
      <c r="AN2269" s="23"/>
      <c r="AO2269" s="23"/>
      <c r="AP2269" s="23">
        <v>140</v>
      </c>
      <c r="AQ2269" s="23"/>
      <c r="AR2269" s="23"/>
      <c r="AS2269" s="23"/>
      <c r="AT2269" s="23"/>
      <c r="AU2269" s="14" t="str">
        <f>HYPERLINK("http://www.openstreetmap.org/?mlat=32.3657&amp;mlon=44.023&amp;zoom=12#map=12/32.3657/44.023","Maplink1")</f>
        <v>Maplink1</v>
      </c>
      <c r="AV2269" s="14" t="str">
        <f>HYPERLINK("https://www.google.iq/maps/search/+32.3657,44.023/@32.3657,44.023,14z?hl=en","Maplink2")</f>
        <v>Maplink2</v>
      </c>
      <c r="AW2269" s="14" t="str">
        <f>HYPERLINK("http://www.bing.com/maps/?lvl=14&amp;sty=h&amp;cp=32.3657~44.023&amp;sp=point.32.3657_44.023_Maitham Al Tammar","Maplink3")</f>
        <v>Maplink3</v>
      </c>
    </row>
    <row r="2270" spans="1:49" ht="15" customHeight="1" x14ac:dyDescent="0.25">
      <c r="A2270" s="21">
        <v>24578</v>
      </c>
      <c r="B2270" s="22" t="s">
        <v>16</v>
      </c>
      <c r="C2270" s="22" t="s">
        <v>16</v>
      </c>
      <c r="D2270" s="22" t="s">
        <v>4317</v>
      </c>
      <c r="E2270" s="22" t="s">
        <v>4318</v>
      </c>
      <c r="F2270" s="22">
        <v>32.605012706499998</v>
      </c>
      <c r="G2270" s="22">
        <v>44.000019840900002</v>
      </c>
      <c r="H2270" s="21" t="s">
        <v>3858</v>
      </c>
      <c r="I2270" s="21" t="s">
        <v>3934</v>
      </c>
      <c r="J2270" s="21"/>
      <c r="K2270" s="24">
        <v>16</v>
      </c>
      <c r="L2270" s="24">
        <v>96</v>
      </c>
      <c r="M2270" s="23">
        <v>3</v>
      </c>
      <c r="N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>
        <v>13</v>
      </c>
      <c r="Z2270" s="23"/>
      <c r="AA2270" s="23"/>
      <c r="AB2270" s="23"/>
      <c r="AC2270" s="23"/>
      <c r="AD2270" s="23"/>
      <c r="AE2270" s="23"/>
      <c r="AF2270" s="23">
        <v>2</v>
      </c>
      <c r="AG2270" s="23"/>
      <c r="AH2270" s="23"/>
      <c r="AI2270" s="23"/>
      <c r="AJ2270" s="23"/>
      <c r="AK2270" s="23">
        <v>14</v>
      </c>
      <c r="AL2270" s="23"/>
      <c r="AM2270" s="23"/>
      <c r="AN2270" s="23"/>
      <c r="AO2270" s="23">
        <v>3</v>
      </c>
      <c r="AP2270" s="23">
        <v>13</v>
      </c>
      <c r="AQ2270" s="23"/>
      <c r="AR2270" s="23"/>
      <c r="AS2270" s="23"/>
      <c r="AT2270" s="23"/>
      <c r="AU2270" s="14" t="str">
        <f>HYPERLINK("http://www.openstreetmap.org/?mlat=32.3629&amp;mlon=44.0018&amp;zoom=12#map=12/32.3629/44.0018","Maplink1")</f>
        <v>Maplink1</v>
      </c>
      <c r="AV2270" s="14" t="str">
        <f>HYPERLINK("https://www.google.iq/maps/search/+32.3629,44.0018/@32.3629,44.0018,14z?hl=en","Maplink2")</f>
        <v>Maplink2</v>
      </c>
      <c r="AW2270" s="14" t="str">
        <f>HYPERLINK("http://www.bing.com/maps/?lvl=14&amp;sty=h&amp;cp=32.3629~44.0018&amp;sp=point.32.3629_44.0018_Malhak Dubbat Al-Mudfeen","Maplink3")</f>
        <v>Maplink3</v>
      </c>
    </row>
    <row r="2271" spans="1:49" ht="15" customHeight="1" x14ac:dyDescent="0.25">
      <c r="A2271" s="21">
        <v>25846</v>
      </c>
      <c r="B2271" s="22" t="s">
        <v>16</v>
      </c>
      <c r="C2271" s="22" t="s">
        <v>16</v>
      </c>
      <c r="D2271" s="22" t="s">
        <v>4319</v>
      </c>
      <c r="E2271" s="22" t="s">
        <v>4320</v>
      </c>
      <c r="F2271" s="22">
        <v>32.603998538100001</v>
      </c>
      <c r="G2271" s="22">
        <v>44.093309501199997</v>
      </c>
      <c r="H2271" s="21" t="s">
        <v>3858</v>
      </c>
      <c r="I2271" s="21" t="s">
        <v>3934</v>
      </c>
      <c r="J2271" s="21"/>
      <c r="K2271" s="24">
        <v>87</v>
      </c>
      <c r="L2271" s="24">
        <v>522</v>
      </c>
      <c r="M2271" s="23"/>
      <c r="N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>
        <v>87</v>
      </c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>
        <v>80</v>
      </c>
      <c r="AK2271" s="23">
        <v>7</v>
      </c>
      <c r="AL2271" s="23"/>
      <c r="AM2271" s="23"/>
      <c r="AN2271" s="23"/>
      <c r="AO2271" s="23"/>
      <c r="AP2271" s="23">
        <v>87</v>
      </c>
      <c r="AQ2271" s="23"/>
      <c r="AR2271" s="23"/>
      <c r="AS2271" s="23"/>
      <c r="AT2271" s="23"/>
      <c r="AU2271" s="14" t="str">
        <f>HYPERLINK("http://www.openstreetmap.org/?mlat=32.6004&amp;mlon=44.0907&amp;zoom=12#map=12/32.6004/44.0907","Maplink1")</f>
        <v>Maplink1</v>
      </c>
      <c r="AV2271" s="14" t="str">
        <f>HYPERLINK("https://www.google.iq/maps/search/+32.6004,44.0907/@32.6004,44.0907,14z?hl=en","Maplink2")</f>
        <v>Maplink2</v>
      </c>
      <c r="AW2271" s="14" t="str">
        <f>HYPERLINK("http://www.bing.com/maps/?lvl=14&amp;sty=h&amp;cp=32.6004~44.0907&amp;sp=point.32.6004_44.0907_Mamel Al Jobor","Maplink3")</f>
        <v>Maplink3</v>
      </c>
    </row>
    <row r="2272" spans="1:49" ht="15" customHeight="1" x14ac:dyDescent="0.25">
      <c r="A2272" s="21">
        <v>25363</v>
      </c>
      <c r="B2272" s="22" t="s">
        <v>16</v>
      </c>
      <c r="C2272" s="22" t="s">
        <v>16</v>
      </c>
      <c r="D2272" s="22" t="s">
        <v>4324</v>
      </c>
      <c r="E2272" s="22" t="s">
        <v>4325</v>
      </c>
      <c r="F2272" s="22">
        <v>32.5808885414</v>
      </c>
      <c r="G2272" s="22">
        <v>43.992062564900003</v>
      </c>
      <c r="H2272" s="21" t="s">
        <v>3858</v>
      </c>
      <c r="I2272" s="21" t="s">
        <v>3934</v>
      </c>
      <c r="J2272" s="21"/>
      <c r="K2272" s="24">
        <v>14</v>
      </c>
      <c r="L2272" s="24">
        <v>84</v>
      </c>
      <c r="M2272" s="23">
        <v>4</v>
      </c>
      <c r="N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>
        <v>10</v>
      </c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14</v>
      </c>
      <c r="AL2272" s="23"/>
      <c r="AM2272" s="23"/>
      <c r="AN2272" s="23"/>
      <c r="AO2272" s="23"/>
      <c r="AP2272" s="23">
        <v>10</v>
      </c>
      <c r="AQ2272" s="23">
        <v>4</v>
      </c>
      <c r="AR2272" s="23"/>
      <c r="AS2272" s="23"/>
      <c r="AT2272" s="23"/>
      <c r="AU2272" s="14" t="str">
        <f>HYPERLINK("http://www.openstreetmap.org/?mlat=32.581&amp;mlon=44.0007&amp;zoom=12#map=12/32.581/44.0007","Maplink1")</f>
        <v>Maplink1</v>
      </c>
      <c r="AV2272" s="14" t="str">
        <f>HYPERLINK("https://www.google.iq/maps/search/+32.581,44.0007/@32.581,44.0007,14z?hl=en","Maplink2")</f>
        <v>Maplink2</v>
      </c>
      <c r="AW2272" s="14" t="str">
        <f>HYPERLINK("http://www.bing.com/maps/?lvl=14&amp;sty=h&amp;cp=32.581~44.0007&amp;sp=point.32.581_44.0007_Molahak Al Atbaa","Maplink3")</f>
        <v>Maplink3</v>
      </c>
    </row>
    <row r="2273" spans="1:49" ht="15" customHeight="1" x14ac:dyDescent="0.25">
      <c r="A2273" s="21">
        <v>25536</v>
      </c>
      <c r="B2273" s="22" t="s">
        <v>16</v>
      </c>
      <c r="C2273" s="22" t="s">
        <v>16</v>
      </c>
      <c r="D2273" s="22" t="s">
        <v>8885</v>
      </c>
      <c r="E2273" s="22" t="s">
        <v>4351</v>
      </c>
      <c r="F2273" s="22">
        <v>32.578048836400001</v>
      </c>
      <c r="G2273" s="22">
        <v>43.994434727399998</v>
      </c>
      <c r="H2273" s="21" t="s">
        <v>3858</v>
      </c>
      <c r="I2273" s="21" t="s">
        <v>3934</v>
      </c>
      <c r="J2273" s="21"/>
      <c r="K2273" s="24">
        <v>4</v>
      </c>
      <c r="L2273" s="24">
        <v>24</v>
      </c>
      <c r="M2273" s="23">
        <v>1</v>
      </c>
      <c r="N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>
        <v>3</v>
      </c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4</v>
      </c>
      <c r="AL2273" s="23"/>
      <c r="AM2273" s="23"/>
      <c r="AN2273" s="23"/>
      <c r="AO2273" s="23"/>
      <c r="AP2273" s="23">
        <v>3</v>
      </c>
      <c r="AQ2273" s="23"/>
      <c r="AR2273" s="23">
        <v>1</v>
      </c>
      <c r="AS2273" s="23"/>
      <c r="AT2273" s="23"/>
      <c r="AU2273" s="14" t="str">
        <f>HYPERLINK("http://www.openstreetmap.org/?mlat=32.5792&amp;mlon=43.9978&amp;zoom=12#map=12/32.5792/43.9978","Maplink1")</f>
        <v>Maplink1</v>
      </c>
      <c r="AV2273" s="14" t="str">
        <f>HYPERLINK("https://www.google.iq/maps/search/+32.5792,43.9978/@32.5792,43.9978,14z?hl=en","Maplink2")</f>
        <v>Maplink2</v>
      </c>
      <c r="AW2273" s="14" t="str">
        <f>HYPERLINK("http://www.bing.com/maps/?lvl=14&amp;sty=h&amp;cp=32.5792~43.9978&amp;sp=point.32.5792_43.9978_Tajawez Molhak Al Atbaa","Maplink3")</f>
        <v>Maplink3</v>
      </c>
    </row>
    <row r="2274" spans="1:49" ht="15" customHeight="1" x14ac:dyDescent="0.25">
      <c r="A2274" s="21">
        <v>14280</v>
      </c>
      <c r="B2274" s="22" t="s">
        <v>16</v>
      </c>
      <c r="C2274" s="22" t="s">
        <v>16</v>
      </c>
      <c r="D2274" s="22" t="s">
        <v>4326</v>
      </c>
      <c r="E2274" s="22" t="s">
        <v>4327</v>
      </c>
      <c r="F2274" s="22">
        <v>32.558496203300002</v>
      </c>
      <c r="G2274" s="22">
        <v>44.025048958100001</v>
      </c>
      <c r="H2274" s="21" t="s">
        <v>3858</v>
      </c>
      <c r="I2274" s="21" t="s">
        <v>3934</v>
      </c>
      <c r="J2274" s="21" t="s">
        <v>4328</v>
      </c>
      <c r="K2274" s="24">
        <v>20</v>
      </c>
      <c r="L2274" s="24">
        <v>120</v>
      </c>
      <c r="M2274" s="23">
        <v>5</v>
      </c>
      <c r="N2274" s="23"/>
      <c r="O2274" s="23"/>
      <c r="P2274" s="23"/>
      <c r="Q2274" s="23"/>
      <c r="R2274" s="23"/>
      <c r="S2274" s="23"/>
      <c r="T2274" s="23"/>
      <c r="U2274" s="23">
        <v>2</v>
      </c>
      <c r="V2274" s="23"/>
      <c r="W2274" s="23"/>
      <c r="X2274" s="23"/>
      <c r="Y2274" s="23">
        <v>13</v>
      </c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>
        <v>20</v>
      </c>
      <c r="AL2274" s="23"/>
      <c r="AM2274" s="23"/>
      <c r="AN2274" s="23"/>
      <c r="AO2274" s="23"/>
      <c r="AP2274" s="23">
        <v>20</v>
      </c>
      <c r="AQ2274" s="23"/>
      <c r="AR2274" s="23"/>
      <c r="AS2274" s="23"/>
      <c r="AT2274" s="23"/>
      <c r="AU2274" s="14" t="str">
        <f>HYPERLINK("http://www.openstreetmap.org/?mlat=32.5789&amp;mlon=43.9955&amp;zoom=12#map=12/32.5789/43.9955","Maplink1")</f>
        <v>Maplink1</v>
      </c>
      <c r="AV2274" s="14" t="str">
        <f>HYPERLINK("https://www.google.iq/maps/search/+32.5789,43.9955/@32.5789,43.9955,14z?hl=en","Maplink2")</f>
        <v>Maplink2</v>
      </c>
      <c r="AW2274" s="14" t="str">
        <f>HYPERLINK("http://www.bing.com/maps/?lvl=14&amp;sty=h&amp;cp=32.5789~43.9955&amp;sp=point.32.5789_43.9955_Molhak al fares","Maplink3")</f>
        <v>Maplink3</v>
      </c>
    </row>
    <row r="2275" spans="1:49" ht="15" customHeight="1" x14ac:dyDescent="0.25">
      <c r="A2275" s="21">
        <v>28409</v>
      </c>
      <c r="B2275" s="22" t="s">
        <v>16</v>
      </c>
      <c r="C2275" s="22" t="s">
        <v>16</v>
      </c>
      <c r="D2275" s="22" t="s">
        <v>4329</v>
      </c>
      <c r="E2275" s="22" t="s">
        <v>4330</v>
      </c>
      <c r="F2275" s="22">
        <v>32.569075296599998</v>
      </c>
      <c r="G2275" s="22">
        <v>44.040450788999998</v>
      </c>
      <c r="H2275" s="21"/>
      <c r="I2275" s="21"/>
      <c r="J2275" s="21"/>
      <c r="K2275" s="24">
        <v>10</v>
      </c>
      <c r="L2275" s="24">
        <v>60</v>
      </c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>
        <v>10</v>
      </c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>
        <v>10</v>
      </c>
      <c r="AL2275" s="23"/>
      <c r="AM2275" s="23"/>
      <c r="AN2275" s="23"/>
      <c r="AO2275" s="23"/>
      <c r="AP2275" s="23">
        <v>10</v>
      </c>
      <c r="AQ2275" s="23"/>
      <c r="AR2275" s="23"/>
      <c r="AS2275" s="23"/>
      <c r="AT2275" s="23"/>
      <c r="AU2275" s="14" t="str">
        <f>HYPERLINK("http://www.openstreetmap.org/?mlat=32.5593&amp;mlon=44.0311&amp;zoom=12#map=12/32.5593/44.0311","Maplink1")</f>
        <v>Maplink1</v>
      </c>
      <c r="AV2275" s="14" t="str">
        <f>HYPERLINK("https://www.google.iq/maps/search/+32.5593,44.0311/@32.5593,44.0311,14z?hl=en","Maplink2")</f>
        <v>Maplink2</v>
      </c>
      <c r="AW2275" s="14" t="str">
        <f>HYPERLINK("http://www.bing.com/maps/?lvl=14&amp;sty=h&amp;cp=32.5593~44.0311&amp;sp=point.32.5593_44.0311_Al Angaa","Maplink3")</f>
        <v>Maplink3</v>
      </c>
    </row>
    <row r="2276" spans="1:49" ht="15" customHeight="1" x14ac:dyDescent="0.25">
      <c r="A2276" s="21">
        <v>25056</v>
      </c>
      <c r="B2276" s="22" t="s">
        <v>16</v>
      </c>
      <c r="C2276" s="22" t="s">
        <v>16</v>
      </c>
      <c r="D2276" s="22" t="s">
        <v>4331</v>
      </c>
      <c r="E2276" s="22" t="s">
        <v>4332</v>
      </c>
      <c r="F2276" s="22">
        <v>32.596386848000002</v>
      </c>
      <c r="G2276" s="22">
        <v>44.075806746300003</v>
      </c>
      <c r="H2276" s="21" t="s">
        <v>3858</v>
      </c>
      <c r="I2276" s="21" t="s">
        <v>3934</v>
      </c>
      <c r="J2276" s="21"/>
      <c r="K2276" s="24">
        <v>19</v>
      </c>
      <c r="L2276" s="24">
        <v>114</v>
      </c>
      <c r="M2276" s="23"/>
      <c r="N2276" s="23"/>
      <c r="O2276" s="23">
        <v>2</v>
      </c>
      <c r="P2276" s="23"/>
      <c r="Q2276" s="23"/>
      <c r="R2276" s="23">
        <v>4</v>
      </c>
      <c r="S2276" s="23"/>
      <c r="T2276" s="23"/>
      <c r="U2276" s="23"/>
      <c r="V2276" s="23"/>
      <c r="W2276" s="23"/>
      <c r="X2276" s="23"/>
      <c r="Y2276" s="23">
        <v>13</v>
      </c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>
        <v>17</v>
      </c>
      <c r="AK2276" s="23">
        <v>2</v>
      </c>
      <c r="AL2276" s="23"/>
      <c r="AM2276" s="23"/>
      <c r="AN2276" s="23"/>
      <c r="AO2276" s="23"/>
      <c r="AP2276" s="23">
        <v>19</v>
      </c>
      <c r="AQ2276" s="23"/>
      <c r="AR2276" s="23"/>
      <c r="AS2276" s="23"/>
      <c r="AT2276" s="23"/>
      <c r="AU2276" s="14" t="str">
        <f>HYPERLINK("http://www.openstreetmap.org/?mlat=32.595&amp;mlon=44.0523&amp;zoom=12#map=12/32.595/44.0523","Maplink1")</f>
        <v>Maplink1</v>
      </c>
      <c r="AV2276" s="14" t="str">
        <f>HYPERLINK("https://www.google.iq/maps/search/+32.595,44.0523/@32.595,44.0523,14z?hl=en","Maplink2")</f>
        <v>Maplink2</v>
      </c>
      <c r="AW2276" s="14" t="str">
        <f>HYPERLINK("http://www.bing.com/maps/?lvl=14&amp;sty=h&amp;cp=32.595~44.0523&amp;sp=point.32.595_44.0523_Mulhak Al Shebanat","Maplink3")</f>
        <v>Maplink3</v>
      </c>
    </row>
    <row r="2277" spans="1:49" ht="15" customHeight="1" x14ac:dyDescent="0.25">
      <c r="A2277" s="21">
        <v>25548</v>
      </c>
      <c r="B2277" s="22" t="s">
        <v>16</v>
      </c>
      <c r="C2277" s="22" t="s">
        <v>16</v>
      </c>
      <c r="D2277" s="22" t="s">
        <v>8886</v>
      </c>
      <c r="E2277" s="22" t="s">
        <v>4017</v>
      </c>
      <c r="F2277" s="22">
        <v>32.615217422100002</v>
      </c>
      <c r="G2277" s="22">
        <v>44.002451682500002</v>
      </c>
      <c r="H2277" s="21" t="s">
        <v>3858</v>
      </c>
      <c r="I2277" s="21" t="s">
        <v>3934</v>
      </c>
      <c r="J2277" s="21"/>
      <c r="K2277" s="24">
        <v>14</v>
      </c>
      <c r="L2277" s="24">
        <v>84</v>
      </c>
      <c r="M2277" s="23">
        <v>3</v>
      </c>
      <c r="N2277" s="23"/>
      <c r="O2277" s="23">
        <v>1</v>
      </c>
      <c r="P2277" s="23"/>
      <c r="Q2277" s="23"/>
      <c r="R2277" s="23"/>
      <c r="S2277" s="23"/>
      <c r="T2277" s="23"/>
      <c r="U2277" s="23"/>
      <c r="V2277" s="23"/>
      <c r="W2277" s="23"/>
      <c r="X2277" s="23"/>
      <c r="Y2277" s="23">
        <v>3</v>
      </c>
      <c r="Z2277" s="23"/>
      <c r="AA2277" s="23">
        <v>7</v>
      </c>
      <c r="AB2277" s="23"/>
      <c r="AC2277" s="23"/>
      <c r="AD2277" s="23"/>
      <c r="AE2277" s="23"/>
      <c r="AF2277" s="23">
        <v>3</v>
      </c>
      <c r="AG2277" s="23"/>
      <c r="AH2277" s="23"/>
      <c r="AI2277" s="23"/>
      <c r="AJ2277" s="23"/>
      <c r="AK2277" s="23">
        <v>11</v>
      </c>
      <c r="AL2277" s="23"/>
      <c r="AM2277" s="23"/>
      <c r="AN2277" s="23"/>
      <c r="AO2277" s="23"/>
      <c r="AP2277" s="23">
        <v>10</v>
      </c>
      <c r="AQ2277" s="23"/>
      <c r="AR2277" s="23"/>
      <c r="AS2277" s="23">
        <v>4</v>
      </c>
      <c r="AT2277" s="23"/>
      <c r="AU2277" s="14" t="str">
        <f>HYPERLINK("http://www.openstreetmap.org/?mlat=32.6113&amp;mlon=43.9986&amp;zoom=12#map=12/32.6113/43.9986","Maplink1")</f>
        <v>Maplink1</v>
      </c>
      <c r="AV2277" s="14" t="str">
        <f>HYPERLINK("https://www.google.iq/maps/search/+32.6113,43.9986/@32.6113,43.9986,14z?hl=en","Maplink2")</f>
        <v>Maplink2</v>
      </c>
      <c r="AW2277" s="14" t="str">
        <f>HYPERLINK("http://www.bing.com/maps/?lvl=14&amp;sty=h&amp;cp=32.6113~43.9986&amp;sp=point.32.6113_43.9986_Al Hurr-Mulhak Hay Al Mualmen","Maplink3")</f>
        <v>Maplink3</v>
      </c>
    </row>
    <row r="2278" spans="1:49" ht="15" customHeight="1" x14ac:dyDescent="0.25">
      <c r="A2278" s="21">
        <v>14281</v>
      </c>
      <c r="B2278" s="22" t="s">
        <v>16</v>
      </c>
      <c r="C2278" s="22" t="s">
        <v>16</v>
      </c>
      <c r="D2278" s="22" t="s">
        <v>4333</v>
      </c>
      <c r="E2278" s="22" t="s">
        <v>4334</v>
      </c>
      <c r="F2278" s="22">
        <v>32.608018792199999</v>
      </c>
      <c r="G2278" s="22">
        <v>44.039870929000003</v>
      </c>
      <c r="H2278" s="21" t="s">
        <v>3858</v>
      </c>
      <c r="I2278" s="21" t="s">
        <v>3934</v>
      </c>
      <c r="J2278" s="21" t="s">
        <v>4335</v>
      </c>
      <c r="K2278" s="24">
        <v>120</v>
      </c>
      <c r="L2278" s="24">
        <v>720</v>
      </c>
      <c r="M2278" s="23"/>
      <c r="N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>
        <v>120</v>
      </c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>
        <v>20</v>
      </c>
      <c r="AK2278" s="23">
        <v>100</v>
      </c>
      <c r="AL2278" s="23"/>
      <c r="AM2278" s="23"/>
      <c r="AN2278" s="23"/>
      <c r="AO2278" s="23"/>
      <c r="AP2278" s="23">
        <v>120</v>
      </c>
      <c r="AQ2278" s="23"/>
      <c r="AR2278" s="23"/>
      <c r="AS2278" s="23"/>
      <c r="AT2278" s="23"/>
      <c r="AU2278" s="14" t="str">
        <f>HYPERLINK("http://www.openstreetmap.org/?mlat=32.5819&amp;mlon=44.0075&amp;zoom=12#map=12/32.5819/44.0075","Maplink1")</f>
        <v>Maplink1</v>
      </c>
      <c r="AV2278" s="14" t="str">
        <f>HYPERLINK("https://www.google.iq/maps/search/+32.5819,44.0075/@32.5819,44.0075,14z?hl=en","Maplink2")</f>
        <v>Maplink2</v>
      </c>
      <c r="AW2278" s="14" t="str">
        <f>HYPERLINK("http://www.bing.com/maps/?lvl=14&amp;sty=h&amp;cp=32.5819~44.0075&amp;sp=point.32.5819_44.0075_Mulhaq Al-Intisar","Maplink3")</f>
        <v>Maplink3</v>
      </c>
    </row>
    <row r="2279" spans="1:49" ht="15" customHeight="1" x14ac:dyDescent="0.25">
      <c r="A2279" s="21">
        <v>14293</v>
      </c>
      <c r="B2279" s="22" t="s">
        <v>16</v>
      </c>
      <c r="C2279" s="22" t="s">
        <v>16</v>
      </c>
      <c r="D2279" s="22" t="s">
        <v>4336</v>
      </c>
      <c r="E2279" s="22" t="s">
        <v>4337</v>
      </c>
      <c r="F2279" s="22">
        <v>32.615053514000003</v>
      </c>
      <c r="G2279" s="22">
        <v>43.985899938300001</v>
      </c>
      <c r="H2279" s="21" t="s">
        <v>3858</v>
      </c>
      <c r="I2279" s="21" t="s">
        <v>3934</v>
      </c>
      <c r="J2279" s="21" t="s">
        <v>4338</v>
      </c>
      <c r="K2279" s="24">
        <v>17</v>
      </c>
      <c r="L2279" s="24">
        <v>102</v>
      </c>
      <c r="M2279" s="23">
        <v>1</v>
      </c>
      <c r="N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>
        <v>16</v>
      </c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>
        <v>17</v>
      </c>
      <c r="AL2279" s="23"/>
      <c r="AM2279" s="23"/>
      <c r="AN2279" s="23"/>
      <c r="AO2279" s="23">
        <v>1</v>
      </c>
      <c r="AP2279" s="23">
        <v>16</v>
      </c>
      <c r="AQ2279" s="23"/>
      <c r="AR2279" s="23"/>
      <c r="AS2279" s="23"/>
      <c r="AT2279" s="23"/>
      <c r="AU2279" s="14" t="str">
        <f>HYPERLINK("http://www.openstreetmap.org/?mlat=32.595&amp;mlon=44.0094&amp;zoom=12#map=12/32.595/44.0094","Maplink1")</f>
        <v>Maplink1</v>
      </c>
      <c r="AV2279" s="14" t="str">
        <f>HYPERLINK("https://www.google.iq/maps/search/+32.595,44.0094/@32.595,44.0094,14z?hl=en","Maplink2")</f>
        <v>Maplink2</v>
      </c>
      <c r="AW2279" s="14" t="str">
        <f>HYPERLINK("http://www.bing.com/maps/?lvl=14&amp;sty=h&amp;cp=32.595~44.0094&amp;sp=point.32.595_44.0094_Mulhaq Al-Mudaraa","Maplink3")</f>
        <v>Maplink3</v>
      </c>
    </row>
    <row r="2280" spans="1:49" ht="15" customHeight="1" x14ac:dyDescent="0.25">
      <c r="A2280" s="21">
        <v>25849</v>
      </c>
      <c r="B2280" s="22" t="s">
        <v>16</v>
      </c>
      <c r="C2280" s="22" t="s">
        <v>16</v>
      </c>
      <c r="D2280" s="22" t="s">
        <v>4339</v>
      </c>
      <c r="E2280" s="22" t="s">
        <v>4340</v>
      </c>
      <c r="F2280" s="22">
        <v>32.5209158985</v>
      </c>
      <c r="G2280" s="22">
        <v>44.118344904899999</v>
      </c>
      <c r="H2280" s="21" t="s">
        <v>3858</v>
      </c>
      <c r="I2280" s="21" t="s">
        <v>3934</v>
      </c>
      <c r="J2280" s="21"/>
      <c r="K2280" s="24">
        <v>25</v>
      </c>
      <c r="L2280" s="24">
        <v>150</v>
      </c>
      <c r="M2280" s="23"/>
      <c r="N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>
        <v>25</v>
      </c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>
        <v>25</v>
      </c>
      <c r="AK2280" s="23"/>
      <c r="AL2280" s="23"/>
      <c r="AM2280" s="23"/>
      <c r="AN2280" s="23"/>
      <c r="AO2280" s="23"/>
      <c r="AP2280" s="23">
        <v>25</v>
      </c>
      <c r="AQ2280" s="23"/>
      <c r="AR2280" s="23"/>
      <c r="AS2280" s="23"/>
      <c r="AT2280" s="23"/>
      <c r="AU2280" s="14" t="str">
        <f>HYPERLINK("http://www.openstreetmap.org/?mlat=32.5303&amp;mlon=44.0827&amp;zoom=12#map=12/32.5303/44.0827","Maplink1")</f>
        <v>Maplink1</v>
      </c>
      <c r="AV2280" s="14" t="str">
        <f>HYPERLINK("https://www.google.iq/maps/search/+32.5303,44.0827/@32.5303,44.0827,14z?hl=en","Maplink2")</f>
        <v>Maplink2</v>
      </c>
      <c r="AW2280" s="14" t="str">
        <f>HYPERLINK("http://www.bing.com/maps/?lvl=14&amp;sty=h&amp;cp=32.5303~44.0827&amp;sp=point.32.5303_44.0827_Om Al Baneen Al Shrawy 2","Maplink3")</f>
        <v>Maplink3</v>
      </c>
    </row>
    <row r="2281" spans="1:49" ht="15" customHeight="1" x14ac:dyDescent="0.25">
      <c r="A2281" s="21">
        <v>25733</v>
      </c>
      <c r="B2281" s="22" t="s">
        <v>16</v>
      </c>
      <c r="C2281" s="22" t="s">
        <v>16</v>
      </c>
      <c r="D2281" s="22" t="s">
        <v>4345</v>
      </c>
      <c r="E2281" s="22" t="s">
        <v>4346</v>
      </c>
      <c r="F2281" s="22">
        <v>32.601577215799999</v>
      </c>
      <c r="G2281" s="22">
        <v>43.996803201699997</v>
      </c>
      <c r="H2281" s="21" t="s">
        <v>3858</v>
      </c>
      <c r="I2281" s="21" t="s">
        <v>3934</v>
      </c>
      <c r="J2281" s="21"/>
      <c r="K2281" s="24">
        <v>15</v>
      </c>
      <c r="L2281" s="24">
        <v>90</v>
      </c>
      <c r="M2281" s="23">
        <v>4</v>
      </c>
      <c r="N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>
        <v>11</v>
      </c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>
        <v>15</v>
      </c>
      <c r="AL2281" s="23"/>
      <c r="AM2281" s="23"/>
      <c r="AN2281" s="23"/>
      <c r="AO2281" s="23"/>
      <c r="AP2281" s="23">
        <v>15</v>
      </c>
      <c r="AQ2281" s="23"/>
      <c r="AR2281" s="23"/>
      <c r="AS2281" s="23"/>
      <c r="AT2281" s="23"/>
      <c r="AU2281" s="14" t="str">
        <f>HYPERLINK("http://www.openstreetmap.org/?mlat=32.6028&amp;mlon=43.9989&amp;zoom=12#map=12/32.6028/43.9989","Maplink1")</f>
        <v>Maplink1</v>
      </c>
      <c r="AV2281" s="14" t="str">
        <f>HYPERLINK("https://www.google.iq/maps/search/+32.6028,43.9989/@32.6028,43.9989,14z?hl=en","Maplink2")</f>
        <v>Maplink2</v>
      </c>
      <c r="AW2281" s="14" t="str">
        <f>HYPERLINK("http://www.bing.com/maps/?lvl=14&amp;sty=h&amp;cp=32.6028~43.9989&amp;sp=point.32.6028_43.9989_Shuhadaa Al Muwadhafen 2","Maplink3")</f>
        <v>Maplink3</v>
      </c>
    </row>
    <row r="2282" spans="1:49" ht="15" customHeight="1" x14ac:dyDescent="0.25">
      <c r="A2282" s="21">
        <v>14315</v>
      </c>
      <c r="B2282" s="22" t="s">
        <v>16</v>
      </c>
      <c r="C2282" s="22" t="s">
        <v>16</v>
      </c>
      <c r="D2282" s="22" t="s">
        <v>8887</v>
      </c>
      <c r="E2282" s="22" t="s">
        <v>4343</v>
      </c>
      <c r="F2282" s="22">
        <v>32.603754415200001</v>
      </c>
      <c r="G2282" s="22">
        <v>44.0011473745</v>
      </c>
      <c r="H2282" s="21" t="s">
        <v>3858</v>
      </c>
      <c r="I2282" s="21" t="s">
        <v>3934</v>
      </c>
      <c r="J2282" s="21" t="s">
        <v>4344</v>
      </c>
      <c r="K2282" s="24">
        <v>9</v>
      </c>
      <c r="L2282" s="24">
        <v>54</v>
      </c>
      <c r="M2282" s="23">
        <v>8</v>
      </c>
      <c r="N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>
        <v>1</v>
      </c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>
        <v>9</v>
      </c>
      <c r="AL2282" s="23"/>
      <c r="AM2282" s="23"/>
      <c r="AN2282" s="23"/>
      <c r="AO2282" s="23">
        <v>8</v>
      </c>
      <c r="AP2282" s="23">
        <v>1</v>
      </c>
      <c r="AQ2282" s="23"/>
      <c r="AR2282" s="23"/>
      <c r="AS2282" s="23"/>
      <c r="AT2282" s="23"/>
      <c r="AU2282" s="14" t="str">
        <f>HYPERLINK("http://www.openstreetmap.org/?mlat=32.6028&amp;mlon=43.9989&amp;zoom=12#map=12/32.6028/43.9989","Maplink1")</f>
        <v>Maplink1</v>
      </c>
      <c r="AV2282" s="14" t="str">
        <f>HYPERLINK("https://www.google.iq/maps/search/+32.6028,43.9989/@32.6028,43.9989,14z?hl=en","Maplink2")</f>
        <v>Maplink2</v>
      </c>
      <c r="AW2282" s="14" t="str">
        <f>HYPERLINK("http://www.bing.com/maps/?lvl=14&amp;sty=h&amp;cp=32.6028~43.9989&amp;sp=point.32.6028_43.9989_Shuhadaa AL Muwadhafeen","Maplink3")</f>
        <v>Maplink3</v>
      </c>
    </row>
    <row r="2283" spans="1:49" ht="15" customHeight="1" x14ac:dyDescent="0.25">
      <c r="A2283" s="21">
        <v>25271</v>
      </c>
      <c r="B2283" s="22" t="s">
        <v>16</v>
      </c>
      <c r="C2283" s="22" t="s">
        <v>16</v>
      </c>
      <c r="D2283" s="22" t="s">
        <v>4347</v>
      </c>
      <c r="E2283" s="22" t="s">
        <v>4348</v>
      </c>
      <c r="F2283" s="22">
        <v>32.571620293899997</v>
      </c>
      <c r="G2283" s="22">
        <v>44.018910052300001</v>
      </c>
      <c r="H2283" s="21" t="s">
        <v>3858</v>
      </c>
      <c r="I2283" s="21" t="s">
        <v>3934</v>
      </c>
      <c r="J2283" s="21"/>
      <c r="K2283" s="24">
        <v>10</v>
      </c>
      <c r="L2283" s="24">
        <v>60</v>
      </c>
      <c r="M2283" s="23">
        <v>4</v>
      </c>
      <c r="N2283" s="23"/>
      <c r="O2283" s="23"/>
      <c r="P2283" s="23"/>
      <c r="Q2283" s="23"/>
      <c r="R2283" s="23">
        <v>3</v>
      </c>
      <c r="S2283" s="23"/>
      <c r="T2283" s="23"/>
      <c r="U2283" s="23"/>
      <c r="V2283" s="23"/>
      <c r="W2283" s="23"/>
      <c r="X2283" s="23"/>
      <c r="Y2283" s="23">
        <v>3</v>
      </c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>
        <v>10</v>
      </c>
      <c r="AL2283" s="23"/>
      <c r="AM2283" s="23"/>
      <c r="AN2283" s="23"/>
      <c r="AO2283" s="23"/>
      <c r="AP2283" s="23">
        <v>10</v>
      </c>
      <c r="AQ2283" s="23"/>
      <c r="AR2283" s="23"/>
      <c r="AS2283" s="23"/>
      <c r="AT2283" s="23"/>
      <c r="AU2283" s="14" t="str">
        <f>HYPERLINK("http://www.openstreetmap.org/?mlat=32.3413&amp;mlon=44.0115&amp;zoom=12#map=12/32.3413/44.0115","Maplink1")</f>
        <v>Maplink1</v>
      </c>
      <c r="AV2283" s="14" t="str">
        <f>HYPERLINK("https://www.google.iq/maps/search/+32.3413,44.0115/@32.3413,44.0115,14z?hl=en","Maplink2")</f>
        <v>Maplink2</v>
      </c>
      <c r="AW2283" s="14" t="str">
        <f>HYPERLINK("http://www.bing.com/maps/?lvl=14&amp;sty=h&amp;cp=32.3413~44.0115&amp;sp=point.32.3413_44.0115_Shuihadaa Al Amam Ali","Maplink3")</f>
        <v>Maplink3</v>
      </c>
    </row>
    <row r="2284" spans="1:49" ht="15" customHeight="1" x14ac:dyDescent="0.25">
      <c r="A2284" s="21">
        <v>27265</v>
      </c>
      <c r="B2284" s="22" t="s">
        <v>16</v>
      </c>
      <c r="C2284" s="22" t="s">
        <v>16</v>
      </c>
      <c r="D2284" s="22" t="s">
        <v>4349</v>
      </c>
      <c r="E2284" s="22" t="s">
        <v>4350</v>
      </c>
      <c r="F2284" s="22">
        <v>32.574049369400001</v>
      </c>
      <c r="G2284" s="22">
        <v>44.0225239098</v>
      </c>
      <c r="H2284" s="21" t="s">
        <v>3858</v>
      </c>
      <c r="I2284" s="21" t="s">
        <v>3934</v>
      </c>
      <c r="J2284" s="21"/>
      <c r="K2284" s="24">
        <v>25</v>
      </c>
      <c r="L2284" s="24">
        <v>150</v>
      </c>
      <c r="M2284" s="23">
        <v>9</v>
      </c>
      <c r="N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>
        <v>16</v>
      </c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>
        <v>25</v>
      </c>
      <c r="AL2284" s="23"/>
      <c r="AM2284" s="23"/>
      <c r="AN2284" s="23"/>
      <c r="AO2284" s="23"/>
      <c r="AP2284" s="23">
        <v>25</v>
      </c>
      <c r="AQ2284" s="23"/>
      <c r="AR2284" s="23"/>
      <c r="AS2284" s="23"/>
      <c r="AT2284" s="23"/>
      <c r="AU2284" s="14" t="str">
        <f>HYPERLINK("http://www.openstreetmap.org/?mlat=32.5791&amp;mlon=44.0261&amp;zoom=12#map=12/32.5791/44.0261","Maplink1")</f>
        <v>Maplink1</v>
      </c>
      <c r="AV2284" s="14" t="str">
        <f>HYPERLINK("https://www.google.iq/maps/search/+32.5791,44.0261/@32.5791,44.0261,14z?hl=en","Maplink2")</f>
        <v>Maplink2</v>
      </c>
      <c r="AW2284" s="14" t="str">
        <f>HYPERLINK("http://www.bing.com/maps/?lvl=14&amp;sty=h&amp;cp=32.5791~44.0261&amp;sp=point.32.5791_44.0261_Shuihadaa Al Amam Ali 2","Maplink3")</f>
        <v>Maplink3</v>
      </c>
    </row>
    <row r="2285" spans="1:49" ht="15" customHeight="1" x14ac:dyDescent="0.25">
      <c r="A2285" s="21">
        <v>24630</v>
      </c>
      <c r="B2285" s="22" t="s">
        <v>16</v>
      </c>
      <c r="C2285" s="22" t="s">
        <v>16</v>
      </c>
      <c r="D2285" s="22" t="s">
        <v>8888</v>
      </c>
      <c r="E2285" s="22" t="s">
        <v>4012</v>
      </c>
      <c r="F2285" s="22">
        <v>32.644168012800002</v>
      </c>
      <c r="G2285" s="22">
        <v>43.988389028199997</v>
      </c>
      <c r="H2285" s="21" t="s">
        <v>3858</v>
      </c>
      <c r="I2285" s="21" t="s">
        <v>3934</v>
      </c>
      <c r="J2285" s="21"/>
      <c r="K2285" s="24">
        <v>21</v>
      </c>
      <c r="L2285" s="24">
        <v>126</v>
      </c>
      <c r="M2285" s="23">
        <v>4</v>
      </c>
      <c r="N2285" s="23"/>
      <c r="O2285" s="23">
        <v>5</v>
      </c>
      <c r="P2285" s="23"/>
      <c r="Q2285" s="23"/>
      <c r="R2285" s="23"/>
      <c r="S2285" s="23"/>
      <c r="T2285" s="23"/>
      <c r="U2285" s="23"/>
      <c r="V2285" s="23"/>
      <c r="W2285" s="23"/>
      <c r="X2285" s="23"/>
      <c r="Y2285" s="23">
        <v>12</v>
      </c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>
        <v>21</v>
      </c>
      <c r="AL2285" s="23"/>
      <c r="AM2285" s="23"/>
      <c r="AN2285" s="23"/>
      <c r="AO2285" s="23">
        <v>7</v>
      </c>
      <c r="AP2285" s="23">
        <v>12</v>
      </c>
      <c r="AQ2285" s="23"/>
      <c r="AR2285" s="23"/>
      <c r="AS2285" s="23">
        <v>2</v>
      </c>
      <c r="AT2285" s="23"/>
      <c r="AU2285" s="14" t="str">
        <f>HYPERLINK("http://www.openstreetmap.org/?mlat=32.6478&amp;mlon=43.9884&amp;zoom=12#map=12/32.6478/43.9884","Maplink1")</f>
        <v>Maplink1</v>
      </c>
      <c r="AV2285" s="14" t="str">
        <f>HYPERLINK("https://www.google.iq/maps/search/+32.6478,43.9884/@32.6478,43.9884,14z?hl=en","Maplink2")</f>
        <v>Maplink2</v>
      </c>
      <c r="AW2285" s="14" t="str">
        <f>HYPERLINK("http://www.bing.com/maps/?lvl=14&amp;sty=h&amp;cp=32.6478~43.9884&amp;sp=point.32.6478_43.9884_Al Hurr- Sumer 1","Maplink3")</f>
        <v>Maplink3</v>
      </c>
    </row>
    <row r="2286" spans="1:49" ht="15" customHeight="1" x14ac:dyDescent="0.25">
      <c r="A2286" s="21">
        <v>25259</v>
      </c>
      <c r="B2286" s="22" t="s">
        <v>16</v>
      </c>
      <c r="C2286" s="22" t="s">
        <v>16</v>
      </c>
      <c r="D2286" s="22" t="s">
        <v>8889</v>
      </c>
      <c r="E2286" s="22" t="s">
        <v>8890</v>
      </c>
      <c r="F2286" s="22">
        <v>32.648491272699999</v>
      </c>
      <c r="G2286" s="22">
        <v>43.986741481300001</v>
      </c>
      <c r="H2286" s="21" t="s">
        <v>3858</v>
      </c>
      <c r="I2286" s="21" t="s">
        <v>3934</v>
      </c>
      <c r="J2286" s="21"/>
      <c r="K2286" s="24">
        <v>5</v>
      </c>
      <c r="L2286" s="24">
        <v>30</v>
      </c>
      <c r="M2286" s="23">
        <v>1</v>
      </c>
      <c r="N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>
        <v>4</v>
      </c>
      <c r="Z2286" s="23"/>
      <c r="AA2286" s="23"/>
      <c r="AB2286" s="23"/>
      <c r="AC2286" s="23"/>
      <c r="AD2286" s="23"/>
      <c r="AE2286" s="23"/>
      <c r="AF2286" s="23">
        <v>2</v>
      </c>
      <c r="AG2286" s="23"/>
      <c r="AH2286" s="23"/>
      <c r="AI2286" s="23"/>
      <c r="AJ2286" s="23"/>
      <c r="AK2286" s="23">
        <v>3</v>
      </c>
      <c r="AL2286" s="23"/>
      <c r="AM2286" s="23"/>
      <c r="AN2286" s="23"/>
      <c r="AO2286" s="23">
        <v>1</v>
      </c>
      <c r="AP2286" s="23">
        <v>4</v>
      </c>
      <c r="AQ2286" s="23"/>
      <c r="AR2286" s="23"/>
      <c r="AS2286" s="23"/>
      <c r="AT2286" s="23"/>
      <c r="AU2286" s="14" t="str">
        <f>HYPERLINK("http://www.openstreetmap.org/?mlat=32.6507&amp;mlon=43.9876&amp;zoom=12#map=12/32.6507/43.9876","Maplink1")</f>
        <v>Maplink1</v>
      </c>
      <c r="AV2286" s="14" t="str">
        <f>HYPERLINK("https://www.google.iq/maps/search/+32.6507,43.9876/@32.6507,43.9876,14z?hl=en","Maplink2")</f>
        <v>Maplink2</v>
      </c>
      <c r="AW2286" s="14" t="str">
        <f>HYPERLINK("http://www.bing.com/maps/?lvl=14&amp;sty=h&amp;cp=32.6507~43.9876&amp;sp=point.32.6507_43.9876_Al-hur-Sumer 2","Maplink3")</f>
        <v>Maplink3</v>
      </c>
    </row>
    <row r="2287" spans="1:49" ht="15" customHeight="1" x14ac:dyDescent="0.25">
      <c r="A2287" s="21">
        <v>23679</v>
      </c>
      <c r="B2287" s="22" t="s">
        <v>16</v>
      </c>
      <c r="C2287" s="22" t="s">
        <v>16</v>
      </c>
      <c r="D2287" s="22" t="s">
        <v>8891</v>
      </c>
      <c r="E2287" s="22" t="s">
        <v>4356</v>
      </c>
      <c r="F2287" s="22">
        <v>32.557325251400002</v>
      </c>
      <c r="G2287" s="22">
        <v>44.073004843699998</v>
      </c>
      <c r="H2287" s="21" t="s">
        <v>3858</v>
      </c>
      <c r="I2287" s="21" t="s">
        <v>3934</v>
      </c>
      <c r="J2287" s="21" t="s">
        <v>4357</v>
      </c>
      <c r="K2287" s="24">
        <v>200</v>
      </c>
      <c r="L2287" s="24">
        <v>1200</v>
      </c>
      <c r="M2287" s="23"/>
      <c r="N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>
        <v>200</v>
      </c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>
        <v>200</v>
      </c>
      <c r="AK2287" s="23"/>
      <c r="AL2287" s="23"/>
      <c r="AM2287" s="23"/>
      <c r="AN2287" s="23"/>
      <c r="AO2287" s="23"/>
      <c r="AP2287" s="23">
        <v>200</v>
      </c>
      <c r="AQ2287" s="23"/>
      <c r="AR2287" s="23"/>
      <c r="AS2287" s="23"/>
      <c r="AT2287" s="23"/>
      <c r="AU2287" s="14" t="str">
        <f>HYPERLINK("http://www.openstreetmap.org/?mlat=32.5563&amp;mlon=43.9801&amp;zoom=12#map=12/32.5563/43.9801","Maplink1")</f>
        <v>Maplink1</v>
      </c>
      <c r="AV2287" s="14" t="str">
        <f>HYPERLINK("https://www.google.iq/maps/search/+32.5563,43.9801/@32.5563,43.9801,14z?hl=en","Maplink2")</f>
        <v>Maplink2</v>
      </c>
      <c r="AW2287" s="14" t="str">
        <f>HYPERLINK("http://www.bing.com/maps/?lvl=14&amp;sty=h&amp;cp=32.5563~43.9801&amp;sp=point.32.5563_43.9801_Um Al Baneen village","Maplink3")</f>
        <v>Maplink3</v>
      </c>
    </row>
    <row r="2288" spans="1:49" ht="15" customHeight="1" x14ac:dyDescent="0.25">
      <c r="A2288" s="21">
        <v>26010</v>
      </c>
      <c r="B2288" s="22" t="s">
        <v>16</v>
      </c>
      <c r="C2288" s="22" t="s">
        <v>16</v>
      </c>
      <c r="D2288" s="22" t="s">
        <v>4358</v>
      </c>
      <c r="E2288" s="22" t="s">
        <v>4359</v>
      </c>
      <c r="F2288" s="22">
        <v>32.543918397299997</v>
      </c>
      <c r="G2288" s="22">
        <v>44.091373030100002</v>
      </c>
      <c r="H2288" s="21" t="s">
        <v>3858</v>
      </c>
      <c r="I2288" s="21" t="s">
        <v>3934</v>
      </c>
      <c r="J2288" s="21"/>
      <c r="K2288" s="24">
        <v>90</v>
      </c>
      <c r="L2288" s="24">
        <v>540</v>
      </c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>
        <v>90</v>
      </c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>
        <v>42</v>
      </c>
      <c r="AK2288" s="23">
        <v>48</v>
      </c>
      <c r="AL2288" s="23"/>
      <c r="AM2288" s="23"/>
      <c r="AN2288" s="23"/>
      <c r="AO2288" s="23"/>
      <c r="AP2288" s="23"/>
      <c r="AQ2288" s="23">
        <v>90</v>
      </c>
      <c r="AR2288" s="23"/>
      <c r="AS2288" s="23"/>
      <c r="AT2288" s="23"/>
      <c r="AU2288" s="14" t="str">
        <f>HYPERLINK("http://www.openstreetmap.org/?mlat=32.5359&amp;mlon=44.0775&amp;zoom=12#map=12/32.5359/44.0775","Maplink1")</f>
        <v>Maplink1</v>
      </c>
      <c r="AV2288" s="14" t="str">
        <f>HYPERLINK("https://www.google.iq/maps/search/+32.5359,44.0775/@32.5359,44.0775,14z?hl=en","Maplink2")</f>
        <v>Maplink2</v>
      </c>
      <c r="AW2288" s="14" t="str">
        <f>HYPERLINK("http://www.bing.com/maps/?lvl=14&amp;sty=h&amp;cp=32.5359~44.0775&amp;sp=point.32.5359_44.0775_Um Al Banen Village","Maplink3")</f>
        <v>Maplink3</v>
      </c>
    </row>
    <row r="2289" spans="1:49" ht="15" customHeight="1" x14ac:dyDescent="0.25">
      <c r="A2289" s="21">
        <v>26066</v>
      </c>
      <c r="B2289" s="22" t="s">
        <v>16</v>
      </c>
      <c r="C2289" s="22" t="s">
        <v>16</v>
      </c>
      <c r="D2289" s="22" t="s">
        <v>4360</v>
      </c>
      <c r="E2289" s="22" t="s">
        <v>4361</v>
      </c>
      <c r="F2289" s="22">
        <v>32.677032742599998</v>
      </c>
      <c r="G2289" s="22">
        <v>44.199577532699998</v>
      </c>
      <c r="H2289" s="21" t="s">
        <v>3858</v>
      </c>
      <c r="I2289" s="21" t="s">
        <v>3934</v>
      </c>
      <c r="J2289" s="21"/>
      <c r="K2289" s="24">
        <v>6</v>
      </c>
      <c r="L2289" s="24">
        <v>36</v>
      </c>
      <c r="M2289" s="23"/>
      <c r="N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>
        <v>6</v>
      </c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/>
      <c r="AL2289" s="23">
        <v>6</v>
      </c>
      <c r="AM2289" s="23"/>
      <c r="AN2289" s="23"/>
      <c r="AO2289" s="23"/>
      <c r="AP2289" s="23">
        <v>6</v>
      </c>
      <c r="AQ2289" s="23"/>
      <c r="AR2289" s="23"/>
      <c r="AS2289" s="23"/>
      <c r="AT2289" s="23"/>
      <c r="AU2289" s="14" t="str">
        <f>HYPERLINK("http://www.openstreetmap.org/?mlat=32.6756&amp;mlon=44.1741&amp;zoom=12#map=12/32.6756/44.1741","Maplink1")</f>
        <v>Maplink1</v>
      </c>
      <c r="AV2289" s="14" t="str">
        <f>HYPERLINK("https://www.google.iq/maps/search/+32.6756,44.1741/@32.6756,44.1741,14z?hl=en","Maplink2")</f>
        <v>Maplink2</v>
      </c>
      <c r="AW2289" s="14" t="str">
        <f>HYPERLINK("http://www.bing.com/maps/?lvl=14&amp;sty=h&amp;cp=32.6756~44.1741&amp;sp=point.32.6756_44.1741_Um Hamam","Maplink3")</f>
        <v>Maplink3</v>
      </c>
    </row>
    <row r="2290" spans="1:49" ht="15" customHeight="1" x14ac:dyDescent="0.25">
      <c r="A2290" s="21">
        <v>15614</v>
      </c>
      <c r="B2290" s="22" t="s">
        <v>17</v>
      </c>
      <c r="C2290" s="22" t="s">
        <v>4364</v>
      </c>
      <c r="D2290" s="22" t="s">
        <v>4365</v>
      </c>
      <c r="E2290" s="22" t="s">
        <v>4366</v>
      </c>
      <c r="F2290" s="22">
        <v>35.314166669999999</v>
      </c>
      <c r="G2290" s="22">
        <v>43.761666669999997</v>
      </c>
      <c r="H2290" s="21" t="s">
        <v>4367</v>
      </c>
      <c r="I2290" s="21" t="s">
        <v>4368</v>
      </c>
      <c r="J2290" s="21" t="s">
        <v>4369</v>
      </c>
      <c r="K2290" s="24">
        <v>200</v>
      </c>
      <c r="L2290" s="24">
        <v>1200</v>
      </c>
      <c r="M2290" s="23"/>
      <c r="N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  <c r="AA2290" s="23">
        <v>200</v>
      </c>
      <c r="AB2290" s="23"/>
      <c r="AC2290" s="23"/>
      <c r="AD2290" s="23"/>
      <c r="AE2290" s="23"/>
      <c r="AF2290" s="23">
        <v>200</v>
      </c>
      <c r="AG2290" s="23"/>
      <c r="AH2290" s="23"/>
      <c r="AI2290" s="23"/>
      <c r="AJ2290" s="23"/>
      <c r="AK2290" s="23"/>
      <c r="AL2290" s="23"/>
      <c r="AM2290" s="23"/>
      <c r="AN2290" s="23"/>
      <c r="AO2290" s="23"/>
      <c r="AP2290" s="23">
        <v>200</v>
      </c>
      <c r="AQ2290" s="23"/>
      <c r="AR2290" s="23"/>
      <c r="AS2290" s="23"/>
      <c r="AT2290" s="23"/>
      <c r="AU2290" s="14" t="str">
        <f>HYPERLINK("http://www.openstreetmap.org/?mlat=35.3142&amp;mlon=43.7617&amp;zoom=12#map=12/35.3142/43.7617","Maplink1")</f>
        <v>Maplink1</v>
      </c>
      <c r="AV2290" s="14" t="str">
        <f>HYPERLINK("https://www.google.iq/maps/search/+35.3142,43.7617/@35.3142,43.7617,14z?hl=en","Maplink2")</f>
        <v>Maplink2</v>
      </c>
      <c r="AW2290" s="14" t="str">
        <f>HYPERLINK("http://www.bing.com/maps/?lvl=14&amp;sty=h&amp;cp=35.3142~43.7617&amp;sp=point.35.3142_43.7617_8 Shabahit","Maplink3")</f>
        <v>Maplink3</v>
      </c>
    </row>
    <row r="2291" spans="1:49" ht="15" customHeight="1" x14ac:dyDescent="0.25">
      <c r="A2291" s="21">
        <v>15005</v>
      </c>
      <c r="B2291" s="22" t="s">
        <v>17</v>
      </c>
      <c r="C2291" s="22" t="s">
        <v>4364</v>
      </c>
      <c r="D2291" s="22" t="s">
        <v>4370</v>
      </c>
      <c r="E2291" s="22" t="s">
        <v>4371</v>
      </c>
      <c r="F2291" s="22">
        <v>35.24</v>
      </c>
      <c r="G2291" s="22">
        <v>43.81</v>
      </c>
      <c r="H2291" s="21" t="s">
        <v>4367</v>
      </c>
      <c r="I2291" s="21" t="s">
        <v>4368</v>
      </c>
      <c r="J2291" s="21" t="s">
        <v>4372</v>
      </c>
      <c r="K2291" s="24">
        <v>25</v>
      </c>
      <c r="L2291" s="24">
        <v>150</v>
      </c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/>
      <c r="Z2291" s="23"/>
      <c r="AA2291" s="23">
        <v>25</v>
      </c>
      <c r="AB2291" s="23"/>
      <c r="AC2291" s="23"/>
      <c r="AD2291" s="23"/>
      <c r="AE2291" s="23"/>
      <c r="AF2291" s="23">
        <v>25</v>
      </c>
      <c r="AG2291" s="23"/>
      <c r="AH2291" s="23"/>
      <c r="AI2291" s="23"/>
      <c r="AJ2291" s="23"/>
      <c r="AK2291" s="23"/>
      <c r="AL2291" s="23"/>
      <c r="AM2291" s="23"/>
      <c r="AN2291" s="23"/>
      <c r="AO2291" s="23"/>
      <c r="AP2291" s="23">
        <v>25</v>
      </c>
      <c r="AQ2291" s="23"/>
      <c r="AR2291" s="23"/>
      <c r="AS2291" s="23"/>
      <c r="AT2291" s="23"/>
      <c r="AU2291" s="14" t="str">
        <f>HYPERLINK("http://www.openstreetmap.org/?mlat=35.24&amp;mlon=43.81&amp;zoom=12#map=12/35.24/43.81","Maplink1")</f>
        <v>Maplink1</v>
      </c>
      <c r="AV2291" s="14" t="str">
        <f>HYPERLINK("https://www.google.iq/maps/search/+35.24,43.81/@35.24,43.81,14z?hl=en","Maplink2")</f>
        <v>Maplink2</v>
      </c>
      <c r="AW2291" s="14" t="str">
        <f>HYPERLINK("http://www.bing.com/maps/?lvl=14&amp;sty=h&amp;cp=35.24~43.81&amp;sp=point.35.24_43.81_Abas-Al-Namla","Maplink3")</f>
        <v>Maplink3</v>
      </c>
    </row>
    <row r="2292" spans="1:49" ht="15" customHeight="1" x14ac:dyDescent="0.25">
      <c r="A2292" s="21">
        <v>14836</v>
      </c>
      <c r="B2292" s="22" t="s">
        <v>17</v>
      </c>
      <c r="C2292" s="22" t="s">
        <v>4364</v>
      </c>
      <c r="D2292" s="22" t="s">
        <v>4373</v>
      </c>
      <c r="E2292" s="22" t="s">
        <v>4374</v>
      </c>
      <c r="F2292" s="22">
        <v>35.29</v>
      </c>
      <c r="G2292" s="22">
        <v>43.84</v>
      </c>
      <c r="H2292" s="21" t="s">
        <v>4367</v>
      </c>
      <c r="I2292" s="21" t="s">
        <v>4368</v>
      </c>
      <c r="J2292" s="21" t="s">
        <v>4375</v>
      </c>
      <c r="K2292" s="24">
        <v>18</v>
      </c>
      <c r="L2292" s="24">
        <v>108</v>
      </c>
      <c r="M2292" s="23">
        <v>18</v>
      </c>
      <c r="N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>
        <v>18</v>
      </c>
      <c r="AG2292" s="23"/>
      <c r="AH2292" s="23"/>
      <c r="AI2292" s="23"/>
      <c r="AJ2292" s="23"/>
      <c r="AK2292" s="23"/>
      <c r="AL2292" s="23"/>
      <c r="AM2292" s="23"/>
      <c r="AN2292" s="23"/>
      <c r="AO2292" s="23">
        <v>18</v>
      </c>
      <c r="AP2292" s="23"/>
      <c r="AQ2292" s="23"/>
      <c r="AR2292" s="23"/>
      <c r="AS2292" s="23"/>
      <c r="AT2292" s="23"/>
      <c r="AU2292" s="14" t="str">
        <f>HYPERLINK("http://www.openstreetmap.org/?mlat=35.29&amp;mlon=43.84&amp;zoom=12#map=12/35.29/43.84","Maplink1")</f>
        <v>Maplink1</v>
      </c>
      <c r="AV2292" s="14" t="str">
        <f>HYPERLINK("https://www.google.iq/maps/search/+35.29,43.84/@35.29,43.84,14z?hl=en","Maplink2")</f>
        <v>Maplink2</v>
      </c>
      <c r="AW2292" s="14" t="str">
        <f>HYPERLINK("http://www.bing.com/maps/?lvl=14&amp;sty=h&amp;cp=35.29~43.84&amp;sp=point.35.29_43.84_Abu-Al-Jaise","Maplink3")</f>
        <v>Maplink3</v>
      </c>
    </row>
    <row r="2293" spans="1:49" ht="15" customHeight="1" x14ac:dyDescent="0.25">
      <c r="A2293" s="21">
        <v>24365</v>
      </c>
      <c r="B2293" s="22" t="s">
        <v>17</v>
      </c>
      <c r="C2293" s="22" t="s">
        <v>4364</v>
      </c>
      <c r="D2293" s="22" t="s">
        <v>4376</v>
      </c>
      <c r="E2293" s="22" t="s">
        <v>4377</v>
      </c>
      <c r="F2293" s="22">
        <v>35.431592000000002</v>
      </c>
      <c r="G2293" s="22">
        <v>43.855891</v>
      </c>
      <c r="H2293" s="21" t="s">
        <v>4367</v>
      </c>
      <c r="I2293" s="21" t="s">
        <v>4368</v>
      </c>
      <c r="J2293" s="21"/>
      <c r="K2293" s="24">
        <v>80</v>
      </c>
      <c r="L2293" s="24">
        <v>480</v>
      </c>
      <c r="M2293" s="23"/>
      <c r="N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  <c r="AA2293" s="23">
        <v>80</v>
      </c>
      <c r="AB2293" s="23"/>
      <c r="AC2293" s="23"/>
      <c r="AD2293" s="23"/>
      <c r="AE2293" s="23"/>
      <c r="AF2293" s="23">
        <v>80</v>
      </c>
      <c r="AG2293" s="23"/>
      <c r="AH2293" s="23"/>
      <c r="AI2293" s="23"/>
      <c r="AJ2293" s="23"/>
      <c r="AK2293" s="23"/>
      <c r="AL2293" s="23"/>
      <c r="AM2293" s="23"/>
      <c r="AN2293" s="23"/>
      <c r="AO2293" s="23"/>
      <c r="AP2293" s="23">
        <v>80</v>
      </c>
      <c r="AQ2293" s="23"/>
      <c r="AR2293" s="23"/>
      <c r="AS2293" s="23"/>
      <c r="AT2293" s="23"/>
      <c r="AU2293" s="14" t="str">
        <f>HYPERLINK("http://www.openstreetmap.org/?mlat=35.4316&amp;mlon=43.8559&amp;zoom=12#map=12/35.4316/43.8559","Maplink1")</f>
        <v>Maplink1</v>
      </c>
      <c r="AV2293" s="14" t="str">
        <f>HYPERLINK("https://www.google.iq/maps/search/+35.4316,43.8559/@35.4316,43.8559,14z?hl=en","Maplink2")</f>
        <v>Maplink2</v>
      </c>
      <c r="AW2293" s="14" t="str">
        <f>HYPERLINK("http://www.bing.com/maps/?lvl=14&amp;sty=h&amp;cp=35.4316~43.8559&amp;sp=point.35.4316_43.8559_Al Anadiyah Village","Maplink3")</f>
        <v>Maplink3</v>
      </c>
    </row>
    <row r="2294" spans="1:49" ht="15" customHeight="1" x14ac:dyDescent="0.25">
      <c r="A2294" s="21">
        <v>15594</v>
      </c>
      <c r="B2294" s="22" t="s">
        <v>17</v>
      </c>
      <c r="C2294" s="22" t="s">
        <v>4364</v>
      </c>
      <c r="D2294" s="22" t="s">
        <v>3961</v>
      </c>
      <c r="E2294" s="22" t="s">
        <v>120</v>
      </c>
      <c r="F2294" s="22">
        <v>35.317222219999998</v>
      </c>
      <c r="G2294" s="22">
        <v>43.764444439999998</v>
      </c>
      <c r="H2294" s="21" t="s">
        <v>4367</v>
      </c>
      <c r="I2294" s="21" t="s">
        <v>4368</v>
      </c>
      <c r="J2294" s="21" t="s">
        <v>4378</v>
      </c>
      <c r="K2294" s="24">
        <v>400</v>
      </c>
      <c r="L2294" s="24">
        <v>2400</v>
      </c>
      <c r="M2294" s="23"/>
      <c r="N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  <c r="AA2294" s="23">
        <v>400</v>
      </c>
      <c r="AB2294" s="23"/>
      <c r="AC2294" s="23"/>
      <c r="AD2294" s="23"/>
      <c r="AE2294" s="23"/>
      <c r="AF2294" s="23">
        <v>150</v>
      </c>
      <c r="AG2294" s="23"/>
      <c r="AH2294" s="23"/>
      <c r="AI2294" s="23"/>
      <c r="AJ2294" s="23"/>
      <c r="AK2294" s="23"/>
      <c r="AL2294" s="23"/>
      <c r="AM2294" s="23"/>
      <c r="AN2294" s="23">
        <v>250</v>
      </c>
      <c r="AO2294" s="23"/>
      <c r="AP2294" s="23"/>
      <c r="AQ2294" s="23">
        <v>400</v>
      </c>
      <c r="AR2294" s="23"/>
      <c r="AS2294" s="23"/>
      <c r="AT2294" s="23"/>
      <c r="AU2294" s="14" t="str">
        <f>HYPERLINK("http://www.openstreetmap.org/?mlat=35.3172&amp;mlon=43.7644&amp;zoom=12#map=12/35.3172/43.7644","Maplink1")</f>
        <v>Maplink1</v>
      </c>
      <c r="AV2294" s="14" t="str">
        <f>HYPERLINK("https://www.google.iq/maps/search/+35.3172,43.7644/@35.3172,43.7644,14z?hl=en","Maplink2")</f>
        <v>Maplink2</v>
      </c>
      <c r="AW2294" s="14" t="str">
        <f>HYPERLINK("http://www.bing.com/maps/?lvl=14&amp;sty=h&amp;cp=35.3172~43.7644&amp;sp=point.35.3172_43.7644_Al Askary","Maplink3")</f>
        <v>Maplink3</v>
      </c>
    </row>
    <row r="2295" spans="1:49" ht="15" customHeight="1" x14ac:dyDescent="0.25">
      <c r="A2295" s="21">
        <v>23072</v>
      </c>
      <c r="B2295" s="22" t="s">
        <v>17</v>
      </c>
      <c r="C2295" s="22" t="s">
        <v>4364</v>
      </c>
      <c r="D2295" s="22" t="s">
        <v>4379</v>
      </c>
      <c r="E2295" s="22" t="s">
        <v>4380</v>
      </c>
      <c r="F2295" s="22">
        <v>35.405116</v>
      </c>
      <c r="G2295" s="22">
        <v>43.895784999999997</v>
      </c>
      <c r="H2295" s="21" t="s">
        <v>4367</v>
      </c>
      <c r="I2295" s="21" t="s">
        <v>4368</v>
      </c>
      <c r="J2295" s="21" t="s">
        <v>4381</v>
      </c>
      <c r="K2295" s="24">
        <v>50</v>
      </c>
      <c r="L2295" s="24">
        <v>300</v>
      </c>
      <c r="M2295" s="23"/>
      <c r="N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  <c r="AA2295" s="23">
        <v>50</v>
      </c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/>
      <c r="AL2295" s="23"/>
      <c r="AM2295" s="23"/>
      <c r="AN2295" s="23">
        <v>50</v>
      </c>
      <c r="AO2295" s="23"/>
      <c r="AP2295" s="23"/>
      <c r="AQ2295" s="23">
        <v>50</v>
      </c>
      <c r="AR2295" s="23"/>
      <c r="AS2295" s="23"/>
      <c r="AT2295" s="23"/>
      <c r="AU2295" s="14" t="str">
        <f>HYPERLINK("http://www.openstreetmap.org/?mlat=35.4051&amp;mlon=43.8958&amp;zoom=12#map=12/35.4051/43.8958","Maplink1")</f>
        <v>Maplink1</v>
      </c>
      <c r="AV2295" s="14" t="str">
        <f>HYPERLINK("https://www.google.iq/maps/search/+35.4051,43.8958/@35.4051,43.8958,14z?hl=en","Maplink2")</f>
        <v>Maplink2</v>
      </c>
      <c r="AW2295" s="14" t="str">
        <f>HYPERLINK("http://www.bing.com/maps/?lvl=14&amp;sty=h&amp;cp=35.4051~43.8958&amp;sp=point.35.4051_43.8958_Al Mahmodiya","Maplink3")</f>
        <v>Maplink3</v>
      </c>
    </row>
    <row r="2296" spans="1:49" ht="15" customHeight="1" x14ac:dyDescent="0.25">
      <c r="A2296" s="21">
        <v>24366</v>
      </c>
      <c r="B2296" s="22" t="s">
        <v>17</v>
      </c>
      <c r="C2296" s="22" t="s">
        <v>4364</v>
      </c>
      <c r="D2296" s="22" t="s">
        <v>4382</v>
      </c>
      <c r="E2296" s="22" t="s">
        <v>4383</v>
      </c>
      <c r="F2296" s="22">
        <v>35.402191999999999</v>
      </c>
      <c r="G2296" s="22">
        <v>43.883960999999999</v>
      </c>
      <c r="H2296" s="21" t="s">
        <v>4367</v>
      </c>
      <c r="I2296" s="21" t="s">
        <v>4368</v>
      </c>
      <c r="J2296" s="21"/>
      <c r="K2296" s="24">
        <v>100</v>
      </c>
      <c r="L2296" s="24">
        <v>600</v>
      </c>
      <c r="M2296" s="23"/>
      <c r="N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>
        <v>100</v>
      </c>
      <c r="AB2296" s="23"/>
      <c r="AC2296" s="23"/>
      <c r="AD2296" s="23"/>
      <c r="AE2296" s="23"/>
      <c r="AF2296" s="23">
        <v>100</v>
      </c>
      <c r="AG2296" s="23"/>
      <c r="AH2296" s="23"/>
      <c r="AI2296" s="23"/>
      <c r="AJ2296" s="23"/>
      <c r="AK2296" s="23"/>
      <c r="AL2296" s="23"/>
      <c r="AM2296" s="23"/>
      <c r="AN2296" s="23"/>
      <c r="AO2296" s="23"/>
      <c r="AP2296" s="23">
        <v>100</v>
      </c>
      <c r="AQ2296" s="23"/>
      <c r="AR2296" s="23"/>
      <c r="AS2296" s="23"/>
      <c r="AT2296" s="23"/>
      <c r="AU2296" s="14" t="str">
        <f>HYPERLINK("http://www.openstreetmap.org/?mlat=35.4022&amp;mlon=43.884&amp;zoom=12#map=12/35.4022/43.884","Maplink1")</f>
        <v>Maplink1</v>
      </c>
      <c r="AV2296" s="14" t="str">
        <f>HYPERLINK("https://www.google.iq/maps/search/+35.4022,43.884/@35.4022,43.884,14z?hl=en","Maplink2")</f>
        <v>Maplink2</v>
      </c>
      <c r="AW2296" s="14" t="str">
        <f>HYPERLINK("http://www.bing.com/maps/?lvl=14&amp;sty=h&amp;cp=35.4022~43.884&amp;sp=point.35.4022_43.884_Al Silkizat Village","Maplink3")</f>
        <v>Maplink3</v>
      </c>
    </row>
    <row r="2297" spans="1:49" ht="15" customHeight="1" x14ac:dyDescent="0.25">
      <c r="A2297" s="21">
        <v>15268</v>
      </c>
      <c r="B2297" s="22" t="s">
        <v>17</v>
      </c>
      <c r="C2297" s="22" t="s">
        <v>4364</v>
      </c>
      <c r="D2297" s="22" t="s">
        <v>4384</v>
      </c>
      <c r="E2297" s="22" t="s">
        <v>4385</v>
      </c>
      <c r="F2297" s="22">
        <v>35.315930999999999</v>
      </c>
      <c r="G2297" s="22">
        <v>43.767190999999997</v>
      </c>
      <c r="H2297" s="21" t="s">
        <v>4367</v>
      </c>
      <c r="I2297" s="21" t="s">
        <v>4368</v>
      </c>
      <c r="J2297" s="21" t="s">
        <v>4386</v>
      </c>
      <c r="K2297" s="24">
        <v>3200</v>
      </c>
      <c r="L2297" s="24">
        <v>19200</v>
      </c>
      <c r="M2297" s="23">
        <v>1400</v>
      </c>
      <c r="N2297" s="23"/>
      <c r="O2297" s="23"/>
      <c r="P2297" s="23"/>
      <c r="Q2297" s="23"/>
      <c r="R2297" s="23"/>
      <c r="S2297" s="23"/>
      <c r="T2297" s="23"/>
      <c r="U2297" s="23">
        <v>1200</v>
      </c>
      <c r="V2297" s="23"/>
      <c r="W2297" s="23"/>
      <c r="X2297" s="23"/>
      <c r="Y2297" s="23">
        <v>600</v>
      </c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/>
      <c r="AL2297" s="23"/>
      <c r="AM2297" s="23"/>
      <c r="AN2297" s="23">
        <v>3200</v>
      </c>
      <c r="AO2297" s="23">
        <v>1400</v>
      </c>
      <c r="AP2297" s="23">
        <v>600</v>
      </c>
      <c r="AQ2297" s="23"/>
      <c r="AR2297" s="23">
        <v>1200</v>
      </c>
      <c r="AS2297" s="23"/>
      <c r="AT2297" s="23"/>
      <c r="AU2297" s="14" t="str">
        <f>HYPERLINK("http://www.openstreetmap.org/?mlat=35.3159&amp;mlon=43.7672&amp;zoom=12#map=12/35.3159/43.7672","Maplink1")</f>
        <v>Maplink1</v>
      </c>
      <c r="AV2297" s="14" t="str">
        <f>HYPERLINK("https://www.google.iq/maps/search/+35.3159,43.7672/@35.3159,43.7672,14z?hl=en","Maplink2")</f>
        <v>Maplink2</v>
      </c>
      <c r="AW2297" s="14" t="str">
        <f>HYPERLINK("http://www.bing.com/maps/?lvl=14&amp;sty=h&amp;cp=35.3159~43.7672&amp;sp=point.35.3159_43.7672_Al-Hawiga-Al Hawija cenetr","Maplink3")</f>
        <v>Maplink3</v>
      </c>
    </row>
    <row r="2298" spans="1:49" ht="15" customHeight="1" x14ac:dyDescent="0.25">
      <c r="A2298" s="21">
        <v>14998</v>
      </c>
      <c r="B2298" s="22" t="s">
        <v>17</v>
      </c>
      <c r="C2298" s="22" t="s">
        <v>4364</v>
      </c>
      <c r="D2298" s="22" t="s">
        <v>4387</v>
      </c>
      <c r="E2298" s="22" t="s">
        <v>396</v>
      </c>
      <c r="F2298" s="22">
        <v>35.340000000000003</v>
      </c>
      <c r="G2298" s="22">
        <v>43.72</v>
      </c>
      <c r="H2298" s="21" t="s">
        <v>4367</v>
      </c>
      <c r="I2298" s="21" t="s">
        <v>4368</v>
      </c>
      <c r="J2298" s="21" t="s">
        <v>4388</v>
      </c>
      <c r="K2298" s="24">
        <v>30</v>
      </c>
      <c r="L2298" s="24">
        <v>180</v>
      </c>
      <c r="M2298" s="23"/>
      <c r="N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>
        <v>30</v>
      </c>
      <c r="AB2298" s="23"/>
      <c r="AC2298" s="23"/>
      <c r="AD2298" s="23"/>
      <c r="AE2298" s="23"/>
      <c r="AF2298" s="23">
        <v>20</v>
      </c>
      <c r="AG2298" s="23"/>
      <c r="AH2298" s="23"/>
      <c r="AI2298" s="23"/>
      <c r="AJ2298" s="23"/>
      <c r="AK2298" s="23"/>
      <c r="AL2298" s="23"/>
      <c r="AM2298" s="23">
        <v>10</v>
      </c>
      <c r="AN2298" s="23"/>
      <c r="AO2298" s="23"/>
      <c r="AP2298" s="23">
        <v>30</v>
      </c>
      <c r="AQ2298" s="23"/>
      <c r="AR2298" s="23"/>
      <c r="AS2298" s="23"/>
      <c r="AT2298" s="23"/>
      <c r="AU2298" s="14" t="str">
        <f>HYPERLINK("http://www.openstreetmap.org/?mlat=35.34&amp;mlon=43.72&amp;zoom=12#map=12/35.34/43.72","Maplink1")</f>
        <v>Maplink1</v>
      </c>
      <c r="AV2298" s="14" t="str">
        <f>HYPERLINK("https://www.google.iq/maps/search/+35.34,43.72/@35.34,43.72,14z?hl=en","Maplink2")</f>
        <v>Maplink2</v>
      </c>
      <c r="AW2298" s="14" t="str">
        <f>HYPERLINK("http://www.bing.com/maps/?lvl=14&amp;sty=h&amp;cp=35.34~43.72&amp;sp=point.35.34_43.72_Al-Khaldia","Maplink3")</f>
        <v>Maplink3</v>
      </c>
    </row>
    <row r="2299" spans="1:49" ht="15" customHeight="1" x14ac:dyDescent="0.25">
      <c r="A2299" s="21">
        <v>15202</v>
      </c>
      <c r="B2299" s="22" t="s">
        <v>17</v>
      </c>
      <c r="C2299" s="22" t="s">
        <v>4364</v>
      </c>
      <c r="D2299" s="22" t="s">
        <v>4389</v>
      </c>
      <c r="E2299" s="22" t="s">
        <v>4390</v>
      </c>
      <c r="F2299" s="22">
        <v>35.270389000000002</v>
      </c>
      <c r="G2299" s="22">
        <v>43.915610999999998</v>
      </c>
      <c r="H2299" s="21" t="s">
        <v>4367</v>
      </c>
      <c r="I2299" s="21" t="s">
        <v>4368</v>
      </c>
      <c r="J2299" s="21" t="s">
        <v>4391</v>
      </c>
      <c r="K2299" s="24">
        <v>1500</v>
      </c>
      <c r="L2299" s="24">
        <v>9000</v>
      </c>
      <c r="M2299" s="23">
        <v>500</v>
      </c>
      <c r="N2299" s="23"/>
      <c r="O2299" s="23"/>
      <c r="P2299" s="23"/>
      <c r="Q2299" s="23"/>
      <c r="R2299" s="23"/>
      <c r="S2299" s="23"/>
      <c r="T2299" s="23"/>
      <c r="U2299" s="23">
        <v>500</v>
      </c>
      <c r="V2299" s="23"/>
      <c r="W2299" s="23"/>
      <c r="X2299" s="23"/>
      <c r="Y2299" s="23"/>
      <c r="Z2299" s="23"/>
      <c r="AA2299" s="23">
        <v>500</v>
      </c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>
        <v>1500</v>
      </c>
      <c r="AO2299" s="23">
        <v>500</v>
      </c>
      <c r="AP2299" s="23"/>
      <c r="AQ2299" s="23"/>
      <c r="AR2299" s="23">
        <v>1000</v>
      </c>
      <c r="AS2299" s="23"/>
      <c r="AT2299" s="23"/>
      <c r="AU2299" s="14" t="str">
        <f>HYPERLINK("http://www.openstreetmap.org/?mlat=35.2704&amp;mlon=43.9156&amp;zoom=12#map=12/35.2704/43.9156","Maplink1")</f>
        <v>Maplink1</v>
      </c>
      <c r="AV2299" s="14" t="str">
        <f>HYPERLINK("https://www.google.iq/maps/search/+35.2704,43.9156/@35.2704,43.9156,14z?hl=en","Maplink2")</f>
        <v>Maplink2</v>
      </c>
      <c r="AW2299" s="14" t="str">
        <f>HYPERLINK("http://www.bing.com/maps/?lvl=14&amp;sty=h&amp;cp=35.2704~43.9156&amp;sp=point.35.2704_43.9156_Al-riyadh center","Maplink3")</f>
        <v>Maplink3</v>
      </c>
    </row>
    <row r="2300" spans="1:49" ht="15" customHeight="1" x14ac:dyDescent="0.25">
      <c r="A2300" s="21">
        <v>15191</v>
      </c>
      <c r="B2300" s="22" t="s">
        <v>17</v>
      </c>
      <c r="C2300" s="22" t="s">
        <v>4364</v>
      </c>
      <c r="D2300" s="22" t="s">
        <v>4392</v>
      </c>
      <c r="E2300" s="22" t="s">
        <v>4393</v>
      </c>
      <c r="F2300" s="22">
        <v>35.260832999999998</v>
      </c>
      <c r="G2300" s="22">
        <v>43.432917000000003</v>
      </c>
      <c r="H2300" s="21" t="s">
        <v>4367</v>
      </c>
      <c r="I2300" s="21" t="s">
        <v>4368</v>
      </c>
      <c r="J2300" s="21" t="s">
        <v>4394</v>
      </c>
      <c r="K2300" s="24">
        <v>2500</v>
      </c>
      <c r="L2300" s="24">
        <v>15000</v>
      </c>
      <c r="M2300" s="23"/>
      <c r="N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>
        <v>2500</v>
      </c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>
        <v>2500</v>
      </c>
      <c r="AO2300" s="23"/>
      <c r="AP2300" s="23"/>
      <c r="AQ2300" s="23">
        <v>2500</v>
      </c>
      <c r="AR2300" s="23"/>
      <c r="AS2300" s="23"/>
      <c r="AT2300" s="23"/>
      <c r="AU2300" s="14" t="str">
        <f>HYPERLINK("http://www.openstreetmap.org/?mlat=35.2608&amp;mlon=43.4329&amp;zoom=12#map=12/35.2608/43.4329","Maplink1")</f>
        <v>Maplink1</v>
      </c>
      <c r="AV2300" s="14" t="str">
        <f>HYPERLINK("https://www.google.iq/maps/search/+35.2608,43.4329/@35.2608,43.4329,14z?hl=en","Maplink2")</f>
        <v>Maplink2</v>
      </c>
      <c r="AW2300" s="14" t="str">
        <f>HYPERLINK("http://www.bing.com/maps/?lvl=14&amp;sty=h&amp;cp=35.2608~43.4329&amp;sp=point.35.2608_43.4329_Al-zab","Maplink3")</f>
        <v>Maplink3</v>
      </c>
    </row>
    <row r="2301" spans="1:49" ht="15" customHeight="1" x14ac:dyDescent="0.25">
      <c r="A2301" s="21">
        <v>15346</v>
      </c>
      <c r="B2301" s="22" t="s">
        <v>17</v>
      </c>
      <c r="C2301" s="22" t="s">
        <v>4364</v>
      </c>
      <c r="D2301" s="22" t="s">
        <v>4395</v>
      </c>
      <c r="E2301" s="22" t="s">
        <v>4396</v>
      </c>
      <c r="F2301" s="22">
        <v>35.383916999999997</v>
      </c>
      <c r="G2301" s="22">
        <v>43.627777999999999</v>
      </c>
      <c r="H2301" s="21" t="s">
        <v>4367</v>
      </c>
      <c r="I2301" s="21" t="s">
        <v>4368</v>
      </c>
      <c r="J2301" s="21" t="s">
        <v>4397</v>
      </c>
      <c r="K2301" s="24">
        <v>100</v>
      </c>
      <c r="L2301" s="24">
        <v>600</v>
      </c>
      <c r="M2301" s="23"/>
      <c r="N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  <c r="AA2301" s="23">
        <v>100</v>
      </c>
      <c r="AB2301" s="23"/>
      <c r="AC2301" s="23"/>
      <c r="AD2301" s="23"/>
      <c r="AE2301" s="23"/>
      <c r="AF2301" s="23">
        <v>100</v>
      </c>
      <c r="AG2301" s="23"/>
      <c r="AH2301" s="23"/>
      <c r="AI2301" s="23"/>
      <c r="AJ2301" s="23"/>
      <c r="AK2301" s="23"/>
      <c r="AL2301" s="23"/>
      <c r="AM2301" s="23"/>
      <c r="AN2301" s="23"/>
      <c r="AO2301" s="23"/>
      <c r="AP2301" s="23">
        <v>100</v>
      </c>
      <c r="AQ2301" s="23"/>
      <c r="AR2301" s="23"/>
      <c r="AS2301" s="23"/>
      <c r="AT2301" s="23"/>
      <c r="AU2301" s="14" t="str">
        <f>HYPERLINK("http://www.openstreetmap.org/?mlat=35.3839&amp;mlon=43.6278&amp;zoom=12#map=12/35.3839/43.6278","Maplink1")</f>
        <v>Maplink1</v>
      </c>
      <c r="AV2301" s="14" t="str">
        <f>HYPERLINK("https://www.google.iq/maps/search/+35.3839,43.6278/@35.3839,43.6278,14z?hl=en","Maplink2")</f>
        <v>Maplink2</v>
      </c>
      <c r="AW2301" s="14" t="str">
        <f>HYPERLINK("http://www.bing.com/maps/?lvl=14&amp;sty=h&amp;cp=35.3839~43.6278&amp;sp=point.35.3839_43.6278_Ash shareaa","Maplink3")</f>
        <v>Maplink3</v>
      </c>
    </row>
    <row r="2302" spans="1:49" ht="15" customHeight="1" x14ac:dyDescent="0.25">
      <c r="A2302" s="21">
        <v>24364</v>
      </c>
      <c r="B2302" s="22" t="s">
        <v>17</v>
      </c>
      <c r="C2302" s="22" t="s">
        <v>4364</v>
      </c>
      <c r="D2302" s="22" t="s">
        <v>4398</v>
      </c>
      <c r="E2302" s="22" t="s">
        <v>4399</v>
      </c>
      <c r="F2302" s="22">
        <v>35.432000000000002</v>
      </c>
      <c r="G2302" s="22">
        <v>43.856172999999998</v>
      </c>
      <c r="H2302" s="21" t="s">
        <v>4367</v>
      </c>
      <c r="I2302" s="21" t="s">
        <v>4368</v>
      </c>
      <c r="J2302" s="21"/>
      <c r="K2302" s="24">
        <v>200</v>
      </c>
      <c r="L2302" s="24">
        <v>1200</v>
      </c>
      <c r="M2302" s="23"/>
      <c r="N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>
        <v>200</v>
      </c>
      <c r="AB2302" s="23"/>
      <c r="AC2302" s="23"/>
      <c r="AD2302" s="23"/>
      <c r="AE2302" s="23"/>
      <c r="AF2302" s="23">
        <v>200</v>
      </c>
      <c r="AG2302" s="23"/>
      <c r="AH2302" s="23"/>
      <c r="AI2302" s="23"/>
      <c r="AJ2302" s="23"/>
      <c r="AK2302" s="23"/>
      <c r="AL2302" s="23"/>
      <c r="AM2302" s="23"/>
      <c r="AN2302" s="23"/>
      <c r="AO2302" s="23"/>
      <c r="AP2302" s="23">
        <v>200</v>
      </c>
      <c r="AQ2302" s="23"/>
      <c r="AR2302" s="23"/>
      <c r="AS2302" s="23"/>
      <c r="AT2302" s="23"/>
      <c r="AU2302" s="14" t="str">
        <f>HYPERLINK("http://www.openstreetmap.org/?mlat=35.432&amp;mlon=43.8562&amp;zoom=12#map=12/35.432/43.8562","Maplink1")</f>
        <v>Maplink1</v>
      </c>
      <c r="AV2302" s="14" t="str">
        <f>HYPERLINK("https://www.google.iq/maps/search/+35.432,43.8562/@35.432,43.8562,14z?hl=en","Maplink2")</f>
        <v>Maplink2</v>
      </c>
      <c r="AW2302" s="14" t="str">
        <f>HYPERLINK("http://www.bing.com/maps/?lvl=14&amp;sty=h&amp;cp=35.432~43.8562&amp;sp=point.35.432_43.8562_Atira Village","Maplink3")</f>
        <v>Maplink3</v>
      </c>
    </row>
    <row r="2303" spans="1:49" ht="15" customHeight="1" x14ac:dyDescent="0.25">
      <c r="A2303" s="21">
        <v>24236</v>
      </c>
      <c r="B2303" s="22" t="s">
        <v>17</v>
      </c>
      <c r="C2303" s="22" t="s">
        <v>4364</v>
      </c>
      <c r="D2303" s="22" t="s">
        <v>4400</v>
      </c>
      <c r="E2303" s="22" t="s">
        <v>4401</v>
      </c>
      <c r="F2303" s="22">
        <v>35.434420000000003</v>
      </c>
      <c r="G2303" s="22">
        <v>43.797288999999999</v>
      </c>
      <c r="H2303" s="21" t="s">
        <v>4367</v>
      </c>
      <c r="I2303" s="21" t="s">
        <v>4368</v>
      </c>
      <c r="J2303" s="21" t="s">
        <v>4402</v>
      </c>
      <c r="K2303" s="24">
        <v>100</v>
      </c>
      <c r="L2303" s="24">
        <v>600</v>
      </c>
      <c r="M2303" s="23"/>
      <c r="N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>
        <v>100</v>
      </c>
      <c r="AB2303" s="23"/>
      <c r="AC2303" s="23"/>
      <c r="AD2303" s="23"/>
      <c r="AE2303" s="23"/>
      <c r="AF2303" s="23">
        <v>100</v>
      </c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>
        <v>100</v>
      </c>
      <c r="AQ2303" s="23"/>
      <c r="AR2303" s="23"/>
      <c r="AS2303" s="23"/>
      <c r="AT2303" s="23"/>
      <c r="AU2303" s="14" t="str">
        <f>HYPERLINK("http://www.openstreetmap.org/?mlat=35.4344&amp;mlon=43.7973&amp;zoom=12#map=12/35.4344/43.7973","Maplink1")</f>
        <v>Maplink1</v>
      </c>
      <c r="AV2303" s="14" t="str">
        <f>HYPERLINK("https://www.google.iq/maps/search/+35.4344,43.7973/@35.4344,43.7973,14z?hl=en","Maplink2")</f>
        <v>Maplink2</v>
      </c>
      <c r="AW2303" s="14" t="str">
        <f>HYPERLINK("http://www.bing.com/maps/?lvl=14&amp;sty=h&amp;cp=35.4344~43.7973&amp;sp=point.35.4344_43.7973_Hay Al Latifiyah","Maplink3")</f>
        <v>Maplink3</v>
      </c>
    </row>
    <row r="2304" spans="1:49" ht="15" customHeight="1" x14ac:dyDescent="0.25">
      <c r="A2304" s="21">
        <v>24237</v>
      </c>
      <c r="B2304" s="22" t="s">
        <v>17</v>
      </c>
      <c r="C2304" s="22" t="s">
        <v>4364</v>
      </c>
      <c r="D2304" s="22" t="s">
        <v>4403</v>
      </c>
      <c r="E2304" s="22" t="s">
        <v>4404</v>
      </c>
      <c r="F2304" s="22">
        <v>35.431714999999997</v>
      </c>
      <c r="G2304" s="22">
        <v>43.800291000000001</v>
      </c>
      <c r="H2304" s="21" t="s">
        <v>4367</v>
      </c>
      <c r="I2304" s="21" t="s">
        <v>4368</v>
      </c>
      <c r="J2304" s="21" t="s">
        <v>4405</v>
      </c>
      <c r="K2304" s="24">
        <v>200</v>
      </c>
      <c r="L2304" s="24">
        <v>1200</v>
      </c>
      <c r="M2304" s="23"/>
      <c r="N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>
        <v>200</v>
      </c>
      <c r="AB2304" s="23"/>
      <c r="AC2304" s="23"/>
      <c r="AD2304" s="23"/>
      <c r="AE2304" s="23"/>
      <c r="AF2304" s="23">
        <v>200</v>
      </c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>
        <v>200</v>
      </c>
      <c r="AQ2304" s="23"/>
      <c r="AR2304" s="23"/>
      <c r="AS2304" s="23"/>
      <c r="AT2304" s="23"/>
      <c r="AU2304" s="14" t="str">
        <f>HYPERLINK("http://www.openstreetmap.org/?mlat=35.4317&amp;mlon=43.8003&amp;zoom=12#map=12/35.4317/43.8003","Maplink1")</f>
        <v>Maplink1</v>
      </c>
      <c r="AV2304" s="14" t="str">
        <f>HYPERLINK("https://www.google.iq/maps/search/+35.4317,43.8003/@35.4317,43.8003,14z?hl=en","Maplink2")</f>
        <v>Maplink2</v>
      </c>
      <c r="AW2304" s="14" t="str">
        <f>HYPERLINK("http://www.bing.com/maps/?lvl=14&amp;sty=h&amp;cp=35.4317~43.8003&amp;sp=point.35.4317_43.8003_Hay Al Motajawizeen","Maplink3")</f>
        <v>Maplink3</v>
      </c>
    </row>
    <row r="2305" spans="1:49" ht="15" customHeight="1" x14ac:dyDescent="0.25">
      <c r="A2305" s="21">
        <v>23660</v>
      </c>
      <c r="B2305" s="22" t="s">
        <v>17</v>
      </c>
      <c r="C2305" s="22" t="s">
        <v>4364</v>
      </c>
      <c r="D2305" s="22" t="s">
        <v>227</v>
      </c>
      <c r="E2305" s="22" t="s">
        <v>8219</v>
      </c>
      <c r="F2305" s="22">
        <v>35.324832000000001</v>
      </c>
      <c r="G2305" s="22">
        <v>43.811402000000001</v>
      </c>
      <c r="H2305" s="21" t="s">
        <v>4367</v>
      </c>
      <c r="I2305" s="21" t="s">
        <v>4368</v>
      </c>
      <c r="J2305" s="21" t="s">
        <v>4406</v>
      </c>
      <c r="K2305" s="24">
        <v>50</v>
      </c>
      <c r="L2305" s="24">
        <v>300</v>
      </c>
      <c r="M2305" s="23">
        <v>20</v>
      </c>
      <c r="N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>
        <v>30</v>
      </c>
      <c r="AB2305" s="23"/>
      <c r="AC2305" s="23"/>
      <c r="AD2305" s="23"/>
      <c r="AE2305" s="23"/>
      <c r="AF2305" s="23">
        <v>30</v>
      </c>
      <c r="AG2305" s="23"/>
      <c r="AH2305" s="23"/>
      <c r="AI2305" s="23"/>
      <c r="AJ2305" s="23"/>
      <c r="AK2305" s="23"/>
      <c r="AL2305" s="23"/>
      <c r="AM2305" s="23"/>
      <c r="AN2305" s="23">
        <v>20</v>
      </c>
      <c r="AO2305" s="23">
        <v>20</v>
      </c>
      <c r="AP2305" s="23">
        <v>30</v>
      </c>
      <c r="AQ2305" s="23"/>
      <c r="AR2305" s="23"/>
      <c r="AS2305" s="23"/>
      <c r="AT2305" s="23"/>
      <c r="AU2305" s="14" t="str">
        <f>HYPERLINK("http://www.openstreetmap.org/?mlat=35.3248&amp;mlon=43.8114&amp;zoom=12#map=12/35.3248/43.8114","Maplink1")</f>
        <v>Maplink1</v>
      </c>
      <c r="AV2305" s="14" t="str">
        <f>HYPERLINK("https://www.google.iq/maps/search/+35.3248,43.8114/@35.3248,43.8114,14z?hl=en","Maplink2")</f>
        <v>Maplink2</v>
      </c>
      <c r="AW2305" s="14" t="str">
        <f>HYPERLINK("http://www.bing.com/maps/?lvl=14&amp;sty=h&amp;cp=35.3248~43.8114&amp;sp=point.35.3248_43.8114_Hay Al Salam","Maplink3")</f>
        <v>Maplink3</v>
      </c>
    </row>
    <row r="2306" spans="1:49" ht="15" customHeight="1" x14ac:dyDescent="0.25">
      <c r="A2306" s="21">
        <v>22084</v>
      </c>
      <c r="B2306" s="22" t="s">
        <v>17</v>
      </c>
      <c r="C2306" s="22" t="s">
        <v>4364</v>
      </c>
      <c r="D2306" s="22" t="s">
        <v>437</v>
      </c>
      <c r="E2306" s="22" t="s">
        <v>438</v>
      </c>
      <c r="F2306" s="22">
        <v>35.321944440000003</v>
      </c>
      <c r="G2306" s="22">
        <v>43.775277780000003</v>
      </c>
      <c r="H2306" s="21" t="s">
        <v>4367</v>
      </c>
      <c r="I2306" s="21" t="s">
        <v>4368</v>
      </c>
      <c r="J2306" s="21" t="s">
        <v>4407</v>
      </c>
      <c r="K2306" s="24">
        <v>150</v>
      </c>
      <c r="L2306" s="24">
        <v>900</v>
      </c>
      <c r="M2306" s="23"/>
      <c r="N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>
        <v>150</v>
      </c>
      <c r="AB2306" s="23"/>
      <c r="AC2306" s="23"/>
      <c r="AD2306" s="23"/>
      <c r="AE2306" s="23"/>
      <c r="AF2306" s="23">
        <v>150</v>
      </c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>
        <v>150</v>
      </c>
      <c r="AQ2306" s="23"/>
      <c r="AR2306" s="23"/>
      <c r="AS2306" s="23"/>
      <c r="AT2306" s="23"/>
      <c r="AU2306" s="14" t="str">
        <f>HYPERLINK("http://www.openstreetmap.org/?mlat=35.3219&amp;mlon=43.7753&amp;zoom=12#map=12/35.3219/43.7753","Maplink1")</f>
        <v>Maplink1</v>
      </c>
      <c r="AV2306" s="14" t="str">
        <f>HYPERLINK("https://www.google.iq/maps/search/+35.3219,43.7753/@35.3219,43.7753,14z?hl=en","Maplink2")</f>
        <v>Maplink2</v>
      </c>
      <c r="AW2306" s="14" t="str">
        <f>HYPERLINK("http://www.bing.com/maps/?lvl=14&amp;sty=h&amp;cp=35.3219~43.7753&amp;sp=point.35.3219_43.7753_Hay Al Saray","Maplink3")</f>
        <v>Maplink3</v>
      </c>
    </row>
    <row r="2307" spans="1:49" ht="15" customHeight="1" x14ac:dyDescent="0.25">
      <c r="A2307" s="21">
        <v>24361</v>
      </c>
      <c r="B2307" s="22" t="s">
        <v>17</v>
      </c>
      <c r="C2307" s="22" t="s">
        <v>4364</v>
      </c>
      <c r="D2307" s="22" t="s">
        <v>4408</v>
      </c>
      <c r="E2307" s="22" t="s">
        <v>4409</v>
      </c>
      <c r="F2307" s="22">
        <v>35.500216999999999</v>
      </c>
      <c r="G2307" s="22">
        <v>43.845064000000001</v>
      </c>
      <c r="H2307" s="21" t="s">
        <v>4367</v>
      </c>
      <c r="I2307" s="21" t="s">
        <v>4368</v>
      </c>
      <c r="J2307" s="21"/>
      <c r="K2307" s="24">
        <v>500</v>
      </c>
      <c r="L2307" s="24">
        <v>3000</v>
      </c>
      <c r="M2307" s="23"/>
      <c r="N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>
        <v>500</v>
      </c>
      <c r="AB2307" s="23"/>
      <c r="AC2307" s="23"/>
      <c r="AD2307" s="23"/>
      <c r="AE2307" s="23"/>
      <c r="AF2307" s="23">
        <v>300</v>
      </c>
      <c r="AG2307" s="23"/>
      <c r="AH2307" s="23"/>
      <c r="AI2307" s="23"/>
      <c r="AJ2307" s="23"/>
      <c r="AK2307" s="23"/>
      <c r="AL2307" s="23"/>
      <c r="AM2307" s="23"/>
      <c r="AN2307" s="23">
        <v>200</v>
      </c>
      <c r="AO2307" s="23"/>
      <c r="AP2307" s="23">
        <v>500</v>
      </c>
      <c r="AQ2307" s="23"/>
      <c r="AR2307" s="23"/>
      <c r="AS2307" s="23"/>
      <c r="AT2307" s="23"/>
      <c r="AU2307" s="14" t="str">
        <f>HYPERLINK("http://www.openstreetmap.org/?mlat=35.5002&amp;mlon=43.8451&amp;zoom=12#map=12/35.5002/43.8451","Maplink1")</f>
        <v>Maplink1</v>
      </c>
      <c r="AV2307" s="14" t="str">
        <f>HYPERLINK("https://www.google.iq/maps/search/+35.5002,43.8451/@35.5002,43.8451,14z?hl=en","Maplink2")</f>
        <v>Maplink2</v>
      </c>
      <c r="AW2307" s="14" t="str">
        <f>HYPERLINK("http://www.bing.com/maps/?lvl=14&amp;sty=h&amp;cp=35.5002~43.8451&amp;sp=point.35.5002_43.8451_Hay Al Shab","Maplink3")</f>
        <v>Maplink3</v>
      </c>
    </row>
    <row r="2308" spans="1:49" ht="15" customHeight="1" x14ac:dyDescent="0.25">
      <c r="A2308" s="21">
        <v>15554</v>
      </c>
      <c r="B2308" s="22" t="s">
        <v>17</v>
      </c>
      <c r="C2308" s="22" t="s">
        <v>4364</v>
      </c>
      <c r="D2308" s="22" t="s">
        <v>4410</v>
      </c>
      <c r="E2308" s="22" t="s">
        <v>4411</v>
      </c>
      <c r="F2308" s="22">
        <v>35.327747000000002</v>
      </c>
      <c r="G2308" s="22">
        <v>43.780430000000003</v>
      </c>
      <c r="H2308" s="21" t="s">
        <v>4367</v>
      </c>
      <c r="I2308" s="21" t="s">
        <v>4368</v>
      </c>
      <c r="J2308" s="21" t="s">
        <v>4412</v>
      </c>
      <c r="K2308" s="24">
        <v>50</v>
      </c>
      <c r="L2308" s="24">
        <v>300</v>
      </c>
      <c r="M2308" s="23">
        <v>50</v>
      </c>
      <c r="N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>
        <v>50</v>
      </c>
      <c r="AG2308" s="23"/>
      <c r="AH2308" s="23"/>
      <c r="AI2308" s="23"/>
      <c r="AJ2308" s="23"/>
      <c r="AK2308" s="23"/>
      <c r="AL2308" s="23"/>
      <c r="AM2308" s="23"/>
      <c r="AN2308" s="23"/>
      <c r="AO2308" s="23">
        <v>50</v>
      </c>
      <c r="AP2308" s="23"/>
      <c r="AQ2308" s="23"/>
      <c r="AR2308" s="23"/>
      <c r="AS2308" s="23"/>
      <c r="AT2308" s="23"/>
      <c r="AU2308" s="14" t="str">
        <f>HYPERLINK("http://www.openstreetmap.org/?mlat=35.3277&amp;mlon=43.7804&amp;zoom=12#map=12/35.3277/43.7804","Maplink1")</f>
        <v>Maplink1</v>
      </c>
      <c r="AV2308" s="14" t="str">
        <f>HYPERLINK("https://www.google.iq/maps/search/+35.3277,43.7804/@35.3277,43.7804,14z?hl=en","Maplink2")</f>
        <v>Maplink2</v>
      </c>
      <c r="AW2308" s="14" t="str">
        <f>HYPERLINK("http://www.bing.com/maps/?lvl=14&amp;sty=h&amp;cp=35.3277~43.7804&amp;sp=point.35.3277_43.7804_Hay Al-askary 1","Maplink3")</f>
        <v>Maplink3</v>
      </c>
    </row>
    <row r="2309" spans="1:49" ht="15" customHeight="1" x14ac:dyDescent="0.25">
      <c r="A2309" s="21">
        <v>15690</v>
      </c>
      <c r="B2309" s="22" t="s">
        <v>17</v>
      </c>
      <c r="C2309" s="22" t="s">
        <v>4364</v>
      </c>
      <c r="D2309" s="22" t="s">
        <v>654</v>
      </c>
      <c r="E2309" s="22" t="s">
        <v>655</v>
      </c>
      <c r="F2309" s="22">
        <v>35.275213000000001</v>
      </c>
      <c r="G2309" s="22">
        <v>43.912829000000002</v>
      </c>
      <c r="H2309" s="21" t="s">
        <v>4367</v>
      </c>
      <c r="I2309" s="21" t="s">
        <v>4368</v>
      </c>
      <c r="J2309" s="21" t="s">
        <v>4413</v>
      </c>
      <c r="K2309" s="24">
        <v>500</v>
      </c>
      <c r="L2309" s="24">
        <v>3000</v>
      </c>
      <c r="M2309" s="23"/>
      <c r="N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>
        <v>500</v>
      </c>
      <c r="AB2309" s="23"/>
      <c r="AC2309" s="23"/>
      <c r="AD2309" s="23"/>
      <c r="AE2309" s="23"/>
      <c r="AF2309" s="23">
        <v>250</v>
      </c>
      <c r="AG2309" s="23"/>
      <c r="AH2309" s="23"/>
      <c r="AI2309" s="23"/>
      <c r="AJ2309" s="23"/>
      <c r="AK2309" s="23"/>
      <c r="AL2309" s="23"/>
      <c r="AM2309" s="23">
        <v>200</v>
      </c>
      <c r="AN2309" s="23">
        <v>50</v>
      </c>
      <c r="AO2309" s="23"/>
      <c r="AP2309" s="23">
        <v>500</v>
      </c>
      <c r="AQ2309" s="23"/>
      <c r="AR2309" s="23"/>
      <c r="AS2309" s="23"/>
      <c r="AT2309" s="23"/>
      <c r="AU2309" s="14" t="str">
        <f>HYPERLINK("http://www.openstreetmap.org/?mlat=35.2752&amp;mlon=43.9128&amp;zoom=12#map=12/35.2752/43.9128","Maplink1")</f>
        <v>Maplink1</v>
      </c>
      <c r="AV2309" s="14" t="str">
        <f>HYPERLINK("https://www.google.iq/maps/search/+35.2752,43.9128/@35.2752,43.9128,14z?hl=en","Maplink2")</f>
        <v>Maplink2</v>
      </c>
      <c r="AW2309" s="14" t="str">
        <f>HYPERLINK("http://www.bing.com/maps/?lvl=14&amp;sty=h&amp;cp=35.2752~43.9128&amp;sp=point.35.2752_43.9128_Hay Al-Zuhoor","Maplink3")</f>
        <v>Maplink3</v>
      </c>
    </row>
    <row r="2310" spans="1:49" ht="15" customHeight="1" x14ac:dyDescent="0.25">
      <c r="A2310" s="21">
        <v>24235</v>
      </c>
      <c r="B2310" s="22" t="s">
        <v>17</v>
      </c>
      <c r="C2310" s="22" t="s">
        <v>4364</v>
      </c>
      <c r="D2310" s="22" t="s">
        <v>4414</v>
      </c>
      <c r="E2310" s="22" t="s">
        <v>4415</v>
      </c>
      <c r="F2310" s="22">
        <v>35.436661999999998</v>
      </c>
      <c r="G2310" s="22">
        <v>43.796511000000002</v>
      </c>
      <c r="H2310" s="21" t="s">
        <v>4367</v>
      </c>
      <c r="I2310" s="21" t="s">
        <v>4368</v>
      </c>
      <c r="J2310" s="21" t="s">
        <v>4416</v>
      </c>
      <c r="K2310" s="24">
        <v>300</v>
      </c>
      <c r="L2310" s="24">
        <v>1800</v>
      </c>
      <c r="M2310" s="23"/>
      <c r="N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>
        <v>300</v>
      </c>
      <c r="AB2310" s="23"/>
      <c r="AC2310" s="23"/>
      <c r="AD2310" s="23"/>
      <c r="AE2310" s="23"/>
      <c r="AF2310" s="23">
        <v>300</v>
      </c>
      <c r="AG2310" s="23"/>
      <c r="AH2310" s="23"/>
      <c r="AI2310" s="23"/>
      <c r="AJ2310" s="23"/>
      <c r="AK2310" s="23"/>
      <c r="AL2310" s="23"/>
      <c r="AM2310" s="23"/>
      <c r="AN2310" s="23"/>
      <c r="AO2310" s="23"/>
      <c r="AP2310" s="23">
        <v>300</v>
      </c>
      <c r="AQ2310" s="23"/>
      <c r="AR2310" s="23"/>
      <c r="AS2310" s="23"/>
      <c r="AT2310" s="23"/>
      <c r="AU2310" s="14" t="str">
        <f>HYPERLINK("http://www.openstreetmap.org/?mlat=35.4367&amp;mlon=43.7965&amp;zoom=12#map=12/35.4367/43.7965","Maplink1")</f>
        <v>Maplink1</v>
      </c>
      <c r="AV2310" s="14" t="str">
        <f>HYPERLINK("https://www.google.iq/maps/search/+35.4367,43.7965/@35.4367,43.7965,14z?hl=en","Maplink2")</f>
        <v>Maplink2</v>
      </c>
      <c r="AW2310" s="14" t="str">
        <f>HYPERLINK("http://www.bing.com/maps/?lvl=14&amp;sty=h&amp;cp=35.4367~43.7965&amp;sp=point.35.4367_43.7965_Hay Jbor","Maplink3")</f>
        <v>Maplink3</v>
      </c>
    </row>
    <row r="2311" spans="1:49" ht="15" customHeight="1" x14ac:dyDescent="0.25">
      <c r="A2311" s="21">
        <v>14934</v>
      </c>
      <c r="B2311" s="22" t="s">
        <v>17</v>
      </c>
      <c r="C2311" s="22" t="s">
        <v>4364</v>
      </c>
      <c r="D2311" s="22" t="s">
        <v>4417</v>
      </c>
      <c r="E2311" s="22" t="s">
        <v>4418</v>
      </c>
      <c r="F2311" s="22">
        <v>35.450000000000003</v>
      </c>
      <c r="G2311" s="22">
        <v>43.73</v>
      </c>
      <c r="H2311" s="21" t="s">
        <v>4367</v>
      </c>
      <c r="I2311" s="21" t="s">
        <v>4368</v>
      </c>
      <c r="J2311" s="21" t="s">
        <v>4419</v>
      </c>
      <c r="K2311" s="24">
        <v>120</v>
      </c>
      <c r="L2311" s="24">
        <v>720</v>
      </c>
      <c r="M2311" s="23"/>
      <c r="N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>
        <v>120</v>
      </c>
      <c r="AB2311" s="23"/>
      <c r="AC2311" s="23"/>
      <c r="AD2311" s="23"/>
      <c r="AE2311" s="23"/>
      <c r="AF2311" s="23">
        <v>120</v>
      </c>
      <c r="AG2311" s="23"/>
      <c r="AH2311" s="23"/>
      <c r="AI2311" s="23"/>
      <c r="AJ2311" s="23"/>
      <c r="AK2311" s="23"/>
      <c r="AL2311" s="23"/>
      <c r="AM2311" s="23"/>
      <c r="AN2311" s="23"/>
      <c r="AO2311" s="23"/>
      <c r="AP2311" s="23">
        <v>120</v>
      </c>
      <c r="AQ2311" s="23"/>
      <c r="AR2311" s="23"/>
      <c r="AS2311" s="23"/>
      <c r="AT2311" s="23"/>
      <c r="AU2311" s="14" t="str">
        <f>HYPERLINK("http://www.openstreetmap.org/?mlat=35.45&amp;mlon=43.73&amp;zoom=12#map=12/35.45/43.73","Maplink1")</f>
        <v>Maplink1</v>
      </c>
      <c r="AV2311" s="14" t="str">
        <f>HYPERLINK("https://www.google.iq/maps/search/+35.45,43.73/@35.45,43.73,14z?hl=en","Maplink2")</f>
        <v>Maplink2</v>
      </c>
      <c r="AW2311" s="14" t="str">
        <f>HYPERLINK("http://www.bing.com/maps/?lvl=14&amp;sty=h&amp;cp=35.45~43.73&amp;sp=point.35.45_43.73_Helwa Olia","Maplink3")</f>
        <v>Maplink3</v>
      </c>
    </row>
    <row r="2312" spans="1:49" ht="15" customHeight="1" x14ac:dyDescent="0.25">
      <c r="A2312" s="21">
        <v>15408</v>
      </c>
      <c r="B2312" s="22" t="s">
        <v>17</v>
      </c>
      <c r="C2312" s="22" t="s">
        <v>4364</v>
      </c>
      <c r="D2312" s="22" t="s">
        <v>4420</v>
      </c>
      <c r="E2312" s="22" t="s">
        <v>4421</v>
      </c>
      <c r="F2312" s="22">
        <v>35.457056000000001</v>
      </c>
      <c r="G2312" s="22">
        <v>43.737611000000001</v>
      </c>
      <c r="H2312" s="21" t="s">
        <v>4367</v>
      </c>
      <c r="I2312" s="21" t="s">
        <v>4368</v>
      </c>
      <c r="J2312" s="21" t="s">
        <v>4422</v>
      </c>
      <c r="K2312" s="24">
        <v>150</v>
      </c>
      <c r="L2312" s="24">
        <v>900</v>
      </c>
      <c r="M2312" s="23"/>
      <c r="N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>
        <v>150</v>
      </c>
      <c r="AB2312" s="23"/>
      <c r="AC2312" s="23"/>
      <c r="AD2312" s="23"/>
      <c r="AE2312" s="23"/>
      <c r="AF2312" s="23">
        <v>150</v>
      </c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>
        <v>150</v>
      </c>
      <c r="AQ2312" s="23"/>
      <c r="AR2312" s="23"/>
      <c r="AS2312" s="23"/>
      <c r="AT2312" s="23"/>
      <c r="AU2312" s="14" t="str">
        <f>HYPERLINK("http://www.openstreetmap.org/?mlat=35.4571&amp;mlon=43.7376&amp;zoom=12#map=12/35.4571/43.7376","Maplink1")</f>
        <v>Maplink1</v>
      </c>
      <c r="AV2312" s="14" t="str">
        <f>HYPERLINK("https://www.google.iq/maps/search/+35.4571,43.7376/@35.4571,43.7376,14z?hl=en","Maplink2")</f>
        <v>Maplink2</v>
      </c>
      <c r="AW2312" s="14" t="str">
        <f>HYPERLINK("http://www.bing.com/maps/?lvl=14&amp;sty=h&amp;cp=35.4571~43.7376&amp;sp=point.35.4571_43.7376_Hilwa lower","Maplink3")</f>
        <v>Maplink3</v>
      </c>
    </row>
    <row r="2313" spans="1:49" ht="15" customHeight="1" x14ac:dyDescent="0.25">
      <c r="A2313" s="21">
        <v>15416</v>
      </c>
      <c r="B2313" s="22" t="s">
        <v>17</v>
      </c>
      <c r="C2313" s="22" t="s">
        <v>4364</v>
      </c>
      <c r="D2313" s="22" t="s">
        <v>4423</v>
      </c>
      <c r="E2313" s="22" t="s">
        <v>4424</v>
      </c>
      <c r="F2313" s="22">
        <v>35.474806000000001</v>
      </c>
      <c r="G2313" s="22">
        <v>43.749082999999999</v>
      </c>
      <c r="H2313" s="21" t="s">
        <v>4367</v>
      </c>
      <c r="I2313" s="21" t="s">
        <v>4368</v>
      </c>
      <c r="J2313" s="21" t="s">
        <v>4425</v>
      </c>
      <c r="K2313" s="24">
        <v>250</v>
      </c>
      <c r="L2313" s="24">
        <v>1500</v>
      </c>
      <c r="M2313" s="23"/>
      <c r="N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>
        <v>250</v>
      </c>
      <c r="Z2313" s="23"/>
      <c r="AA2313" s="23"/>
      <c r="AB2313" s="23"/>
      <c r="AC2313" s="23"/>
      <c r="AD2313" s="23"/>
      <c r="AE2313" s="23"/>
      <c r="AF2313" s="23">
        <v>150</v>
      </c>
      <c r="AG2313" s="23"/>
      <c r="AH2313" s="23"/>
      <c r="AI2313" s="23"/>
      <c r="AJ2313" s="23"/>
      <c r="AK2313" s="23"/>
      <c r="AL2313" s="23"/>
      <c r="AM2313" s="23">
        <v>50</v>
      </c>
      <c r="AN2313" s="23">
        <v>50</v>
      </c>
      <c r="AO2313" s="23"/>
      <c r="AP2313" s="23">
        <v>250</v>
      </c>
      <c r="AQ2313" s="23"/>
      <c r="AR2313" s="23"/>
      <c r="AS2313" s="23"/>
      <c r="AT2313" s="23"/>
      <c r="AU2313" s="14" t="str">
        <f>HYPERLINK("http://www.openstreetmap.org/?mlat=35.4748&amp;mlon=43.7491&amp;zoom=12#map=12/35.4748/43.7491","Maplink1")</f>
        <v>Maplink1</v>
      </c>
      <c r="AV2313" s="14" t="str">
        <f>HYPERLINK("https://www.google.iq/maps/search/+35.4748,43.7491/@35.4748,43.7491,14z?hl=en","Maplink2")</f>
        <v>Maplink2</v>
      </c>
      <c r="AW2313" s="14" t="str">
        <f>HYPERLINK("http://www.bing.com/maps/?lvl=14&amp;sty=h&amp;cp=35.4748~43.7491&amp;sp=point.35.4748_43.7491_Hilwa middle","Maplink3")</f>
        <v>Maplink3</v>
      </c>
    </row>
    <row r="2314" spans="1:49" ht="15" customHeight="1" x14ac:dyDescent="0.25">
      <c r="A2314" s="21">
        <v>15281</v>
      </c>
      <c r="B2314" s="22" t="s">
        <v>17</v>
      </c>
      <c r="C2314" s="22" t="s">
        <v>4364</v>
      </c>
      <c r="D2314" s="22" t="s">
        <v>4426</v>
      </c>
      <c r="E2314" s="22" t="s">
        <v>4427</v>
      </c>
      <c r="F2314" s="22">
        <v>35.333556000000002</v>
      </c>
      <c r="G2314" s="22">
        <v>43.652000000000001</v>
      </c>
      <c r="H2314" s="21" t="s">
        <v>4367</v>
      </c>
      <c r="I2314" s="21" t="s">
        <v>4368</v>
      </c>
      <c r="J2314" s="21" t="s">
        <v>4428</v>
      </c>
      <c r="K2314" s="24">
        <v>22</v>
      </c>
      <c r="L2314" s="24">
        <v>132</v>
      </c>
      <c r="M2314" s="23"/>
      <c r="N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>
        <v>22</v>
      </c>
      <c r="AB2314" s="23"/>
      <c r="AC2314" s="23"/>
      <c r="AD2314" s="23"/>
      <c r="AE2314" s="23"/>
      <c r="AF2314" s="23">
        <v>22</v>
      </c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>
        <v>22</v>
      </c>
      <c r="AQ2314" s="23"/>
      <c r="AR2314" s="23"/>
      <c r="AS2314" s="23"/>
      <c r="AT2314" s="23"/>
      <c r="AU2314" s="14" t="str">
        <f>HYPERLINK("http://www.openstreetmap.org/?mlat=35.3336&amp;mlon=43.652&amp;zoom=12#map=12/35.3336/43.652","Maplink1")</f>
        <v>Maplink1</v>
      </c>
      <c r="AV2314" s="14" t="str">
        <f>HYPERLINK("https://www.google.iq/maps/search/+35.3336,43.652/@35.3336,43.652,14z?hl=en","Maplink2")</f>
        <v>Maplink2</v>
      </c>
      <c r="AW2314" s="14" t="str">
        <f>HYPERLINK("http://www.bing.com/maps/?lvl=14&amp;sty=h&amp;cp=35.3336~43.652&amp;sp=point.35.3336_43.652_Imam ismail","Maplink3")</f>
        <v>Maplink3</v>
      </c>
    </row>
    <row r="2315" spans="1:49" ht="15" customHeight="1" x14ac:dyDescent="0.25">
      <c r="A2315" s="21">
        <v>24367</v>
      </c>
      <c r="B2315" s="22" t="s">
        <v>17</v>
      </c>
      <c r="C2315" s="22" t="s">
        <v>4364</v>
      </c>
      <c r="D2315" s="22" t="s">
        <v>4429</v>
      </c>
      <c r="E2315" s="22" t="s">
        <v>4430</v>
      </c>
      <c r="F2315" s="22">
        <v>35.372349</v>
      </c>
      <c r="G2315" s="22">
        <v>43.776122999999998</v>
      </c>
      <c r="H2315" s="21" t="s">
        <v>4367</v>
      </c>
      <c r="I2315" s="21" t="s">
        <v>4368</v>
      </c>
      <c r="J2315" s="21"/>
      <c r="K2315" s="24">
        <v>250</v>
      </c>
      <c r="L2315" s="24">
        <v>1500</v>
      </c>
      <c r="M2315" s="23"/>
      <c r="N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>
        <v>250</v>
      </c>
      <c r="Z2315" s="23"/>
      <c r="AA2315" s="23"/>
      <c r="AB2315" s="23"/>
      <c r="AC2315" s="23"/>
      <c r="AD2315" s="23"/>
      <c r="AE2315" s="23"/>
      <c r="AF2315" s="23">
        <v>150</v>
      </c>
      <c r="AG2315" s="23"/>
      <c r="AH2315" s="23"/>
      <c r="AI2315" s="23"/>
      <c r="AJ2315" s="23"/>
      <c r="AK2315" s="23"/>
      <c r="AL2315" s="23"/>
      <c r="AM2315" s="23">
        <v>100</v>
      </c>
      <c r="AN2315" s="23"/>
      <c r="AO2315" s="23"/>
      <c r="AP2315" s="23">
        <v>250</v>
      </c>
      <c r="AQ2315" s="23"/>
      <c r="AR2315" s="23"/>
      <c r="AS2315" s="23"/>
      <c r="AT2315" s="23"/>
      <c r="AU2315" s="14" t="str">
        <f>HYPERLINK("http://www.openstreetmap.org/?mlat=35.3723&amp;mlon=43.7761&amp;zoom=12#map=12/35.3723/43.7761","Maplink1")</f>
        <v>Maplink1</v>
      </c>
      <c r="AV2315" s="14" t="str">
        <f>HYPERLINK("https://www.google.iq/maps/search/+35.3723,43.7761/@35.3723,43.7761,14z?hl=en","Maplink2")</f>
        <v>Maplink2</v>
      </c>
      <c r="AW2315" s="14" t="str">
        <f>HYPERLINK("http://www.bing.com/maps/?lvl=14&amp;sty=h&amp;cp=35.3723~43.7761&amp;sp=point.35.3723_43.7761_Jamos Village","Maplink3")</f>
        <v>Maplink3</v>
      </c>
    </row>
    <row r="2316" spans="1:49" ht="15" customHeight="1" x14ac:dyDescent="0.25">
      <c r="A2316" s="21">
        <v>24496</v>
      </c>
      <c r="B2316" s="22" t="s">
        <v>17</v>
      </c>
      <c r="C2316" s="22" t="s">
        <v>4364</v>
      </c>
      <c r="D2316" s="22" t="s">
        <v>4431</v>
      </c>
      <c r="E2316" s="22" t="s">
        <v>4432</v>
      </c>
      <c r="F2316" s="22">
        <v>35.343420999999999</v>
      </c>
      <c r="G2316" s="22">
        <v>43.967658</v>
      </c>
      <c r="H2316" s="21" t="s">
        <v>4367</v>
      </c>
      <c r="I2316" s="21" t="s">
        <v>4368</v>
      </c>
      <c r="J2316" s="21"/>
      <c r="K2316" s="24">
        <v>50</v>
      </c>
      <c r="L2316" s="24">
        <v>300</v>
      </c>
      <c r="M2316" s="23"/>
      <c r="N2316" s="23"/>
      <c r="O2316" s="23"/>
      <c r="P2316" s="23"/>
      <c r="Q2316" s="23"/>
      <c r="R2316" s="23"/>
      <c r="S2316" s="23"/>
      <c r="T2316" s="23"/>
      <c r="U2316" s="23">
        <v>50</v>
      </c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>
        <v>50</v>
      </c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  <c r="AQ2316" s="23">
        <v>50</v>
      </c>
      <c r="AR2316" s="23"/>
      <c r="AS2316" s="23"/>
      <c r="AT2316" s="23"/>
      <c r="AU2316" s="14" t="str">
        <f>HYPERLINK("http://www.openstreetmap.org/?mlat=35.3434&amp;mlon=43.9677&amp;zoom=12#map=12/35.3434/43.9677","Maplink1")</f>
        <v>Maplink1</v>
      </c>
      <c r="AV2316" s="14" t="str">
        <f>HYPERLINK("https://www.google.iq/maps/search/+35.3434,43.9677/@35.3434,43.9677,14z?hl=en","Maplink2")</f>
        <v>Maplink2</v>
      </c>
      <c r="AW2316" s="14" t="str">
        <f>HYPERLINK("http://www.bing.com/maps/?lvl=14&amp;sty=h&amp;cp=35.3434~43.9677&amp;sp=point.35.3434_43.9677_Khazifi Village","Maplink3")</f>
        <v>Maplink3</v>
      </c>
    </row>
    <row r="2317" spans="1:49" ht="15" customHeight="1" x14ac:dyDescent="0.25">
      <c r="A2317" s="21">
        <v>15353</v>
      </c>
      <c r="B2317" s="22" t="s">
        <v>17</v>
      </c>
      <c r="C2317" s="22" t="s">
        <v>4364</v>
      </c>
      <c r="D2317" s="22" t="s">
        <v>4433</v>
      </c>
      <c r="E2317" s="22" t="s">
        <v>4434</v>
      </c>
      <c r="F2317" s="22">
        <v>35.386972</v>
      </c>
      <c r="G2317" s="22">
        <v>43.692582999999999</v>
      </c>
      <c r="H2317" s="21" t="s">
        <v>4367</v>
      </c>
      <c r="I2317" s="21" t="s">
        <v>4368</v>
      </c>
      <c r="J2317" s="21" t="s">
        <v>4435</v>
      </c>
      <c r="K2317" s="24">
        <v>15</v>
      </c>
      <c r="L2317" s="24">
        <v>90</v>
      </c>
      <c r="M2317" s="23">
        <v>15</v>
      </c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>
        <v>15</v>
      </c>
      <c r="AG2317" s="23"/>
      <c r="AH2317" s="23"/>
      <c r="AI2317" s="23"/>
      <c r="AJ2317" s="23"/>
      <c r="AK2317" s="23"/>
      <c r="AL2317" s="23"/>
      <c r="AM2317" s="23"/>
      <c r="AN2317" s="23"/>
      <c r="AO2317" s="23">
        <v>15</v>
      </c>
      <c r="AP2317" s="23"/>
      <c r="AQ2317" s="23"/>
      <c r="AR2317" s="23"/>
      <c r="AS2317" s="23"/>
      <c r="AT2317" s="23"/>
      <c r="AU2317" s="14" t="str">
        <f>HYPERLINK("http://www.openstreetmap.org/?mlat=35.387&amp;mlon=43.6926&amp;zoom=12#map=12/35.387/43.6926","Maplink1")</f>
        <v>Maplink1</v>
      </c>
      <c r="AV2317" s="14" t="str">
        <f>HYPERLINK("https://www.google.iq/maps/search/+35.387,43.6926/@35.387,43.6926,14z?hl=en","Maplink2")</f>
        <v>Maplink2</v>
      </c>
      <c r="AW2317" s="14" t="str">
        <f>HYPERLINK("http://www.bing.com/maps/?lvl=14&amp;sty=h&amp;cp=35.387~43.6926&amp;sp=point.35.387_43.6926_Lazaga","Maplink3")</f>
        <v>Maplink3</v>
      </c>
    </row>
    <row r="2318" spans="1:49" ht="15" customHeight="1" x14ac:dyDescent="0.25">
      <c r="A2318" s="21">
        <v>24363</v>
      </c>
      <c r="B2318" s="22" t="s">
        <v>17</v>
      </c>
      <c r="C2318" s="22" t="s">
        <v>4364</v>
      </c>
      <c r="D2318" s="22" t="s">
        <v>4436</v>
      </c>
      <c r="E2318" s="22" t="s">
        <v>4437</v>
      </c>
      <c r="F2318" s="22">
        <v>35.402408999999999</v>
      </c>
      <c r="G2318" s="22">
        <v>43.884540999999999</v>
      </c>
      <c r="H2318" s="21" t="s">
        <v>4367</v>
      </c>
      <c r="I2318" s="21" t="s">
        <v>4368</v>
      </c>
      <c r="J2318" s="21"/>
      <c r="K2318" s="24">
        <v>175</v>
      </c>
      <c r="L2318" s="24">
        <v>1050</v>
      </c>
      <c r="M2318" s="23"/>
      <c r="N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>
        <v>175</v>
      </c>
      <c r="AB2318" s="23"/>
      <c r="AC2318" s="23"/>
      <c r="AD2318" s="23"/>
      <c r="AE2318" s="23"/>
      <c r="AF2318" s="23">
        <v>150</v>
      </c>
      <c r="AG2318" s="23"/>
      <c r="AH2318" s="23"/>
      <c r="AI2318" s="23"/>
      <c r="AJ2318" s="23"/>
      <c r="AK2318" s="23"/>
      <c r="AL2318" s="23"/>
      <c r="AM2318" s="23">
        <v>25</v>
      </c>
      <c r="AN2318" s="23"/>
      <c r="AO2318" s="23"/>
      <c r="AP2318" s="23">
        <v>175</v>
      </c>
      <c r="AQ2318" s="23"/>
      <c r="AR2318" s="23"/>
      <c r="AS2318" s="23"/>
      <c r="AT2318" s="23"/>
      <c r="AU2318" s="14" t="str">
        <f>HYPERLINK("http://www.openstreetmap.org/?mlat=35.4024&amp;mlon=43.8845&amp;zoom=12#map=12/35.4024/43.8845","Maplink1")</f>
        <v>Maplink1</v>
      </c>
      <c r="AV2318" s="14" t="str">
        <f>HYPERLINK("https://www.google.iq/maps/search/+35.4024,43.8845/@35.4024,43.8845,14z?hl=en","Maplink2")</f>
        <v>Maplink2</v>
      </c>
      <c r="AW2318" s="14" t="str">
        <f>HYPERLINK("http://www.bing.com/maps/?lvl=14&amp;sty=h&amp;cp=35.4024~43.8845&amp;sp=point.35.4024_43.8845_Namisa Village","Maplink3")</f>
        <v>Maplink3</v>
      </c>
    </row>
    <row r="2319" spans="1:49" ht="15" customHeight="1" x14ac:dyDescent="0.25">
      <c r="A2319" s="21">
        <v>24085</v>
      </c>
      <c r="B2319" s="22" t="s">
        <v>17</v>
      </c>
      <c r="C2319" s="22" t="s">
        <v>4364</v>
      </c>
      <c r="D2319" s="22" t="s">
        <v>4438</v>
      </c>
      <c r="E2319" s="22" t="s">
        <v>4439</v>
      </c>
      <c r="F2319" s="22">
        <v>35.325724000000001</v>
      </c>
      <c r="G2319" s="22">
        <v>43.782384</v>
      </c>
      <c r="H2319" s="21" t="s">
        <v>4367</v>
      </c>
      <c r="I2319" s="21" t="s">
        <v>4368</v>
      </c>
      <c r="J2319" s="21" t="s">
        <v>4440</v>
      </c>
      <c r="K2319" s="24">
        <v>286</v>
      </c>
      <c r="L2319" s="24">
        <v>1716</v>
      </c>
      <c r="M2319" s="23">
        <v>36</v>
      </c>
      <c r="N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>
        <v>250</v>
      </c>
      <c r="AB2319" s="23"/>
      <c r="AC2319" s="23"/>
      <c r="AD2319" s="23"/>
      <c r="AE2319" s="23"/>
      <c r="AF2319" s="23">
        <v>46</v>
      </c>
      <c r="AG2319" s="23"/>
      <c r="AH2319" s="23"/>
      <c r="AI2319" s="23"/>
      <c r="AJ2319" s="23"/>
      <c r="AK2319" s="23">
        <v>16</v>
      </c>
      <c r="AL2319" s="23">
        <v>4</v>
      </c>
      <c r="AM2319" s="23"/>
      <c r="AN2319" s="23">
        <v>220</v>
      </c>
      <c r="AO2319" s="23">
        <v>36</v>
      </c>
      <c r="AP2319" s="23"/>
      <c r="AQ2319" s="23">
        <v>250</v>
      </c>
      <c r="AR2319" s="23"/>
      <c r="AS2319" s="23"/>
      <c r="AT2319" s="23"/>
      <c r="AU2319" s="14" t="str">
        <f>HYPERLINK("http://www.openstreetmap.org/?mlat=35.3257&amp;mlon=43.7824&amp;zoom=12#map=12/35.3257/43.7824","Maplink1")</f>
        <v>Maplink1</v>
      </c>
      <c r="AV2319" s="14" t="str">
        <f>HYPERLINK("https://www.google.iq/maps/search/+35.3257,43.7824/@35.3257,43.7824,14z?hl=en","Maplink2")</f>
        <v>Maplink2</v>
      </c>
      <c r="AW2319" s="14" t="str">
        <f>HYPERLINK("http://www.bing.com/maps/?lvl=14&amp;sty=h&amp;cp=35.3257~43.7824&amp;sp=point.35.3257_43.7824_Qadissiya-101","Maplink3")</f>
        <v>Maplink3</v>
      </c>
    </row>
    <row r="2320" spans="1:49" ht="15" customHeight="1" x14ac:dyDescent="0.25">
      <c r="A2320" s="21">
        <v>14661</v>
      </c>
      <c r="B2320" s="22" t="s">
        <v>17</v>
      </c>
      <c r="C2320" s="22" t="s">
        <v>4364</v>
      </c>
      <c r="D2320" s="22" t="s">
        <v>4441</v>
      </c>
      <c r="E2320" s="22" t="s">
        <v>4442</v>
      </c>
      <c r="F2320" s="22">
        <v>35.4</v>
      </c>
      <c r="G2320" s="22">
        <v>43.67</v>
      </c>
      <c r="H2320" s="21" t="s">
        <v>4367</v>
      </c>
      <c r="I2320" s="21" t="s">
        <v>4368</v>
      </c>
      <c r="J2320" s="21" t="s">
        <v>4443</v>
      </c>
      <c r="K2320" s="24">
        <v>90</v>
      </c>
      <c r="L2320" s="24">
        <v>540</v>
      </c>
      <c r="M2320" s="23"/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>
        <v>90</v>
      </c>
      <c r="AB2320" s="23"/>
      <c r="AC2320" s="23"/>
      <c r="AD2320" s="23"/>
      <c r="AE2320" s="23"/>
      <c r="AF2320" s="23">
        <v>90</v>
      </c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>
        <v>90</v>
      </c>
      <c r="AQ2320" s="23"/>
      <c r="AR2320" s="23"/>
      <c r="AS2320" s="23"/>
      <c r="AT2320" s="23"/>
      <c r="AU2320" s="14" t="str">
        <f>HYPERLINK("http://www.openstreetmap.org/?mlat=35.4&amp;mlon=43.67&amp;zoom=12#map=12/35.4/43.67","Maplink1")</f>
        <v>Maplink1</v>
      </c>
      <c r="AV2320" s="14" t="str">
        <f>HYPERLINK("https://www.google.iq/maps/search/+35.4,43.67/@35.4,43.67,14z?hl=en","Maplink2")</f>
        <v>Maplink2</v>
      </c>
      <c r="AW2320" s="14" t="str">
        <f>HYPERLINK("http://www.bing.com/maps/?lvl=14&amp;sty=h&amp;cp=35.4~43.67&amp;sp=point.35.4_43.67_Ranjiya","Maplink3")</f>
        <v>Maplink3</v>
      </c>
    </row>
    <row r="2321" spans="1:49" ht="15" customHeight="1" x14ac:dyDescent="0.25">
      <c r="A2321" s="21">
        <v>24495</v>
      </c>
      <c r="B2321" s="22" t="s">
        <v>17</v>
      </c>
      <c r="C2321" s="22" t="s">
        <v>4364</v>
      </c>
      <c r="D2321" s="22" t="s">
        <v>4444</v>
      </c>
      <c r="E2321" s="22" t="s">
        <v>4445</v>
      </c>
      <c r="F2321" s="22">
        <v>35.369028</v>
      </c>
      <c r="G2321" s="22">
        <v>43.736728999999997</v>
      </c>
      <c r="H2321" s="21" t="s">
        <v>4367</v>
      </c>
      <c r="I2321" s="21" t="s">
        <v>4368</v>
      </c>
      <c r="J2321" s="21"/>
      <c r="K2321" s="24">
        <v>50</v>
      </c>
      <c r="L2321" s="24">
        <v>300</v>
      </c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>
        <v>50</v>
      </c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>
        <v>50</v>
      </c>
      <c r="AO2321" s="23"/>
      <c r="AP2321" s="23"/>
      <c r="AQ2321" s="23">
        <v>50</v>
      </c>
      <c r="AR2321" s="23"/>
      <c r="AS2321" s="23"/>
      <c r="AT2321" s="23"/>
      <c r="AU2321" s="14" t="str">
        <f>HYPERLINK("http://www.openstreetmap.org/?mlat=35.369&amp;mlon=43.7367&amp;zoom=12#map=12/35.369/43.7367","Maplink1")</f>
        <v>Maplink1</v>
      </c>
      <c r="AV2321" s="14" t="str">
        <f>HYPERLINK("https://www.google.iq/maps/search/+35.369,43.7367/@35.369,43.7367,14z?hl=en","Maplink2")</f>
        <v>Maplink2</v>
      </c>
      <c r="AW2321" s="14" t="str">
        <f>HYPERLINK("http://www.bing.com/maps/?lvl=14&amp;sty=h&amp;cp=35.369~43.7367&amp;sp=point.35.369_43.7367_Sabah Village","Maplink3")</f>
        <v>Maplink3</v>
      </c>
    </row>
    <row r="2322" spans="1:49" ht="15" customHeight="1" x14ac:dyDescent="0.25">
      <c r="A2322" s="21">
        <v>14664</v>
      </c>
      <c r="B2322" s="22" t="s">
        <v>17</v>
      </c>
      <c r="C2322" s="22" t="s">
        <v>4364</v>
      </c>
      <c r="D2322" s="22" t="s">
        <v>4446</v>
      </c>
      <c r="E2322" s="22" t="s">
        <v>4447</v>
      </c>
      <c r="F2322" s="22">
        <v>35.270000000000003</v>
      </c>
      <c r="G2322" s="22">
        <v>43.48</v>
      </c>
      <c r="H2322" s="21" t="s">
        <v>4367</v>
      </c>
      <c r="I2322" s="21" t="s">
        <v>4368</v>
      </c>
      <c r="J2322" s="21" t="s">
        <v>4448</v>
      </c>
      <c r="K2322" s="24">
        <v>120</v>
      </c>
      <c r="L2322" s="24">
        <v>720</v>
      </c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>
        <v>120</v>
      </c>
      <c r="AB2322" s="23"/>
      <c r="AC2322" s="23"/>
      <c r="AD2322" s="23"/>
      <c r="AE2322" s="23"/>
      <c r="AF2322" s="23">
        <v>120</v>
      </c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>
        <v>120</v>
      </c>
      <c r="AQ2322" s="23"/>
      <c r="AR2322" s="23"/>
      <c r="AS2322" s="23"/>
      <c r="AT2322" s="23"/>
      <c r="AU2322" s="14" t="str">
        <f>HYPERLINK("http://www.openstreetmap.org/?mlat=35.27&amp;mlon=43.48&amp;zoom=12#map=12/35.27/43.48","Maplink1")</f>
        <v>Maplink1</v>
      </c>
      <c r="AV2322" s="14" t="str">
        <f>HYPERLINK("https://www.google.iq/maps/search/+35.27,43.48/@35.27,43.48,14z?hl=en","Maplink2")</f>
        <v>Maplink2</v>
      </c>
      <c r="AW2322" s="14" t="str">
        <f>HYPERLINK("http://www.bing.com/maps/?lvl=14&amp;sty=h&amp;cp=35.27~43.48&amp;sp=point.35.27_43.48_Sabbaghiya","Maplink3")</f>
        <v>Maplink3</v>
      </c>
    </row>
    <row r="2323" spans="1:49" ht="15" customHeight="1" x14ac:dyDescent="0.25">
      <c r="A2323" s="21">
        <v>24362</v>
      </c>
      <c r="B2323" s="22" t="s">
        <v>17</v>
      </c>
      <c r="C2323" s="22" t="s">
        <v>4364</v>
      </c>
      <c r="D2323" s="22" t="s">
        <v>4449</v>
      </c>
      <c r="E2323" s="22" t="s">
        <v>4450</v>
      </c>
      <c r="F2323" s="22">
        <v>35.421142000000003</v>
      </c>
      <c r="G2323" s="22">
        <v>43.796734000000001</v>
      </c>
      <c r="H2323" s="21" t="s">
        <v>4367</v>
      </c>
      <c r="I2323" s="21" t="s">
        <v>4368</v>
      </c>
      <c r="J2323" s="21"/>
      <c r="K2323" s="24">
        <v>200</v>
      </c>
      <c r="L2323" s="24">
        <v>1200</v>
      </c>
      <c r="M2323" s="23"/>
      <c r="N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>
        <v>200</v>
      </c>
      <c r="AB2323" s="23"/>
      <c r="AC2323" s="23"/>
      <c r="AD2323" s="23"/>
      <c r="AE2323" s="23"/>
      <c r="AF2323" s="23">
        <v>200</v>
      </c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>
        <v>200</v>
      </c>
      <c r="AQ2323" s="23"/>
      <c r="AR2323" s="23"/>
      <c r="AS2323" s="23"/>
      <c r="AT2323" s="23"/>
      <c r="AU2323" s="14" t="str">
        <f>HYPERLINK("http://www.openstreetmap.org/?mlat=35.4211&amp;mlon=43.7967&amp;zoom=12#map=12/35.4211/43.7967","Maplink1")</f>
        <v>Maplink1</v>
      </c>
      <c r="AV2323" s="14" t="str">
        <f>HYPERLINK("https://www.google.iq/maps/search/+35.4211,43.7967/@35.4211,43.7967,14z?hl=en","Maplink2")</f>
        <v>Maplink2</v>
      </c>
      <c r="AW2323" s="14" t="str">
        <f>HYPERLINK("http://www.bing.com/maps/?lvl=14&amp;sty=h&amp;cp=35.4211~43.7967&amp;sp=point.35.4211_43.7967_Shamitt Village","Maplink3")</f>
        <v>Maplink3</v>
      </c>
    </row>
    <row r="2324" spans="1:49" ht="15" customHeight="1" x14ac:dyDescent="0.25">
      <c r="A2324" s="21">
        <v>14889</v>
      </c>
      <c r="B2324" s="22" t="s">
        <v>17</v>
      </c>
      <c r="C2324" s="22" t="s">
        <v>4364</v>
      </c>
      <c r="D2324" s="22" t="s">
        <v>4451</v>
      </c>
      <c r="E2324" s="22" t="s">
        <v>4452</v>
      </c>
      <c r="F2324" s="22">
        <v>35.35</v>
      </c>
      <c r="G2324" s="22">
        <v>43.64</v>
      </c>
      <c r="H2324" s="21" t="s">
        <v>4367</v>
      </c>
      <c r="I2324" s="21" t="s">
        <v>4368</v>
      </c>
      <c r="J2324" s="21" t="s">
        <v>4453</v>
      </c>
      <c r="K2324" s="24">
        <v>30</v>
      </c>
      <c r="L2324" s="24">
        <v>180</v>
      </c>
      <c r="M2324" s="23"/>
      <c r="N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>
        <v>30</v>
      </c>
      <c r="AB2324" s="23"/>
      <c r="AC2324" s="23"/>
      <c r="AD2324" s="23"/>
      <c r="AE2324" s="23"/>
      <c r="AF2324" s="23">
        <v>20</v>
      </c>
      <c r="AG2324" s="23"/>
      <c r="AH2324" s="23"/>
      <c r="AI2324" s="23"/>
      <c r="AJ2324" s="23"/>
      <c r="AK2324" s="23"/>
      <c r="AL2324" s="23">
        <v>10</v>
      </c>
      <c r="AM2324" s="23"/>
      <c r="AN2324" s="23"/>
      <c r="AO2324" s="23"/>
      <c r="AP2324" s="23">
        <v>30</v>
      </c>
      <c r="AQ2324" s="23"/>
      <c r="AR2324" s="23"/>
      <c r="AS2324" s="23"/>
      <c r="AT2324" s="23"/>
      <c r="AU2324" s="14" t="str">
        <f>HYPERLINK("http://www.openstreetmap.org/?mlat=35.35&amp;mlon=43.64&amp;zoom=12#map=12/35.35/43.64","Maplink1")</f>
        <v>Maplink1</v>
      </c>
      <c r="AV2324" s="14" t="str">
        <f>HYPERLINK("https://www.google.iq/maps/search/+35.35,43.64/@35.35,43.64,14z?hl=en","Maplink2")</f>
        <v>Maplink2</v>
      </c>
      <c r="AW2324" s="14" t="str">
        <f>HYPERLINK("http://www.bing.com/maps/?lvl=14&amp;sty=h&amp;cp=35.35~43.64&amp;sp=point.35.35_43.64_Shawook","Maplink3")</f>
        <v>Maplink3</v>
      </c>
    </row>
    <row r="2325" spans="1:49" ht="15" customHeight="1" x14ac:dyDescent="0.25">
      <c r="A2325" s="21">
        <v>15313</v>
      </c>
      <c r="B2325" s="22" t="s">
        <v>17</v>
      </c>
      <c r="C2325" s="22" t="s">
        <v>4364</v>
      </c>
      <c r="D2325" s="22" t="s">
        <v>4454</v>
      </c>
      <c r="E2325" s="22" t="s">
        <v>4455</v>
      </c>
      <c r="F2325" s="22">
        <v>35.435679999999998</v>
      </c>
      <c r="G2325" s="22">
        <v>43.796979999999998</v>
      </c>
      <c r="H2325" s="21" t="s">
        <v>4367</v>
      </c>
      <c r="I2325" s="21" t="s">
        <v>4368</v>
      </c>
      <c r="J2325" s="21" t="s">
        <v>4456</v>
      </c>
      <c r="K2325" s="24">
        <v>80</v>
      </c>
      <c r="L2325" s="24">
        <v>480</v>
      </c>
      <c r="M2325" s="23"/>
      <c r="N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>
        <v>80</v>
      </c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>
        <v>80</v>
      </c>
      <c r="AO2325" s="23"/>
      <c r="AP2325" s="23"/>
      <c r="AQ2325" s="23">
        <v>80</v>
      </c>
      <c r="AR2325" s="23"/>
      <c r="AS2325" s="23"/>
      <c r="AT2325" s="23"/>
      <c r="AU2325" s="14" t="str">
        <f>HYPERLINK("http://www.openstreetmap.org/?mlat=35.4357&amp;mlon=43.797&amp;zoom=12#map=12/35.4357/43.797","Maplink1")</f>
        <v>Maplink1</v>
      </c>
      <c r="AV2325" s="14" t="str">
        <f>HYPERLINK("https://www.google.iq/maps/search/+35.4357,43.797/@35.4357,43.797,14z?hl=en","Maplink2")</f>
        <v>Maplink2</v>
      </c>
      <c r="AW2325" s="14" t="str">
        <f>HYPERLINK("http://www.bing.com/maps/?lvl=14&amp;sty=h&amp;cp=35.4357~43.797&amp;sp=point.35.4357_43.797_Tal ali Village","Maplink3")</f>
        <v>Maplink3</v>
      </c>
    </row>
    <row r="2326" spans="1:49" ht="15" customHeight="1" x14ac:dyDescent="0.25">
      <c r="A2326" s="21">
        <v>15178</v>
      </c>
      <c r="B2326" s="22" t="s">
        <v>17</v>
      </c>
      <c r="C2326" s="22" t="s">
        <v>4364</v>
      </c>
      <c r="D2326" s="22" t="s">
        <v>4457</v>
      </c>
      <c r="E2326" s="22" t="s">
        <v>4458</v>
      </c>
      <c r="F2326" s="22">
        <v>35.246527999999998</v>
      </c>
      <c r="G2326" s="22">
        <v>43.572417000000002</v>
      </c>
      <c r="H2326" s="21" t="s">
        <v>4367</v>
      </c>
      <c r="I2326" s="21" t="s">
        <v>4368</v>
      </c>
      <c r="J2326" s="21" t="s">
        <v>4459</v>
      </c>
      <c r="K2326" s="24">
        <v>20</v>
      </c>
      <c r="L2326" s="24">
        <v>120</v>
      </c>
      <c r="M2326" s="23"/>
      <c r="N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>
        <v>20</v>
      </c>
      <c r="AB2326" s="23"/>
      <c r="AC2326" s="23"/>
      <c r="AD2326" s="23"/>
      <c r="AE2326" s="23"/>
      <c r="AF2326" s="23">
        <v>20</v>
      </c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>
        <v>20</v>
      </c>
      <c r="AQ2326" s="23"/>
      <c r="AR2326" s="23"/>
      <c r="AS2326" s="23"/>
      <c r="AT2326" s="23"/>
      <c r="AU2326" s="14" t="str">
        <f>HYPERLINK("http://www.openstreetmap.org/?mlat=35.2465&amp;mlon=43.5724&amp;zoom=12#map=12/35.2465/43.5724","Maplink1")</f>
        <v>Maplink1</v>
      </c>
      <c r="AV2326" s="14" t="str">
        <f>HYPERLINK("https://www.google.iq/maps/search/+35.2465,43.5724/@35.2465,43.5724,14z?hl=en","Maplink2")</f>
        <v>Maplink2</v>
      </c>
      <c r="AW2326" s="14" t="str">
        <f>HYPERLINK("http://www.bing.com/maps/?lvl=14&amp;sty=h&amp;cp=35.2465~43.5724&amp;sp=point.35.2465_43.5724_Tariqiya","Maplink3")</f>
        <v>Maplink3</v>
      </c>
    </row>
    <row r="2327" spans="1:49" ht="15" customHeight="1" x14ac:dyDescent="0.25">
      <c r="A2327" s="21">
        <v>14718</v>
      </c>
      <c r="B2327" s="22" t="s">
        <v>17</v>
      </c>
      <c r="C2327" s="22" t="s">
        <v>4364</v>
      </c>
      <c r="D2327" s="22" t="s">
        <v>4460</v>
      </c>
      <c r="E2327" s="22" t="s">
        <v>4461</v>
      </c>
      <c r="F2327" s="22">
        <v>35.33</v>
      </c>
      <c r="G2327" s="22">
        <v>43.57</v>
      </c>
      <c r="H2327" s="21" t="s">
        <v>4367</v>
      </c>
      <c r="I2327" s="21" t="s">
        <v>4368</v>
      </c>
      <c r="J2327" s="21" t="s">
        <v>4462</v>
      </c>
      <c r="K2327" s="24">
        <v>120</v>
      </c>
      <c r="L2327" s="24">
        <v>720</v>
      </c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>
        <v>120</v>
      </c>
      <c r="AB2327" s="23"/>
      <c r="AC2327" s="23"/>
      <c r="AD2327" s="23"/>
      <c r="AE2327" s="23"/>
      <c r="AF2327" s="23">
        <v>120</v>
      </c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>
        <v>120</v>
      </c>
      <c r="AQ2327" s="23"/>
      <c r="AR2327" s="23"/>
      <c r="AS2327" s="23"/>
      <c r="AT2327" s="23"/>
      <c r="AU2327" s="14" t="str">
        <f>HYPERLINK("http://www.openstreetmap.org/?mlat=35.33&amp;mlon=43.57&amp;zoom=12#map=12/35.33/43.57","Maplink1")</f>
        <v>Maplink1</v>
      </c>
      <c r="AV2327" s="14" t="str">
        <f>HYPERLINK("https://www.google.iq/maps/search/+35.33,43.57/@35.33,43.57,14z?hl=en","Maplink2")</f>
        <v>Maplink2</v>
      </c>
      <c r="AW2327" s="14" t="str">
        <f>HYPERLINK("http://www.bing.com/maps/?lvl=14&amp;sty=h&amp;cp=35.33~43.57&amp;sp=point.35.33_43.57_Zrariya","Maplink3")</f>
        <v>Maplink3</v>
      </c>
    </row>
    <row r="2328" spans="1:49" ht="15" customHeight="1" x14ac:dyDescent="0.25">
      <c r="A2328" s="21">
        <v>14375</v>
      </c>
      <c r="B2328" s="22" t="s">
        <v>17</v>
      </c>
      <c r="C2328" s="22" t="s">
        <v>4463</v>
      </c>
      <c r="D2328" s="22" t="s">
        <v>4464</v>
      </c>
      <c r="E2328" s="22" t="s">
        <v>4465</v>
      </c>
      <c r="F2328" s="22">
        <v>35.75</v>
      </c>
      <c r="G2328" s="22">
        <v>44.137999999999998</v>
      </c>
      <c r="H2328" s="21" t="s">
        <v>4367</v>
      </c>
      <c r="I2328" s="21" t="s">
        <v>4466</v>
      </c>
      <c r="J2328" s="21" t="s">
        <v>4467</v>
      </c>
      <c r="K2328" s="24">
        <v>596</v>
      </c>
      <c r="L2328" s="24">
        <v>3576</v>
      </c>
      <c r="M2328" s="23">
        <v>50</v>
      </c>
      <c r="N2328" s="23"/>
      <c r="O2328" s="23"/>
      <c r="P2328" s="23"/>
      <c r="Q2328" s="23"/>
      <c r="R2328" s="23">
        <v>10</v>
      </c>
      <c r="S2328" s="23"/>
      <c r="T2328" s="23"/>
      <c r="U2328" s="23"/>
      <c r="V2328" s="23"/>
      <c r="W2328" s="23"/>
      <c r="X2328" s="23"/>
      <c r="Y2328" s="23">
        <v>506</v>
      </c>
      <c r="Z2328" s="23"/>
      <c r="AA2328" s="23">
        <v>30</v>
      </c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>
        <v>596</v>
      </c>
      <c r="AL2328" s="23"/>
      <c r="AM2328" s="23"/>
      <c r="AN2328" s="23"/>
      <c r="AO2328" s="23">
        <v>40</v>
      </c>
      <c r="AP2328" s="23">
        <v>286</v>
      </c>
      <c r="AQ2328" s="23">
        <v>60</v>
      </c>
      <c r="AR2328" s="23">
        <v>200</v>
      </c>
      <c r="AS2328" s="23"/>
      <c r="AT2328" s="23">
        <v>10</v>
      </c>
      <c r="AU2328" s="14" t="str">
        <f>HYPERLINK("http://www.openstreetmap.org/?mlat=35.75&amp;mlon=44.138&amp;zoom=12#map=12/35.75/44.138","Maplink1")</f>
        <v>Maplink1</v>
      </c>
      <c r="AV2328" s="14" t="str">
        <f>HYPERLINK("https://www.google.iq/maps/search/+35.75,44.138/@35.75,44.138,14z?hl=en","Maplink2")</f>
        <v>Maplink2</v>
      </c>
      <c r="AW2328" s="14" t="str">
        <f>HYPERLINK("http://www.bing.com/maps/?lvl=14&amp;sty=h&amp;cp=35.75~44.138&amp;sp=point.35.75_44.138_Altun Kupri Center","Maplink3")</f>
        <v>Maplink3</v>
      </c>
    </row>
    <row r="2329" spans="1:49" ht="15" customHeight="1" x14ac:dyDescent="0.25">
      <c r="A2329" s="21">
        <v>14424</v>
      </c>
      <c r="B2329" s="22" t="s">
        <v>17</v>
      </c>
      <c r="C2329" s="22" t="s">
        <v>4463</v>
      </c>
      <c r="D2329" s="22" t="s">
        <v>4468</v>
      </c>
      <c r="E2329" s="22" t="s">
        <v>4469</v>
      </c>
      <c r="F2329" s="22">
        <v>35.630000000000003</v>
      </c>
      <c r="G2329" s="22">
        <v>44.01</v>
      </c>
      <c r="H2329" s="21" t="s">
        <v>4367</v>
      </c>
      <c r="I2329" s="21" t="s">
        <v>4466</v>
      </c>
      <c r="J2329" s="21" t="s">
        <v>4470</v>
      </c>
      <c r="K2329" s="24">
        <v>90</v>
      </c>
      <c r="L2329" s="24">
        <v>540</v>
      </c>
      <c r="M2329" s="23"/>
      <c r="N2329" s="23"/>
      <c r="O2329" s="23"/>
      <c r="P2329" s="23"/>
      <c r="Q2329" s="23"/>
      <c r="R2329" s="23"/>
      <c r="S2329" s="23"/>
      <c r="T2329" s="23"/>
      <c r="U2329" s="23">
        <v>90</v>
      </c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>
        <v>70</v>
      </c>
      <c r="AG2329" s="23"/>
      <c r="AH2329" s="23"/>
      <c r="AI2329" s="23"/>
      <c r="AJ2329" s="23"/>
      <c r="AK2329" s="23"/>
      <c r="AL2329" s="23"/>
      <c r="AM2329" s="23">
        <v>20</v>
      </c>
      <c r="AN2329" s="23"/>
      <c r="AO2329" s="23"/>
      <c r="AP2329" s="23"/>
      <c r="AQ2329" s="23"/>
      <c r="AR2329" s="23">
        <v>90</v>
      </c>
      <c r="AS2329" s="23"/>
      <c r="AT2329" s="23"/>
      <c r="AU2329" s="14" t="str">
        <f>HYPERLINK("http://www.openstreetmap.org/?mlat=35.63&amp;mlon=44.01&amp;zoom=12#map=12/35.63/44.01","Maplink1")</f>
        <v>Maplink1</v>
      </c>
      <c r="AV2329" s="14" t="str">
        <f>HYPERLINK("https://www.google.iq/maps/search/+35.63,44.01/@35.63,44.01,14z?hl=en","Maplink2")</f>
        <v>Maplink2</v>
      </c>
      <c r="AW2329" s="14" t="str">
        <f>HYPERLINK("http://www.bing.com/maps/?lvl=14&amp;sty=h&amp;cp=35.63~44.01&amp;sp=point.35.63_44.01_Bay Hasan","Maplink3")</f>
        <v>Maplink3</v>
      </c>
    </row>
    <row r="2330" spans="1:49" ht="15" customHeight="1" x14ac:dyDescent="0.25">
      <c r="A2330" s="21">
        <v>24632</v>
      </c>
      <c r="B2330" s="22" t="s">
        <v>17</v>
      </c>
      <c r="C2330" s="22" t="s">
        <v>4463</v>
      </c>
      <c r="D2330" s="22" t="s">
        <v>4471</v>
      </c>
      <c r="E2330" s="22" t="s">
        <v>4472</v>
      </c>
      <c r="F2330" s="22">
        <v>35.670006000000001</v>
      </c>
      <c r="G2330" s="22">
        <v>44.074897999999997</v>
      </c>
      <c r="H2330" s="21" t="s">
        <v>4367</v>
      </c>
      <c r="I2330" s="21" t="s">
        <v>4466</v>
      </c>
      <c r="J2330" s="21"/>
      <c r="K2330" s="24">
        <v>70</v>
      </c>
      <c r="L2330" s="24">
        <v>420</v>
      </c>
      <c r="M2330" s="23"/>
      <c r="N2330" s="23"/>
      <c r="O2330" s="23"/>
      <c r="P2330" s="23"/>
      <c r="Q2330" s="23"/>
      <c r="R2330" s="23"/>
      <c r="S2330" s="23"/>
      <c r="T2330" s="23"/>
      <c r="U2330" s="23">
        <v>70</v>
      </c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>
        <v>70</v>
      </c>
      <c r="AL2330" s="23"/>
      <c r="AM2330" s="23"/>
      <c r="AN2330" s="23"/>
      <c r="AO2330" s="23"/>
      <c r="AP2330" s="23"/>
      <c r="AQ2330" s="23"/>
      <c r="AR2330" s="23">
        <v>60</v>
      </c>
      <c r="AS2330" s="23">
        <v>10</v>
      </c>
      <c r="AT2330" s="23"/>
      <c r="AU2330" s="14" t="str">
        <f>HYPERLINK("http://www.openstreetmap.org/?mlat=35.67&amp;mlon=44.0749&amp;zoom=12#map=12/35.67/44.0749","Maplink1")</f>
        <v>Maplink1</v>
      </c>
      <c r="AV2330" s="14" t="str">
        <f>HYPERLINK("https://www.google.iq/maps/search/+35.67,44.0749/@35.67,44.0749,14z?hl=en","Maplink2")</f>
        <v>Maplink2</v>
      </c>
      <c r="AW2330" s="14" t="str">
        <f>HYPERLINK("http://www.bing.com/maps/?lvl=14&amp;sty=h&amp;cp=35.67~44.0749&amp;sp=point.35.67_44.0749_Hay Al Muaasker","Maplink3")</f>
        <v>Maplink3</v>
      </c>
    </row>
    <row r="2331" spans="1:49" ht="15" customHeight="1" x14ac:dyDescent="0.25">
      <c r="A2331" s="21">
        <v>24631</v>
      </c>
      <c r="B2331" s="22" t="s">
        <v>17</v>
      </c>
      <c r="C2331" s="22" t="s">
        <v>4463</v>
      </c>
      <c r="D2331" s="22" t="s">
        <v>4473</v>
      </c>
      <c r="E2331" s="22" t="s">
        <v>4474</v>
      </c>
      <c r="F2331" s="22">
        <v>35.664664000000002</v>
      </c>
      <c r="G2331" s="22">
        <v>44.087589999999999</v>
      </c>
      <c r="H2331" s="21" t="s">
        <v>4367</v>
      </c>
      <c r="I2331" s="21" t="s">
        <v>4466</v>
      </c>
      <c r="J2331" s="21"/>
      <c r="K2331" s="24">
        <v>40</v>
      </c>
      <c r="L2331" s="24">
        <v>240</v>
      </c>
      <c r="M2331" s="23"/>
      <c r="N2331" s="23"/>
      <c r="O2331" s="23"/>
      <c r="P2331" s="23"/>
      <c r="Q2331" s="23"/>
      <c r="R2331" s="23"/>
      <c r="S2331" s="23"/>
      <c r="T2331" s="23"/>
      <c r="U2331" s="23">
        <v>40</v>
      </c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>
        <v>40</v>
      </c>
      <c r="AL2331" s="23"/>
      <c r="AM2331" s="23"/>
      <c r="AN2331" s="23"/>
      <c r="AO2331" s="23"/>
      <c r="AP2331" s="23"/>
      <c r="AQ2331" s="23"/>
      <c r="AR2331" s="23">
        <v>35</v>
      </c>
      <c r="AS2331" s="23">
        <v>5</v>
      </c>
      <c r="AT2331" s="23"/>
      <c r="AU2331" s="14" t="str">
        <f>HYPERLINK("http://www.openstreetmap.org/?mlat=35.6647&amp;mlon=44.0876&amp;zoom=12#map=12/35.6647/44.0876","Maplink1")</f>
        <v>Maplink1</v>
      </c>
      <c r="AV2331" s="14" t="str">
        <f>HYPERLINK("https://www.google.iq/maps/search/+35.6647,44.0876/@35.6647,44.0876,14z?hl=en","Maplink2")</f>
        <v>Maplink2</v>
      </c>
      <c r="AW2331" s="14" t="str">
        <f>HYPERLINK("http://www.bing.com/maps/?lvl=14&amp;sty=h&amp;cp=35.6647~44.0876&amp;sp=point.35.6647_44.0876_Hay Al Tanak","Maplink3")</f>
        <v>Maplink3</v>
      </c>
    </row>
    <row r="2332" spans="1:49" ht="15" customHeight="1" x14ac:dyDescent="0.25">
      <c r="A2332" s="21">
        <v>15674</v>
      </c>
      <c r="B2332" s="22" t="s">
        <v>17</v>
      </c>
      <c r="C2332" s="22" t="s">
        <v>4463</v>
      </c>
      <c r="D2332" s="22" t="s">
        <v>1009</v>
      </c>
      <c r="E2332" s="22" t="s">
        <v>129</v>
      </c>
      <c r="F2332" s="22">
        <v>35.670492000000003</v>
      </c>
      <c r="G2332" s="22">
        <v>44.067293999999997</v>
      </c>
      <c r="H2332" s="21" t="s">
        <v>4367</v>
      </c>
      <c r="I2332" s="21" t="s">
        <v>4466</v>
      </c>
      <c r="J2332" s="21" t="s">
        <v>4475</v>
      </c>
      <c r="K2332" s="24">
        <v>45</v>
      </c>
      <c r="L2332" s="24">
        <v>270</v>
      </c>
      <c r="M2332" s="23"/>
      <c r="N2332" s="23"/>
      <c r="O2332" s="23"/>
      <c r="P2332" s="23"/>
      <c r="Q2332" s="23"/>
      <c r="R2332" s="23"/>
      <c r="S2332" s="23"/>
      <c r="T2332" s="23"/>
      <c r="U2332" s="23">
        <v>45</v>
      </c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>
        <v>45</v>
      </c>
      <c r="AL2332" s="23"/>
      <c r="AM2332" s="23"/>
      <c r="AN2332" s="23"/>
      <c r="AO2332" s="23"/>
      <c r="AP2332" s="23"/>
      <c r="AQ2332" s="23"/>
      <c r="AR2332" s="23">
        <v>45</v>
      </c>
      <c r="AS2332" s="23"/>
      <c r="AT2332" s="23"/>
      <c r="AU2332" s="14" t="str">
        <f>HYPERLINK("http://www.openstreetmap.org/?mlat=35.6705&amp;mlon=44.0673&amp;zoom=12#map=12/35.6705/44.0673","Maplink1")</f>
        <v>Maplink1</v>
      </c>
      <c r="AV2332" s="14" t="str">
        <f>HYPERLINK("https://www.google.iq/maps/search/+35.6705,44.0673/@35.6705,44.0673,14z?hl=en","Maplink2")</f>
        <v>Maplink2</v>
      </c>
      <c r="AW2332" s="14" t="str">
        <f>HYPERLINK("http://www.bing.com/maps/?lvl=14&amp;sty=h&amp;cp=35.6705~44.0673&amp;sp=point.35.6705_44.0673_Hay Al-Shuhadaa","Maplink3")</f>
        <v>Maplink3</v>
      </c>
    </row>
    <row r="2333" spans="1:49" ht="15" customHeight="1" x14ac:dyDescent="0.25">
      <c r="A2333" s="21">
        <v>15413</v>
      </c>
      <c r="B2333" s="22" t="s">
        <v>17</v>
      </c>
      <c r="C2333" s="22" t="s">
        <v>4463</v>
      </c>
      <c r="D2333" s="22" t="s">
        <v>4476</v>
      </c>
      <c r="E2333" s="22" t="s">
        <v>4477</v>
      </c>
      <c r="F2333" s="22">
        <v>35.594752999999997</v>
      </c>
      <c r="G2333" s="22">
        <v>44.160511</v>
      </c>
      <c r="H2333" s="21" t="s">
        <v>4367</v>
      </c>
      <c r="I2333" s="21" t="s">
        <v>4466</v>
      </c>
      <c r="J2333" s="21" t="s">
        <v>4478</v>
      </c>
      <c r="K2333" s="24">
        <v>500</v>
      </c>
      <c r="L2333" s="24">
        <v>3000</v>
      </c>
      <c r="M2333" s="23"/>
      <c r="N2333" s="23"/>
      <c r="O2333" s="23"/>
      <c r="P2333" s="23"/>
      <c r="Q2333" s="23"/>
      <c r="R2333" s="23"/>
      <c r="S2333" s="23"/>
      <c r="T2333" s="23"/>
      <c r="U2333" s="23">
        <v>500</v>
      </c>
      <c r="V2333" s="23"/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>
        <v>200</v>
      </c>
      <c r="AN2333" s="23">
        <v>300</v>
      </c>
      <c r="AO2333" s="23"/>
      <c r="AP2333" s="23"/>
      <c r="AQ2333" s="23"/>
      <c r="AR2333" s="23">
        <v>500</v>
      </c>
      <c r="AS2333" s="23"/>
      <c r="AT2333" s="23"/>
      <c r="AU2333" s="14" t="str">
        <f>HYPERLINK("http://www.openstreetmap.org/?mlat=35.5948&amp;mlon=44.1605&amp;zoom=12#map=12/35.5948/44.1605","Maplink1")</f>
        <v>Maplink1</v>
      </c>
      <c r="AV2333" s="14" t="str">
        <f>HYPERLINK("https://www.google.iq/maps/search/+35.5948,44.1605/@35.5948,44.1605,14z?hl=en","Maplink2")</f>
        <v>Maplink2</v>
      </c>
      <c r="AW2333" s="14" t="str">
        <f>HYPERLINK("http://www.bing.com/maps/?lvl=14&amp;sty=h&amp;cp=35.5948~44.1605&amp;sp=point.35.5948_44.1605_Rubaidha asriya","Maplink3")</f>
        <v>Maplink3</v>
      </c>
    </row>
    <row r="2334" spans="1:49" ht="15" customHeight="1" x14ac:dyDescent="0.25">
      <c r="A2334" s="21">
        <v>24546</v>
      </c>
      <c r="B2334" s="22" t="s">
        <v>17</v>
      </c>
      <c r="C2334" s="22" t="s">
        <v>4479</v>
      </c>
      <c r="D2334" s="22" t="s">
        <v>4480</v>
      </c>
      <c r="E2334" s="22" t="s">
        <v>4481</v>
      </c>
      <c r="F2334" s="22">
        <v>35.064269000000003</v>
      </c>
      <c r="G2334" s="22">
        <v>44.386539999999997</v>
      </c>
      <c r="H2334" s="21" t="s">
        <v>4367</v>
      </c>
      <c r="I2334" s="21" t="s">
        <v>4482</v>
      </c>
      <c r="J2334" s="21"/>
      <c r="K2334" s="24">
        <v>100</v>
      </c>
      <c r="L2334" s="24">
        <v>600</v>
      </c>
      <c r="M2334" s="23"/>
      <c r="N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>
        <v>100</v>
      </c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>
        <v>100</v>
      </c>
      <c r="AO2334" s="23"/>
      <c r="AP2334" s="23"/>
      <c r="AQ2334" s="23">
        <v>100</v>
      </c>
      <c r="AR2334" s="23"/>
      <c r="AS2334" s="23"/>
      <c r="AT2334" s="23"/>
      <c r="AU2334" s="14" t="str">
        <f>HYPERLINK("http://www.openstreetmap.org/?mlat=35.0643&amp;mlon=44.3865&amp;zoom=12#map=12/35.0643/44.3865","Maplink1")</f>
        <v>Maplink1</v>
      </c>
      <c r="AV2334" s="14" t="str">
        <f>HYPERLINK("https://www.google.iq/maps/search/+35.0643,44.3865/@35.0643,44.3865,14z?hl=en","Maplink2")</f>
        <v>Maplink2</v>
      </c>
      <c r="AW2334" s="14" t="str">
        <f>HYPERLINK("http://www.bing.com/maps/?lvl=14&amp;sty=h&amp;cp=35.0643~44.3865&amp;sp=point.35.0643_44.3865_Al Qaragul","Maplink3")</f>
        <v>Maplink3</v>
      </c>
    </row>
    <row r="2335" spans="1:49" ht="15" customHeight="1" x14ac:dyDescent="0.25">
      <c r="A2335" s="21">
        <v>24116</v>
      </c>
      <c r="B2335" s="22" t="s">
        <v>17</v>
      </c>
      <c r="C2335" s="22" t="s">
        <v>4479</v>
      </c>
      <c r="D2335" s="22" t="s">
        <v>7336</v>
      </c>
      <c r="E2335" s="22" t="s">
        <v>4483</v>
      </c>
      <c r="F2335" s="22">
        <v>35.318707000000003</v>
      </c>
      <c r="G2335" s="22">
        <v>44.269216</v>
      </c>
      <c r="H2335" s="21" t="s">
        <v>4367</v>
      </c>
      <c r="I2335" s="21" t="s">
        <v>4482</v>
      </c>
      <c r="J2335" s="21" t="s">
        <v>4484</v>
      </c>
      <c r="K2335" s="24">
        <v>67</v>
      </c>
      <c r="L2335" s="24">
        <v>402</v>
      </c>
      <c r="M2335" s="23">
        <v>22</v>
      </c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>
        <v>45</v>
      </c>
      <c r="AB2335" s="23"/>
      <c r="AC2335" s="23"/>
      <c r="AD2335" s="23"/>
      <c r="AE2335" s="23"/>
      <c r="AF2335" s="23">
        <v>22</v>
      </c>
      <c r="AG2335" s="23"/>
      <c r="AH2335" s="23"/>
      <c r="AI2335" s="23"/>
      <c r="AJ2335" s="23"/>
      <c r="AK2335" s="23"/>
      <c r="AL2335" s="23"/>
      <c r="AM2335" s="23">
        <v>45</v>
      </c>
      <c r="AN2335" s="23"/>
      <c r="AO2335" s="23">
        <v>22</v>
      </c>
      <c r="AP2335" s="23"/>
      <c r="AQ2335" s="23">
        <v>45</v>
      </c>
      <c r="AR2335" s="23"/>
      <c r="AS2335" s="23"/>
      <c r="AT2335" s="23"/>
      <c r="AU2335" s="14" t="str">
        <f>HYPERLINK("http://www.openstreetmap.org/?mlat=35.3187&amp;mlon=44.2692&amp;zoom=12#map=12/35.3187/44.2692","Maplink1")</f>
        <v>Maplink1</v>
      </c>
      <c r="AV2335" s="14" t="str">
        <f>HYPERLINK("https://www.google.iq/maps/search/+35.3187,44.2692/@35.3187,44.2692,14z?hl=en","Maplink2")</f>
        <v>Maplink2</v>
      </c>
      <c r="AW2335" s="14" t="str">
        <f>HYPERLINK("http://www.bing.com/maps/?lvl=14&amp;sty=h&amp;cp=35.3187~44.2692&amp;sp=point.35.3187_44.2692_Al-Qadissiyah - Taza","Maplink3")</f>
        <v>Maplink3</v>
      </c>
    </row>
    <row r="2336" spans="1:49" ht="15" customHeight="1" x14ac:dyDescent="0.25">
      <c r="A2336" s="21">
        <v>14864</v>
      </c>
      <c r="B2336" s="22" t="s">
        <v>17</v>
      </c>
      <c r="C2336" s="22" t="s">
        <v>4479</v>
      </c>
      <c r="D2336" s="22" t="s">
        <v>4485</v>
      </c>
      <c r="E2336" s="22" t="s">
        <v>4486</v>
      </c>
      <c r="F2336" s="22">
        <v>35.049999999999997</v>
      </c>
      <c r="G2336" s="22">
        <v>44.37</v>
      </c>
      <c r="H2336" s="21" t="s">
        <v>4367</v>
      </c>
      <c r="I2336" s="21" t="s">
        <v>4482</v>
      </c>
      <c r="J2336" s="21" t="s">
        <v>4487</v>
      </c>
      <c r="K2336" s="24">
        <v>120</v>
      </c>
      <c r="L2336" s="24">
        <v>720</v>
      </c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>
        <v>120</v>
      </c>
      <c r="AB2336" s="23"/>
      <c r="AC2336" s="23"/>
      <c r="AD2336" s="23"/>
      <c r="AE2336" s="23"/>
      <c r="AF2336" s="23">
        <v>50</v>
      </c>
      <c r="AG2336" s="23"/>
      <c r="AH2336" s="23"/>
      <c r="AI2336" s="23"/>
      <c r="AJ2336" s="23"/>
      <c r="AK2336" s="23"/>
      <c r="AL2336" s="23"/>
      <c r="AM2336" s="23"/>
      <c r="AN2336" s="23">
        <v>70</v>
      </c>
      <c r="AO2336" s="23"/>
      <c r="AP2336" s="23"/>
      <c r="AQ2336" s="23">
        <v>120</v>
      </c>
      <c r="AR2336" s="23"/>
      <c r="AS2336" s="23"/>
      <c r="AT2336" s="23"/>
      <c r="AU2336" s="14" t="str">
        <f>HYPERLINK("http://www.openstreetmap.org/?mlat=35.05&amp;mlon=44.37&amp;zoom=12#map=12/35.05/44.37","Maplink1")</f>
        <v>Maplink1</v>
      </c>
      <c r="AV2336" s="14" t="str">
        <f>HYPERLINK("https://www.google.iq/maps/search/+35.05,44.37/@35.05,44.37,14z?hl=en","Maplink2")</f>
        <v>Maplink2</v>
      </c>
      <c r="AW2336" s="14" t="str">
        <f>HYPERLINK("http://www.bing.com/maps/?lvl=14&amp;sty=h&amp;cp=35.05~44.37&amp;sp=point.35.05_44.37_Albu Mahammad","Maplink3")</f>
        <v>Maplink3</v>
      </c>
    </row>
    <row r="2337" spans="1:49" ht="15" customHeight="1" x14ac:dyDescent="0.25">
      <c r="A2337" s="21">
        <v>26069</v>
      </c>
      <c r="B2337" s="22" t="s">
        <v>17</v>
      </c>
      <c r="C2337" s="22" t="s">
        <v>4479</v>
      </c>
      <c r="D2337" s="22" t="s">
        <v>4488</v>
      </c>
      <c r="E2337" s="22" t="s">
        <v>4489</v>
      </c>
      <c r="F2337" s="22">
        <v>35.240239000000003</v>
      </c>
      <c r="G2337" s="22">
        <v>44.624402000000003</v>
      </c>
      <c r="H2337" s="21" t="s">
        <v>4367</v>
      </c>
      <c r="I2337" s="21" t="s">
        <v>4482</v>
      </c>
      <c r="J2337" s="21"/>
      <c r="K2337" s="24">
        <v>400</v>
      </c>
      <c r="L2337" s="24">
        <v>2400</v>
      </c>
      <c r="M2337" s="23">
        <v>80</v>
      </c>
      <c r="N2337" s="23"/>
      <c r="O2337" s="23">
        <v>2</v>
      </c>
      <c r="P2337" s="23"/>
      <c r="Q2337" s="23"/>
      <c r="R2337" s="23">
        <v>2</v>
      </c>
      <c r="S2337" s="23"/>
      <c r="T2337" s="23"/>
      <c r="U2337" s="23">
        <v>160</v>
      </c>
      <c r="V2337" s="23"/>
      <c r="W2337" s="23"/>
      <c r="X2337" s="23"/>
      <c r="Y2337" s="23">
        <v>36</v>
      </c>
      <c r="Z2337" s="23"/>
      <c r="AA2337" s="23">
        <v>120</v>
      </c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>
        <v>400</v>
      </c>
      <c r="AL2337" s="23"/>
      <c r="AM2337" s="23"/>
      <c r="AN2337" s="23"/>
      <c r="AO2337" s="23"/>
      <c r="AP2337" s="23">
        <v>160</v>
      </c>
      <c r="AQ2337" s="23"/>
      <c r="AR2337" s="23">
        <v>75</v>
      </c>
      <c r="AS2337" s="23">
        <v>100</v>
      </c>
      <c r="AT2337" s="23">
        <v>65</v>
      </c>
      <c r="AU2337" s="14" t="str">
        <f>HYPERLINK("http://www.openstreetmap.org/?mlat=35.2402&amp;mlon=44.6244&amp;zoom=12#map=12/35.2402/44.6244","Maplink1")</f>
        <v>Maplink1</v>
      </c>
      <c r="AV2337" s="14" t="str">
        <f>HYPERLINK("https://www.google.iq/maps/search/+35.2402,44.6244/@35.2402,44.6244,14z?hl=en","Maplink2")</f>
        <v>Maplink2</v>
      </c>
      <c r="AW2337" s="14" t="str">
        <f>HYPERLINK("http://www.bing.com/maps/?lvl=14&amp;sty=h&amp;cp=35.2402~44.6244&amp;sp=point.35.2402_44.6244_Badawa","Maplink3")</f>
        <v>Maplink3</v>
      </c>
    </row>
    <row r="2338" spans="1:49" ht="15" customHeight="1" x14ac:dyDescent="0.25">
      <c r="A2338" s="21">
        <v>29617</v>
      </c>
      <c r="B2338" s="22" t="s">
        <v>17</v>
      </c>
      <c r="C2338" s="22" t="s">
        <v>4479</v>
      </c>
      <c r="D2338" s="22" t="s">
        <v>8892</v>
      </c>
      <c r="E2338" s="22" t="s">
        <v>8893</v>
      </c>
      <c r="F2338" s="22">
        <v>35.234349999999999</v>
      </c>
      <c r="G2338" s="22">
        <v>44.380960000000002</v>
      </c>
      <c r="H2338" s="21" t="s">
        <v>4367</v>
      </c>
      <c r="I2338" s="21" t="s">
        <v>4482</v>
      </c>
      <c r="J2338" s="21"/>
      <c r="K2338" s="24">
        <v>361</v>
      </c>
      <c r="L2338" s="24">
        <v>2166</v>
      </c>
      <c r="M2338" s="23"/>
      <c r="N2338" s="23"/>
      <c r="O2338" s="23"/>
      <c r="P2338" s="23"/>
      <c r="Q2338" s="23"/>
      <c r="R2338" s="23"/>
      <c r="S2338" s="23"/>
      <c r="T2338" s="23"/>
      <c r="U2338" s="23">
        <v>361</v>
      </c>
      <c r="V2338" s="23"/>
      <c r="W2338" s="23"/>
      <c r="X2338" s="23"/>
      <c r="Y2338" s="23"/>
      <c r="Z2338" s="23"/>
      <c r="AA2338" s="23"/>
      <c r="AB2338" s="23"/>
      <c r="AC2338" s="23"/>
      <c r="AD2338" s="23"/>
      <c r="AE2338" s="23">
        <v>361</v>
      </c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  <c r="AQ2338" s="23"/>
      <c r="AR2338" s="23"/>
      <c r="AS2338" s="23"/>
      <c r="AT2338" s="23">
        <v>361</v>
      </c>
      <c r="AU2338" s="14" t="str">
        <f>HYPERLINK("http://www.openstreetmap.org/?mlat=35.2343&amp;mlon=44.381&amp;zoom=12#map=12/35.2343/44.381","Maplink1")</f>
        <v>Maplink1</v>
      </c>
      <c r="AV2338" s="14" t="str">
        <f>HYPERLINK("https://www.google.iq/maps/search/+35.2343,44.381/@35.2343,44.381,14z?hl=en","Maplink2")</f>
        <v>Maplink2</v>
      </c>
      <c r="AW2338" s="14" t="str">
        <f>HYPERLINK("http://www.bing.com/maps/?lvl=14&amp;sty=h&amp;cp=35.2343~44.381&amp;sp=point.35.2343_44.381","Maplink3")</f>
        <v>Maplink3</v>
      </c>
    </row>
    <row r="2339" spans="1:49" ht="15" customHeight="1" x14ac:dyDescent="0.25">
      <c r="A2339" s="21">
        <v>14786</v>
      </c>
      <c r="B2339" s="22" t="s">
        <v>17</v>
      </c>
      <c r="C2339" s="22" t="s">
        <v>4479</v>
      </c>
      <c r="D2339" s="22" t="s">
        <v>4490</v>
      </c>
      <c r="E2339" s="22" t="s">
        <v>4491</v>
      </c>
      <c r="F2339" s="22">
        <v>35.130000000000003</v>
      </c>
      <c r="G2339" s="22">
        <v>44.43</v>
      </c>
      <c r="H2339" s="21" t="s">
        <v>4367</v>
      </c>
      <c r="I2339" s="21" t="s">
        <v>4482</v>
      </c>
      <c r="J2339" s="21" t="s">
        <v>4492</v>
      </c>
      <c r="K2339" s="24">
        <v>454</v>
      </c>
      <c r="L2339" s="24">
        <v>2724</v>
      </c>
      <c r="M2339" s="23">
        <v>140</v>
      </c>
      <c r="N2339" s="23"/>
      <c r="O2339" s="23"/>
      <c r="P2339" s="23"/>
      <c r="Q2339" s="23"/>
      <c r="R2339" s="23">
        <v>75</v>
      </c>
      <c r="S2339" s="23"/>
      <c r="T2339" s="23"/>
      <c r="U2339" s="23">
        <v>29</v>
      </c>
      <c r="V2339" s="23"/>
      <c r="W2339" s="23"/>
      <c r="X2339" s="23"/>
      <c r="Y2339" s="23"/>
      <c r="Z2339" s="23"/>
      <c r="AA2339" s="23">
        <v>210</v>
      </c>
      <c r="AB2339" s="23"/>
      <c r="AC2339" s="23"/>
      <c r="AD2339" s="23"/>
      <c r="AE2339" s="23"/>
      <c r="AF2339" s="23">
        <v>5</v>
      </c>
      <c r="AG2339" s="23"/>
      <c r="AH2339" s="23"/>
      <c r="AI2339" s="23"/>
      <c r="AJ2339" s="23"/>
      <c r="AK2339" s="23">
        <v>449</v>
      </c>
      <c r="AL2339" s="23"/>
      <c r="AM2339" s="23"/>
      <c r="AN2339" s="23"/>
      <c r="AO2339" s="23"/>
      <c r="AP2339" s="23">
        <v>20</v>
      </c>
      <c r="AQ2339" s="23">
        <v>250</v>
      </c>
      <c r="AR2339" s="23">
        <v>75</v>
      </c>
      <c r="AS2339" s="23">
        <v>109</v>
      </c>
      <c r="AT2339" s="23"/>
      <c r="AU2339" s="14" t="str">
        <f>HYPERLINK("http://www.openstreetmap.org/?mlat=35.13&amp;mlon=44.43&amp;zoom=12#map=12/35.13/44.43","Maplink1")</f>
        <v>Maplink1</v>
      </c>
      <c r="AV2339" s="14" t="str">
        <f>HYPERLINK("https://www.google.iq/maps/search/+35.13,44.43/@35.13,44.43,14z?hl=en","Maplink2")</f>
        <v>Maplink2</v>
      </c>
      <c r="AW2339" s="14" t="str">
        <f>HYPERLINK("http://www.bing.com/maps/?lvl=14&amp;sty=h&amp;cp=35.13~44.43&amp;sp=point.35.13_44.43_Fareeq Awa","Maplink3")</f>
        <v>Maplink3</v>
      </c>
    </row>
    <row r="2340" spans="1:49" ht="15" customHeight="1" x14ac:dyDescent="0.25">
      <c r="A2340" s="21">
        <v>14545</v>
      </c>
      <c r="B2340" s="22" t="s">
        <v>17</v>
      </c>
      <c r="C2340" s="22" t="s">
        <v>4479</v>
      </c>
      <c r="D2340" s="22" t="s">
        <v>4493</v>
      </c>
      <c r="E2340" s="22" t="s">
        <v>4494</v>
      </c>
      <c r="F2340" s="22">
        <v>35.314923999999998</v>
      </c>
      <c r="G2340" s="22">
        <v>44.562221999999998</v>
      </c>
      <c r="H2340" s="21" t="s">
        <v>4367</v>
      </c>
      <c r="I2340" s="21" t="s">
        <v>4482</v>
      </c>
      <c r="J2340" s="21" t="s">
        <v>4495</v>
      </c>
      <c r="K2340" s="24">
        <v>86</v>
      </c>
      <c r="L2340" s="24">
        <v>516</v>
      </c>
      <c r="M2340" s="23">
        <v>2</v>
      </c>
      <c r="N2340" s="23"/>
      <c r="O2340" s="23"/>
      <c r="P2340" s="23"/>
      <c r="Q2340" s="23"/>
      <c r="R2340" s="23"/>
      <c r="S2340" s="23"/>
      <c r="T2340" s="23"/>
      <c r="U2340" s="23">
        <v>16</v>
      </c>
      <c r="V2340" s="23"/>
      <c r="W2340" s="23"/>
      <c r="X2340" s="23"/>
      <c r="Y2340" s="23">
        <v>5</v>
      </c>
      <c r="Z2340" s="23"/>
      <c r="AA2340" s="23">
        <v>63</v>
      </c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>
        <v>86</v>
      </c>
      <c r="AN2340" s="23"/>
      <c r="AO2340" s="23">
        <v>1</v>
      </c>
      <c r="AP2340" s="23">
        <v>6</v>
      </c>
      <c r="AQ2340" s="23">
        <v>30</v>
      </c>
      <c r="AR2340" s="23">
        <v>33</v>
      </c>
      <c r="AS2340" s="23"/>
      <c r="AT2340" s="23">
        <v>16</v>
      </c>
      <c r="AU2340" s="14" t="str">
        <f>HYPERLINK("http://www.openstreetmap.org/?mlat=35.1853&amp;mlon=44.3344&amp;zoom=12#map=12/35.1853/44.3344","Maplink1")</f>
        <v>Maplink1</v>
      </c>
      <c r="AV2340" s="14" t="str">
        <f>HYPERLINK("https://www.google.iq/maps/search/+35.1853,44.3344/@35.1853,44.3344,14z?hl=en","Maplink2")</f>
        <v>Maplink2</v>
      </c>
      <c r="AW2340" s="14" t="str">
        <f>HYPERLINK("http://www.bing.com/maps/?lvl=14&amp;sty=h&amp;cp=35.1853~44.3344&amp;sp=point.35.1853_44.3344_Al Angaa","Maplink3")</f>
        <v>Maplink3</v>
      </c>
    </row>
    <row r="2341" spans="1:49" ht="15" customHeight="1" x14ac:dyDescent="0.25">
      <c r="A2341" s="21">
        <v>24238</v>
      </c>
      <c r="B2341" s="22" t="s">
        <v>17</v>
      </c>
      <c r="C2341" s="22" t="s">
        <v>4479</v>
      </c>
      <c r="D2341" s="22" t="s">
        <v>4403</v>
      </c>
      <c r="E2341" s="22" t="s">
        <v>4496</v>
      </c>
      <c r="F2341" s="22">
        <v>35.128221000000003</v>
      </c>
      <c r="G2341" s="22">
        <v>44.449359999999999</v>
      </c>
      <c r="H2341" s="21" t="s">
        <v>4367</v>
      </c>
      <c r="I2341" s="21" t="s">
        <v>4482</v>
      </c>
      <c r="J2341" s="21" t="s">
        <v>4497</v>
      </c>
      <c r="K2341" s="24">
        <v>409</v>
      </c>
      <c r="L2341" s="24">
        <v>2454</v>
      </c>
      <c r="M2341" s="23">
        <v>130</v>
      </c>
      <c r="N2341" s="23"/>
      <c r="O2341" s="23">
        <v>8</v>
      </c>
      <c r="P2341" s="23"/>
      <c r="Q2341" s="23"/>
      <c r="R2341" s="23">
        <v>57</v>
      </c>
      <c r="S2341" s="23"/>
      <c r="T2341" s="23"/>
      <c r="U2341" s="23">
        <v>44</v>
      </c>
      <c r="V2341" s="23"/>
      <c r="W2341" s="23"/>
      <c r="X2341" s="23"/>
      <c r="Y2341" s="23"/>
      <c r="Z2341" s="23"/>
      <c r="AA2341" s="23">
        <v>170</v>
      </c>
      <c r="AB2341" s="23"/>
      <c r="AC2341" s="23"/>
      <c r="AD2341" s="23"/>
      <c r="AE2341" s="23"/>
      <c r="AF2341" s="23">
        <v>80</v>
      </c>
      <c r="AG2341" s="23"/>
      <c r="AH2341" s="23"/>
      <c r="AI2341" s="23"/>
      <c r="AJ2341" s="23"/>
      <c r="AK2341" s="23">
        <v>329</v>
      </c>
      <c r="AL2341" s="23"/>
      <c r="AM2341" s="23"/>
      <c r="AN2341" s="23"/>
      <c r="AO2341" s="23"/>
      <c r="AP2341" s="23">
        <v>40</v>
      </c>
      <c r="AQ2341" s="23">
        <v>90</v>
      </c>
      <c r="AR2341" s="23">
        <v>135</v>
      </c>
      <c r="AS2341" s="23">
        <v>144</v>
      </c>
      <c r="AT2341" s="23"/>
      <c r="AU2341" s="14" t="str">
        <f>HYPERLINK("http://www.openstreetmap.org/?mlat=35.1282&amp;mlon=44.4494&amp;zoom=12#map=12/35.1282/44.4494","Maplink1")</f>
        <v>Maplink1</v>
      </c>
      <c r="AV2341" s="14" t="str">
        <f>HYPERLINK("https://www.google.iq/maps/search/+35.1282,44.4494/@35.1282,44.4494,14z?hl=en","Maplink2")</f>
        <v>Maplink2</v>
      </c>
      <c r="AW2341" s="14" t="str">
        <f>HYPERLINK("http://www.bing.com/maps/?lvl=14&amp;sty=h&amp;cp=35.1282~44.4494&amp;sp=point.35.1282_44.4494_Hay Al Motajawizeen","Maplink3")</f>
        <v>Maplink3</v>
      </c>
    </row>
    <row r="2342" spans="1:49" ht="15" customHeight="1" x14ac:dyDescent="0.25">
      <c r="A2342" s="21">
        <v>21453</v>
      </c>
      <c r="B2342" s="22" t="s">
        <v>17</v>
      </c>
      <c r="C2342" s="22" t="s">
        <v>4479</v>
      </c>
      <c r="D2342" s="22" t="s">
        <v>4498</v>
      </c>
      <c r="E2342" s="22" t="s">
        <v>4499</v>
      </c>
      <c r="F2342" s="22">
        <v>35.082599999999999</v>
      </c>
      <c r="G2342" s="22">
        <v>44.2624</v>
      </c>
      <c r="H2342" s="21" t="s">
        <v>4367</v>
      </c>
      <c r="I2342" s="21" t="s">
        <v>4482</v>
      </c>
      <c r="J2342" s="21" t="s">
        <v>4500</v>
      </c>
      <c r="K2342" s="24">
        <v>412</v>
      </c>
      <c r="L2342" s="24">
        <v>2472</v>
      </c>
      <c r="M2342" s="23">
        <v>40</v>
      </c>
      <c r="N2342" s="23"/>
      <c r="O2342" s="23"/>
      <c r="P2342" s="23"/>
      <c r="Q2342" s="23"/>
      <c r="R2342" s="23">
        <v>60</v>
      </c>
      <c r="S2342" s="23"/>
      <c r="T2342" s="23"/>
      <c r="U2342" s="23">
        <v>32</v>
      </c>
      <c r="V2342" s="23"/>
      <c r="W2342" s="23"/>
      <c r="X2342" s="23"/>
      <c r="Y2342" s="23">
        <v>30</v>
      </c>
      <c r="Z2342" s="23"/>
      <c r="AA2342" s="23">
        <v>250</v>
      </c>
      <c r="AB2342" s="23"/>
      <c r="AC2342" s="23"/>
      <c r="AD2342" s="23"/>
      <c r="AE2342" s="23"/>
      <c r="AF2342" s="23">
        <v>50</v>
      </c>
      <c r="AG2342" s="23"/>
      <c r="AH2342" s="23"/>
      <c r="AI2342" s="23"/>
      <c r="AJ2342" s="23"/>
      <c r="AK2342" s="23">
        <v>362</v>
      </c>
      <c r="AL2342" s="23"/>
      <c r="AM2342" s="23"/>
      <c r="AN2342" s="23"/>
      <c r="AO2342" s="23"/>
      <c r="AP2342" s="23"/>
      <c r="AQ2342" s="23">
        <v>210</v>
      </c>
      <c r="AR2342" s="23">
        <v>130</v>
      </c>
      <c r="AS2342" s="23">
        <v>72</v>
      </c>
      <c r="AT2342" s="23"/>
      <c r="AU2342" s="14" t="str">
        <f>HYPERLINK("http://www.openstreetmap.org/?mlat=35.0826&amp;mlon=44.2624&amp;zoom=12#map=12/35.0826/44.2624","Maplink1")</f>
        <v>Maplink1</v>
      </c>
      <c r="AV2342" s="14" t="str">
        <f>HYPERLINK("https://www.google.iq/maps/search/+35.0826,44.2624/@35.0826,44.2624,14z?hl=en","Maplink2")</f>
        <v>Maplink2</v>
      </c>
      <c r="AW2342" s="14" t="str">
        <f>HYPERLINK("http://www.bing.com/maps/?lvl=14&amp;sty=h&amp;cp=35.0826~44.2624&amp;sp=point.35.0826_44.2624_Hay Ashti","Maplink3")</f>
        <v>Maplink3</v>
      </c>
    </row>
    <row r="2343" spans="1:49" ht="15" customHeight="1" x14ac:dyDescent="0.25">
      <c r="A2343" s="21">
        <v>25557</v>
      </c>
      <c r="B2343" s="22" t="s">
        <v>17</v>
      </c>
      <c r="C2343" s="22" t="s">
        <v>4479</v>
      </c>
      <c r="D2343" s="22" t="s">
        <v>4501</v>
      </c>
      <c r="E2343" s="22" t="s">
        <v>4502</v>
      </c>
      <c r="F2343" s="22">
        <v>35.430770000000003</v>
      </c>
      <c r="G2343" s="22">
        <v>44.606417999999998</v>
      </c>
      <c r="H2343" s="21" t="s">
        <v>4367</v>
      </c>
      <c r="I2343" s="21" t="s">
        <v>4482</v>
      </c>
      <c r="J2343" s="21"/>
      <c r="K2343" s="24">
        <v>465</v>
      </c>
      <c r="L2343" s="24">
        <v>2790</v>
      </c>
      <c r="M2343" s="23">
        <v>35</v>
      </c>
      <c r="N2343" s="23"/>
      <c r="O2343" s="23"/>
      <c r="P2343" s="23"/>
      <c r="Q2343" s="23"/>
      <c r="R2343" s="23">
        <v>10</v>
      </c>
      <c r="S2343" s="23"/>
      <c r="T2343" s="23"/>
      <c r="U2343" s="23">
        <v>180</v>
      </c>
      <c r="V2343" s="23"/>
      <c r="W2343" s="23"/>
      <c r="X2343" s="23"/>
      <c r="Y2343" s="23">
        <v>10</v>
      </c>
      <c r="Z2343" s="23"/>
      <c r="AA2343" s="23">
        <v>230</v>
      </c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>
        <v>465</v>
      </c>
      <c r="AL2343" s="23"/>
      <c r="AM2343" s="23"/>
      <c r="AN2343" s="23"/>
      <c r="AO2343" s="23">
        <v>40</v>
      </c>
      <c r="AP2343" s="23">
        <v>30</v>
      </c>
      <c r="AQ2343" s="23">
        <v>110</v>
      </c>
      <c r="AR2343" s="23">
        <v>80</v>
      </c>
      <c r="AS2343" s="23">
        <v>175</v>
      </c>
      <c r="AT2343" s="23">
        <v>30</v>
      </c>
      <c r="AU2343" s="14" t="str">
        <f>HYPERLINK("http://www.openstreetmap.org/?mlat=35.4308&amp;mlon=44.6064&amp;zoom=12#map=12/35.4308/44.6064","Maplink1")</f>
        <v>Maplink1</v>
      </c>
      <c r="AV2343" s="14" t="str">
        <f>HYPERLINK("https://www.google.iq/maps/search/+35.4308,44.6064/@35.4308,44.6064,14z?hl=en","Maplink2")</f>
        <v>Maplink2</v>
      </c>
      <c r="AW2343" s="14" t="str">
        <f>HYPERLINK("http://www.bing.com/maps/?lvl=14&amp;sty=h&amp;cp=35.4308~44.6064&amp;sp=point.35.4308_44.6064_Khala Bazyani","Maplink3")</f>
        <v>Maplink3</v>
      </c>
    </row>
    <row r="2344" spans="1:49" ht="15" customHeight="1" x14ac:dyDescent="0.25">
      <c r="A2344" s="21">
        <v>14536</v>
      </c>
      <c r="B2344" s="22" t="s">
        <v>17</v>
      </c>
      <c r="C2344" s="22" t="s">
        <v>4479</v>
      </c>
      <c r="D2344" s="22" t="s">
        <v>7337</v>
      </c>
      <c r="E2344" s="22" t="s">
        <v>4503</v>
      </c>
      <c r="F2344" s="22">
        <v>35.328913999999997</v>
      </c>
      <c r="G2344" s="22">
        <v>44.529045000000004</v>
      </c>
      <c r="H2344" s="21" t="s">
        <v>4367</v>
      </c>
      <c r="I2344" s="21" t="s">
        <v>4482</v>
      </c>
      <c r="J2344" s="21" t="s">
        <v>4504</v>
      </c>
      <c r="K2344" s="24">
        <v>1743</v>
      </c>
      <c r="L2344" s="24">
        <v>10458</v>
      </c>
      <c r="M2344" s="23">
        <v>190</v>
      </c>
      <c r="N2344" s="23"/>
      <c r="O2344" s="23"/>
      <c r="P2344" s="23"/>
      <c r="Q2344" s="23"/>
      <c r="R2344" s="23">
        <v>175</v>
      </c>
      <c r="S2344" s="23"/>
      <c r="T2344" s="23"/>
      <c r="U2344" s="23">
        <v>503</v>
      </c>
      <c r="V2344" s="23"/>
      <c r="W2344" s="23"/>
      <c r="X2344" s="23"/>
      <c r="Y2344" s="23">
        <v>145</v>
      </c>
      <c r="Z2344" s="23"/>
      <c r="AA2344" s="23">
        <v>730</v>
      </c>
      <c r="AB2344" s="23"/>
      <c r="AC2344" s="23"/>
      <c r="AD2344" s="23"/>
      <c r="AE2344" s="23">
        <v>1743</v>
      </c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>
        <v>156</v>
      </c>
      <c r="AP2344" s="23">
        <v>543</v>
      </c>
      <c r="AQ2344" s="23">
        <v>390</v>
      </c>
      <c r="AR2344" s="23">
        <v>79</v>
      </c>
      <c r="AS2344" s="23">
        <v>107</v>
      </c>
      <c r="AT2344" s="23">
        <v>468</v>
      </c>
      <c r="AU2344" s="14" t="str">
        <f>HYPERLINK("http://www.openstreetmap.org/?mlat=35.261&amp;mlon=44.5371&amp;zoom=12#map=12/35.261/44.5371","Maplink1")</f>
        <v>Maplink1</v>
      </c>
      <c r="AV2344" s="14" t="str">
        <f>HYPERLINK("https://www.google.iq/maps/search/+35.261,44.5371/@35.261,44.5371,14z?hl=en","Maplink2")</f>
        <v>Maplink2</v>
      </c>
      <c r="AW2344" s="14" t="str">
        <f>HYPERLINK("http://www.bing.com/maps/?lvl=14&amp;sty=h&amp;cp=35.261~44.5371&amp;sp=point.35.261_44.5371_Lailan Camp","Maplink3")</f>
        <v>Maplink3</v>
      </c>
    </row>
    <row r="2345" spans="1:49" ht="15" customHeight="1" x14ac:dyDescent="0.25">
      <c r="A2345" s="21">
        <v>25738</v>
      </c>
      <c r="B2345" s="22" t="s">
        <v>17</v>
      </c>
      <c r="C2345" s="22" t="s">
        <v>4479</v>
      </c>
      <c r="D2345" s="22" t="s">
        <v>4505</v>
      </c>
      <c r="E2345" s="22" t="s">
        <v>4506</v>
      </c>
      <c r="F2345" s="22">
        <v>35.316659000000001</v>
      </c>
      <c r="G2345" s="22">
        <v>44.367975000000001</v>
      </c>
      <c r="H2345" s="21" t="s">
        <v>4367</v>
      </c>
      <c r="I2345" s="21" t="s">
        <v>4482</v>
      </c>
      <c r="J2345" s="21"/>
      <c r="K2345" s="24">
        <v>182</v>
      </c>
      <c r="L2345" s="24">
        <v>1092</v>
      </c>
      <c r="M2345" s="23"/>
      <c r="N2345" s="23"/>
      <c r="O2345" s="23"/>
      <c r="P2345" s="23"/>
      <c r="Q2345" s="23"/>
      <c r="R2345" s="23"/>
      <c r="S2345" s="23"/>
      <c r="T2345" s="23"/>
      <c r="U2345" s="23">
        <v>178</v>
      </c>
      <c r="V2345" s="23"/>
      <c r="W2345" s="23"/>
      <c r="X2345" s="23"/>
      <c r="Y2345" s="23"/>
      <c r="Z2345" s="23"/>
      <c r="AA2345" s="23">
        <v>4</v>
      </c>
      <c r="AB2345" s="23"/>
      <c r="AC2345" s="23"/>
      <c r="AD2345" s="23"/>
      <c r="AE2345" s="23"/>
      <c r="AF2345" s="23"/>
      <c r="AG2345" s="23"/>
      <c r="AH2345" s="23">
        <v>182</v>
      </c>
      <c r="AI2345" s="23"/>
      <c r="AJ2345" s="23"/>
      <c r="AK2345" s="23"/>
      <c r="AL2345" s="23"/>
      <c r="AM2345" s="23"/>
      <c r="AN2345" s="23"/>
      <c r="AO2345" s="23"/>
      <c r="AP2345" s="23"/>
      <c r="AQ2345" s="23">
        <v>10</v>
      </c>
      <c r="AR2345" s="23">
        <v>172</v>
      </c>
      <c r="AS2345" s="23"/>
      <c r="AT2345" s="23"/>
      <c r="AU2345" s="14" t="str">
        <f>HYPERLINK("http://www.openstreetmap.org/?mlat=35.3167&amp;mlon=44.368&amp;zoom=12#map=12/35.3167/44.368","Maplink1")</f>
        <v>Maplink1</v>
      </c>
      <c r="AV2345" s="14" t="str">
        <f>HYPERLINK("https://www.google.iq/maps/search/+35.3167,44.368/@35.3167,44.368,14z?hl=en","Maplink2")</f>
        <v>Maplink2</v>
      </c>
      <c r="AW2345" s="14" t="str">
        <f>HYPERLINK("http://www.bing.com/maps/?lvl=14&amp;sty=h&amp;cp=35.3167~44.368&amp;sp=point.35.3167_44.368_Laylan-Al Abadat village","Maplink3")</f>
        <v>Maplink3</v>
      </c>
    </row>
    <row r="2346" spans="1:49" ht="15" customHeight="1" x14ac:dyDescent="0.25">
      <c r="A2346" s="21">
        <v>25739</v>
      </c>
      <c r="B2346" s="22" t="s">
        <v>17</v>
      </c>
      <c r="C2346" s="22" t="s">
        <v>4479</v>
      </c>
      <c r="D2346" s="22" t="s">
        <v>4507</v>
      </c>
      <c r="E2346" s="22" t="s">
        <v>4508</v>
      </c>
      <c r="F2346" s="22">
        <v>35.307476000000001</v>
      </c>
      <c r="G2346" s="22">
        <v>44.345911999999998</v>
      </c>
      <c r="H2346" s="21" t="s">
        <v>4367</v>
      </c>
      <c r="I2346" s="21" t="s">
        <v>4482</v>
      </c>
      <c r="J2346" s="21"/>
      <c r="K2346" s="24">
        <v>187</v>
      </c>
      <c r="L2346" s="24">
        <v>1122</v>
      </c>
      <c r="M2346" s="23"/>
      <c r="N2346" s="23"/>
      <c r="O2346" s="23"/>
      <c r="P2346" s="23"/>
      <c r="Q2346" s="23"/>
      <c r="R2346" s="23"/>
      <c r="S2346" s="23"/>
      <c r="T2346" s="23"/>
      <c r="U2346" s="23">
        <v>187</v>
      </c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>
        <v>51</v>
      </c>
      <c r="AG2346" s="23"/>
      <c r="AH2346" s="23">
        <v>136</v>
      </c>
      <c r="AI2346" s="23"/>
      <c r="AJ2346" s="23"/>
      <c r="AK2346" s="23"/>
      <c r="AL2346" s="23"/>
      <c r="AM2346" s="23"/>
      <c r="AN2346" s="23"/>
      <c r="AO2346" s="23"/>
      <c r="AP2346" s="23"/>
      <c r="AQ2346" s="23"/>
      <c r="AR2346" s="23">
        <v>171</v>
      </c>
      <c r="AS2346" s="23"/>
      <c r="AT2346" s="23">
        <v>16</v>
      </c>
      <c r="AU2346" s="14" t="str">
        <f>HYPERLINK("http://www.openstreetmap.org/?mlat=35.3075&amp;mlon=44.3459&amp;zoom=12#map=12/35.3075/44.3459","Maplink1")</f>
        <v>Maplink1</v>
      </c>
      <c r="AV2346" s="14" t="str">
        <f>HYPERLINK("https://www.google.iq/maps/search/+35.3075,44.3459/@35.3075,44.3459,14z?hl=en","Maplink2")</f>
        <v>Maplink2</v>
      </c>
      <c r="AW2346" s="14" t="str">
        <f>HYPERLINK("http://www.bing.com/maps/?lvl=14&amp;sty=h&amp;cp=35.3075~44.3459&amp;sp=point.35.3075_44.3459_Laylan-Bash Bulaq village","Maplink3")</f>
        <v>Maplink3</v>
      </c>
    </row>
    <row r="2347" spans="1:49" ht="15" customHeight="1" x14ac:dyDescent="0.25">
      <c r="A2347" s="21">
        <v>21711</v>
      </c>
      <c r="B2347" s="22" t="s">
        <v>17</v>
      </c>
      <c r="C2347" s="22" t="s">
        <v>4479</v>
      </c>
      <c r="D2347" s="22" t="s">
        <v>4509</v>
      </c>
      <c r="E2347" s="22" t="s">
        <v>4510</v>
      </c>
      <c r="F2347" s="22">
        <v>35.318976999999997</v>
      </c>
      <c r="G2347" s="22">
        <v>44.517829999999996</v>
      </c>
      <c r="H2347" s="21" t="s">
        <v>4367</v>
      </c>
      <c r="I2347" s="21" t="s">
        <v>4482</v>
      </c>
      <c r="J2347" s="21" t="s">
        <v>4511</v>
      </c>
      <c r="K2347" s="24">
        <v>345</v>
      </c>
      <c r="L2347" s="24">
        <v>2070</v>
      </c>
      <c r="M2347" s="23">
        <v>60</v>
      </c>
      <c r="N2347" s="23"/>
      <c r="O2347" s="23"/>
      <c r="P2347" s="23"/>
      <c r="Q2347" s="23"/>
      <c r="R2347" s="23">
        <v>10</v>
      </c>
      <c r="S2347" s="23"/>
      <c r="T2347" s="23"/>
      <c r="U2347" s="23">
        <v>65</v>
      </c>
      <c r="V2347" s="23"/>
      <c r="W2347" s="23"/>
      <c r="X2347" s="23"/>
      <c r="Y2347" s="23">
        <v>165</v>
      </c>
      <c r="Z2347" s="23"/>
      <c r="AA2347" s="23">
        <v>45</v>
      </c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>
        <v>345</v>
      </c>
      <c r="AL2347" s="23"/>
      <c r="AM2347" s="23"/>
      <c r="AN2347" s="23"/>
      <c r="AO2347" s="23">
        <v>60</v>
      </c>
      <c r="AP2347" s="23">
        <v>75</v>
      </c>
      <c r="AQ2347" s="23">
        <v>30</v>
      </c>
      <c r="AR2347" s="23">
        <v>125</v>
      </c>
      <c r="AS2347" s="23">
        <v>55</v>
      </c>
      <c r="AT2347" s="23"/>
      <c r="AU2347" s="14" t="str">
        <f>HYPERLINK("http://www.openstreetmap.org/?mlat=35.319&amp;mlon=44.5178&amp;zoom=12#map=12/35.319/44.5178","Maplink1")</f>
        <v>Maplink1</v>
      </c>
      <c r="AV2347" s="14" t="str">
        <f>HYPERLINK("https://www.google.iq/maps/search/+35.319,44.5178/@35.319,44.5178,14z?hl=en","Maplink2")</f>
        <v>Maplink2</v>
      </c>
      <c r="AW2347" s="14" t="str">
        <f>HYPERLINK("http://www.bing.com/maps/?lvl=14&amp;sty=h&amp;cp=35.319~44.5178&amp;sp=point.35.319_44.5178_Nawroz","Maplink3")</f>
        <v>Maplink3</v>
      </c>
    </row>
    <row r="2348" spans="1:49" ht="15" customHeight="1" x14ac:dyDescent="0.25">
      <c r="A2348" s="21">
        <v>27337</v>
      </c>
      <c r="B2348" s="22" t="s">
        <v>17</v>
      </c>
      <c r="C2348" s="22" t="s">
        <v>4479</v>
      </c>
      <c r="D2348" s="22" t="s">
        <v>4512</v>
      </c>
      <c r="E2348" s="22" t="s">
        <v>4513</v>
      </c>
      <c r="F2348" s="22">
        <v>35.292727999999997</v>
      </c>
      <c r="G2348" s="22">
        <v>44.576431999999997</v>
      </c>
      <c r="H2348" s="21" t="s">
        <v>4367</v>
      </c>
      <c r="I2348" s="21" t="s">
        <v>4482</v>
      </c>
      <c r="J2348" s="21"/>
      <c r="K2348" s="24">
        <v>2114</v>
      </c>
      <c r="L2348" s="24">
        <v>12684</v>
      </c>
      <c r="M2348" s="23">
        <v>8</v>
      </c>
      <c r="N2348" s="23"/>
      <c r="O2348" s="23">
        <v>2</v>
      </c>
      <c r="P2348" s="23"/>
      <c r="Q2348" s="23"/>
      <c r="R2348" s="23">
        <v>9</v>
      </c>
      <c r="S2348" s="23"/>
      <c r="T2348" s="23"/>
      <c r="U2348" s="23">
        <v>1756</v>
      </c>
      <c r="V2348" s="23"/>
      <c r="W2348" s="23"/>
      <c r="X2348" s="23"/>
      <c r="Y2348" s="23">
        <v>34</v>
      </c>
      <c r="Z2348" s="23"/>
      <c r="AA2348" s="23">
        <v>305</v>
      </c>
      <c r="AB2348" s="23"/>
      <c r="AC2348" s="23"/>
      <c r="AD2348" s="23"/>
      <c r="AE2348" s="23">
        <v>2114</v>
      </c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/>
      <c r="AR2348" s="23"/>
      <c r="AS2348" s="23">
        <v>490</v>
      </c>
      <c r="AT2348" s="23">
        <v>1624</v>
      </c>
      <c r="AU2348" s="14" t="str">
        <f>HYPERLINK("http://www.openstreetmap.org/?mlat=35.1733&amp;mlon=44.3434&amp;zoom=12#map=12/35.1733/44.3434","Maplink1")</f>
        <v>Maplink1</v>
      </c>
      <c r="AV2348" s="14" t="str">
        <f>HYPERLINK("https://www.google.iq/maps/search/+35.1733,44.3434/@35.1733,44.3434,14z?hl=en","Maplink2")</f>
        <v>Maplink2</v>
      </c>
      <c r="AW2348" s="14" t="str">
        <f>HYPERLINK("http://www.bing.com/maps/?lvl=14&amp;sty=h&amp;cp=35.1733~44.3434&amp;sp=point.35.1733_44.3434_Nazrawa camp","Maplink3")</f>
        <v>Maplink3</v>
      </c>
    </row>
    <row r="2349" spans="1:49" ht="15" customHeight="1" x14ac:dyDescent="0.25">
      <c r="A2349" s="21">
        <v>14960</v>
      </c>
      <c r="B2349" s="22" t="s">
        <v>17</v>
      </c>
      <c r="C2349" s="22" t="s">
        <v>4479</v>
      </c>
      <c r="D2349" s="22" t="s">
        <v>4514</v>
      </c>
      <c r="E2349" s="22" t="s">
        <v>4515</v>
      </c>
      <c r="F2349" s="22">
        <v>35.271873999999997</v>
      </c>
      <c r="G2349" s="22">
        <v>44.383496999999998</v>
      </c>
      <c r="H2349" s="21" t="s">
        <v>4367</v>
      </c>
      <c r="I2349" s="21" t="s">
        <v>4482</v>
      </c>
      <c r="J2349" s="21" t="s">
        <v>4516</v>
      </c>
      <c r="K2349" s="24">
        <v>747</v>
      </c>
      <c r="L2349" s="24">
        <v>4482</v>
      </c>
      <c r="M2349" s="23"/>
      <c r="N2349" s="23"/>
      <c r="O2349" s="23"/>
      <c r="P2349" s="23"/>
      <c r="Q2349" s="23"/>
      <c r="R2349" s="23"/>
      <c r="S2349" s="23"/>
      <c r="T2349" s="23"/>
      <c r="U2349" s="23">
        <v>645</v>
      </c>
      <c r="V2349" s="23"/>
      <c r="W2349" s="23"/>
      <c r="X2349" s="23"/>
      <c r="Y2349" s="23">
        <v>87</v>
      </c>
      <c r="Z2349" s="23"/>
      <c r="AA2349" s="23">
        <v>15</v>
      </c>
      <c r="AB2349" s="23"/>
      <c r="AC2349" s="23"/>
      <c r="AD2349" s="23"/>
      <c r="AE2349" s="23"/>
      <c r="AF2349" s="23"/>
      <c r="AG2349" s="23"/>
      <c r="AH2349" s="23">
        <v>747</v>
      </c>
      <c r="AI2349" s="23"/>
      <c r="AJ2349" s="23"/>
      <c r="AK2349" s="23"/>
      <c r="AL2349" s="23"/>
      <c r="AM2349" s="23"/>
      <c r="AN2349" s="23"/>
      <c r="AO2349" s="23"/>
      <c r="AP2349" s="23">
        <v>55</v>
      </c>
      <c r="AQ2349" s="23">
        <v>55</v>
      </c>
      <c r="AR2349" s="23">
        <v>637</v>
      </c>
      <c r="AS2349" s="23"/>
      <c r="AT2349" s="23"/>
      <c r="AU2349" s="14" t="str">
        <f>HYPERLINK("http://www.openstreetmap.org/?mlat=35.2719&amp;mlon=44.3835&amp;zoom=12#map=12/35.2719/44.3835","Maplink1")</f>
        <v>Maplink1</v>
      </c>
      <c r="AV2349" s="14" t="str">
        <f>HYPERLINK("https://www.google.iq/maps/search/+35.2719,44.3835/@35.2719,44.3835,14z?hl=en","Maplink2")</f>
        <v>Maplink2</v>
      </c>
      <c r="AW2349" s="14" t="str">
        <f>HYPERLINK("http://www.bing.com/maps/?lvl=14&amp;sty=h&amp;cp=35.2719~44.3835&amp;sp=point.35.2719_44.3835_Taza-Omer Bin Khattab","Maplink3")</f>
        <v>Maplink3</v>
      </c>
    </row>
    <row r="2350" spans="1:49" ht="15" customHeight="1" x14ac:dyDescent="0.25">
      <c r="A2350" s="21">
        <v>24778</v>
      </c>
      <c r="B2350" s="22" t="s">
        <v>17</v>
      </c>
      <c r="C2350" s="22" t="s">
        <v>4479</v>
      </c>
      <c r="D2350" s="22" t="s">
        <v>7338</v>
      </c>
      <c r="E2350" s="22" t="s">
        <v>4517</v>
      </c>
      <c r="F2350" s="22">
        <v>35.327263000000002</v>
      </c>
      <c r="G2350" s="22">
        <v>44.496110000000002</v>
      </c>
      <c r="H2350" s="21" t="s">
        <v>4367</v>
      </c>
      <c r="I2350" s="21" t="s">
        <v>4482</v>
      </c>
      <c r="J2350" s="21"/>
      <c r="K2350" s="24">
        <v>584</v>
      </c>
      <c r="L2350" s="24">
        <v>3504</v>
      </c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>
        <v>584</v>
      </c>
      <c r="Z2350" s="23"/>
      <c r="AA2350" s="23"/>
      <c r="AB2350" s="23"/>
      <c r="AC2350" s="23"/>
      <c r="AD2350" s="23"/>
      <c r="AE2350" s="23">
        <v>584</v>
      </c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>
        <v>260</v>
      </c>
      <c r="AQ2350" s="23"/>
      <c r="AR2350" s="23">
        <v>293</v>
      </c>
      <c r="AS2350" s="23"/>
      <c r="AT2350" s="23">
        <v>31</v>
      </c>
      <c r="AU2350" s="14" t="str">
        <f>HYPERLINK("http://www.openstreetmap.org/?mlat=35.3235&amp;mlon=44.5177&amp;zoom=12#map=12/35.3235/44.5177","Maplink1")</f>
        <v>Maplink1</v>
      </c>
      <c r="AV2350" s="14" t="str">
        <f>HYPERLINK("https://www.google.iq/maps/search/+35.3235,44.5177/@35.3235,44.5177,14z?hl=en","Maplink2")</f>
        <v>Maplink2</v>
      </c>
      <c r="AW2350" s="14" t="str">
        <f>HYPERLINK("http://www.bing.com/maps/?lvl=14&amp;sty=h&amp;cp=35.3235~44.5177&amp;sp=point.35.3235_44.5177_Yahyawah Camp","Maplink3")</f>
        <v>Maplink3</v>
      </c>
    </row>
    <row r="2351" spans="1:49" ht="15" customHeight="1" x14ac:dyDescent="0.25">
      <c r="A2351" s="21">
        <v>28476</v>
      </c>
      <c r="B2351" s="22" t="s">
        <v>17</v>
      </c>
      <c r="C2351" s="22" t="s">
        <v>4479</v>
      </c>
      <c r="D2351" s="22" t="s">
        <v>4518</v>
      </c>
      <c r="E2351" s="22" t="s">
        <v>4519</v>
      </c>
      <c r="F2351" s="22">
        <v>35.312227</v>
      </c>
      <c r="G2351" s="22">
        <v>44.438867000000002</v>
      </c>
      <c r="H2351" s="21" t="s">
        <v>4367</v>
      </c>
      <c r="I2351" s="21" t="s">
        <v>4482</v>
      </c>
      <c r="J2351" s="21"/>
      <c r="K2351" s="24">
        <v>126</v>
      </c>
      <c r="L2351" s="24">
        <v>756</v>
      </c>
      <c r="M2351" s="23">
        <v>20</v>
      </c>
      <c r="N2351" s="23"/>
      <c r="O2351" s="23"/>
      <c r="P2351" s="23"/>
      <c r="Q2351" s="23"/>
      <c r="R2351" s="23">
        <v>5</v>
      </c>
      <c r="S2351" s="23"/>
      <c r="T2351" s="23"/>
      <c r="U2351" s="23">
        <v>81</v>
      </c>
      <c r="V2351" s="23"/>
      <c r="W2351" s="23"/>
      <c r="X2351" s="23"/>
      <c r="Y2351" s="23">
        <v>5</v>
      </c>
      <c r="Z2351" s="23"/>
      <c r="AA2351" s="23">
        <v>15</v>
      </c>
      <c r="AB2351" s="23"/>
      <c r="AC2351" s="23"/>
      <c r="AD2351" s="23"/>
      <c r="AE2351" s="23"/>
      <c r="AF2351" s="23">
        <v>40</v>
      </c>
      <c r="AG2351" s="23"/>
      <c r="AH2351" s="23"/>
      <c r="AI2351" s="23"/>
      <c r="AJ2351" s="23"/>
      <c r="AK2351" s="23">
        <v>46</v>
      </c>
      <c r="AL2351" s="23"/>
      <c r="AM2351" s="23">
        <v>40</v>
      </c>
      <c r="AN2351" s="23"/>
      <c r="AO2351" s="23">
        <v>43</v>
      </c>
      <c r="AP2351" s="23">
        <v>15</v>
      </c>
      <c r="AQ2351" s="23">
        <v>10</v>
      </c>
      <c r="AR2351" s="23">
        <v>10</v>
      </c>
      <c r="AS2351" s="23">
        <v>20</v>
      </c>
      <c r="AT2351" s="23">
        <v>28</v>
      </c>
      <c r="AU2351" s="14" t="str">
        <f>HYPERLINK("http://www.openstreetmap.org/?mlat=35.1844&amp;mlon=44.262&amp;zoom=12#map=12/35.1844/44.262","Maplink1")</f>
        <v>Maplink1</v>
      </c>
      <c r="AV2351" s="14" t="str">
        <f>HYPERLINK("https://www.google.iq/maps/search/+35.1844,44.262/@35.1844,44.262,14z?hl=en","Maplink2")</f>
        <v>Maplink2</v>
      </c>
      <c r="AW2351" s="14" t="str">
        <f>HYPERLINK("http://www.bing.com/maps/?lvl=14&amp;sty=h&amp;cp=35.1844~44.262&amp;sp=point.35.1844_44.262_Al Angaa","Maplink3")</f>
        <v>Maplink3</v>
      </c>
    </row>
    <row r="2352" spans="1:49" ht="15" customHeight="1" x14ac:dyDescent="0.25">
      <c r="A2352" s="21">
        <v>22289</v>
      </c>
      <c r="B2352" s="22" t="s">
        <v>17</v>
      </c>
      <c r="C2352" s="22" t="s">
        <v>17</v>
      </c>
      <c r="D2352" s="22" t="s">
        <v>4520</v>
      </c>
      <c r="E2352" s="22" t="s">
        <v>8045</v>
      </c>
      <c r="F2352" s="22">
        <v>35.480428000000003</v>
      </c>
      <c r="G2352" s="22">
        <v>44.358837000000001</v>
      </c>
      <c r="H2352" s="21" t="s">
        <v>4367</v>
      </c>
      <c r="I2352" s="21" t="s">
        <v>4521</v>
      </c>
      <c r="J2352" s="21" t="s">
        <v>4522</v>
      </c>
      <c r="K2352" s="24">
        <v>670</v>
      </c>
      <c r="L2352" s="24">
        <v>4020</v>
      </c>
      <c r="M2352" s="23">
        <v>12</v>
      </c>
      <c r="N2352" s="23"/>
      <c r="O2352" s="23"/>
      <c r="P2352" s="23"/>
      <c r="Q2352" s="23"/>
      <c r="R2352" s="23"/>
      <c r="S2352" s="23"/>
      <c r="T2352" s="23"/>
      <c r="U2352" s="23">
        <v>374</v>
      </c>
      <c r="V2352" s="23"/>
      <c r="W2352" s="23"/>
      <c r="X2352" s="23"/>
      <c r="Y2352" s="23">
        <v>156</v>
      </c>
      <c r="Z2352" s="23"/>
      <c r="AA2352" s="23">
        <v>128</v>
      </c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>
        <v>670</v>
      </c>
      <c r="AL2352" s="23"/>
      <c r="AM2352" s="23"/>
      <c r="AN2352" s="23"/>
      <c r="AO2352" s="23"/>
      <c r="AP2352" s="23">
        <v>25</v>
      </c>
      <c r="AQ2352" s="23">
        <v>45</v>
      </c>
      <c r="AR2352" s="23">
        <v>134</v>
      </c>
      <c r="AS2352" s="23">
        <v>230</v>
      </c>
      <c r="AT2352" s="23">
        <v>236</v>
      </c>
      <c r="AU2352" s="14" t="str">
        <f>HYPERLINK("http://www.openstreetmap.org/?mlat=35.4804&amp;mlon=44.3588&amp;zoom=12#map=12/35.4804/44.3588","Maplink1")</f>
        <v>Maplink1</v>
      </c>
      <c r="AV2352" s="14" t="str">
        <f>HYPERLINK("https://www.google.iq/maps/search/+35.4804,44.3588/@35.4804,44.3588,14z?hl=en","Maplink2")</f>
        <v>Maplink2</v>
      </c>
      <c r="AW2352" s="14" t="str">
        <f>HYPERLINK("http://www.bing.com/maps/?lvl=14&amp;sty=h&amp;cp=35.4804~44.3588&amp;sp=point.35.4804_44.3588_Al Faylaq-Mahala 5","Maplink3")</f>
        <v>Maplink3</v>
      </c>
    </row>
    <row r="2353" spans="1:49" ht="15" customHeight="1" x14ac:dyDescent="0.25">
      <c r="A2353" s="21">
        <v>24359</v>
      </c>
      <c r="B2353" s="22" t="s">
        <v>17</v>
      </c>
      <c r="C2353" s="22" t="s">
        <v>17</v>
      </c>
      <c r="D2353" s="22" t="s">
        <v>4523</v>
      </c>
      <c r="E2353" s="22" t="s">
        <v>3345</v>
      </c>
      <c r="F2353" s="22">
        <v>35.500081999999999</v>
      </c>
      <c r="G2353" s="22">
        <v>44.391612000000002</v>
      </c>
      <c r="H2353" s="21" t="s">
        <v>4367</v>
      </c>
      <c r="I2353" s="21" t="s">
        <v>4521</v>
      </c>
      <c r="J2353" s="21"/>
      <c r="K2353" s="24">
        <v>875</v>
      </c>
      <c r="L2353" s="24">
        <v>5250</v>
      </c>
      <c r="M2353" s="23">
        <v>395</v>
      </c>
      <c r="N2353" s="23"/>
      <c r="O2353" s="23"/>
      <c r="P2353" s="23"/>
      <c r="Q2353" s="23"/>
      <c r="R2353" s="23"/>
      <c r="S2353" s="23"/>
      <c r="T2353" s="23"/>
      <c r="U2353" s="23">
        <v>125</v>
      </c>
      <c r="V2353" s="23"/>
      <c r="W2353" s="23"/>
      <c r="X2353" s="23"/>
      <c r="Y2353" s="23">
        <v>55</v>
      </c>
      <c r="Z2353" s="23"/>
      <c r="AA2353" s="23">
        <v>300</v>
      </c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>
        <v>875</v>
      </c>
      <c r="AL2353" s="23"/>
      <c r="AM2353" s="23"/>
      <c r="AN2353" s="23"/>
      <c r="AO2353" s="23">
        <v>140</v>
      </c>
      <c r="AP2353" s="23">
        <v>170</v>
      </c>
      <c r="AQ2353" s="23"/>
      <c r="AR2353" s="23">
        <v>275</v>
      </c>
      <c r="AS2353" s="23">
        <v>250</v>
      </c>
      <c r="AT2353" s="23">
        <v>40</v>
      </c>
      <c r="AU2353" s="14" t="str">
        <f>HYPERLINK("http://www.openstreetmap.org/?mlat=35.5001&amp;mlon=44.3916&amp;zoom=12#map=12/35.5001/44.3916","Maplink1")</f>
        <v>Maplink1</v>
      </c>
      <c r="AV2353" s="14" t="str">
        <f>HYPERLINK("https://www.google.iq/maps/search/+35.5001,44.3916/@35.5001,44.3916,14z?hl=en","Maplink2")</f>
        <v>Maplink2</v>
      </c>
      <c r="AW2353" s="14" t="str">
        <f>HYPERLINK("http://www.bing.com/maps/?lvl=14&amp;sty=h&amp;cp=35.5001~44.3916&amp;sp=point.35.5001_44.3916_Al Hurriyah","Maplink3")</f>
        <v>Maplink3</v>
      </c>
    </row>
    <row r="2354" spans="1:49" ht="15" customHeight="1" x14ac:dyDescent="0.25">
      <c r="A2354" s="21">
        <v>14984</v>
      </c>
      <c r="B2354" s="22" t="s">
        <v>17</v>
      </c>
      <c r="C2354" s="22" t="s">
        <v>17</v>
      </c>
      <c r="D2354" s="22" t="s">
        <v>4524</v>
      </c>
      <c r="E2354" s="22" t="s">
        <v>4525</v>
      </c>
      <c r="F2354" s="22">
        <v>35.44</v>
      </c>
      <c r="G2354" s="22">
        <v>44.35</v>
      </c>
      <c r="H2354" s="21" t="s">
        <v>4367</v>
      </c>
      <c r="I2354" s="21" t="s">
        <v>4521</v>
      </c>
      <c r="J2354" s="21" t="s">
        <v>4526</v>
      </c>
      <c r="K2354" s="24">
        <v>1525</v>
      </c>
      <c r="L2354" s="24">
        <v>9150</v>
      </c>
      <c r="M2354" s="23">
        <v>550</v>
      </c>
      <c r="N2354" s="23"/>
      <c r="O2354" s="23">
        <v>30</v>
      </c>
      <c r="P2354" s="23"/>
      <c r="Q2354" s="23"/>
      <c r="R2354" s="23">
        <v>25</v>
      </c>
      <c r="S2354" s="23"/>
      <c r="T2354" s="23"/>
      <c r="U2354" s="23">
        <v>740</v>
      </c>
      <c r="V2354" s="23"/>
      <c r="W2354" s="23"/>
      <c r="X2354" s="23"/>
      <c r="Y2354" s="23">
        <v>100</v>
      </c>
      <c r="Z2354" s="23"/>
      <c r="AA2354" s="23">
        <v>80</v>
      </c>
      <c r="AB2354" s="23"/>
      <c r="AC2354" s="23"/>
      <c r="AD2354" s="23"/>
      <c r="AE2354" s="23"/>
      <c r="AF2354" s="23">
        <v>40</v>
      </c>
      <c r="AG2354" s="23"/>
      <c r="AH2354" s="23"/>
      <c r="AI2354" s="23"/>
      <c r="AJ2354" s="23"/>
      <c r="AK2354" s="23">
        <v>1365</v>
      </c>
      <c r="AL2354" s="23"/>
      <c r="AM2354" s="23">
        <v>120</v>
      </c>
      <c r="AN2354" s="23"/>
      <c r="AO2354" s="23">
        <v>580</v>
      </c>
      <c r="AP2354" s="23">
        <v>360</v>
      </c>
      <c r="AQ2354" s="23"/>
      <c r="AR2354" s="23">
        <v>280</v>
      </c>
      <c r="AS2354" s="23">
        <v>165</v>
      </c>
      <c r="AT2354" s="23">
        <v>140</v>
      </c>
      <c r="AU2354" s="14" t="str">
        <f>HYPERLINK("http://www.openstreetmap.org/?mlat=35.44&amp;mlon=44.35&amp;zoom=12#map=12/35.44/44.35","Maplink1")</f>
        <v>Maplink1</v>
      </c>
      <c r="AV2354" s="14" t="str">
        <f>HYPERLINK("https://www.google.iq/maps/search/+35.44,44.35/@35.44,44.35,14z?hl=en","Maplink2")</f>
        <v>Maplink2</v>
      </c>
      <c r="AW2354" s="14" t="str">
        <f>HYPERLINK("http://www.bing.com/maps/?lvl=14&amp;sty=h&amp;cp=35.44~44.35&amp;sp=point.35.44_44.35_Al Taakhi","Maplink3")</f>
        <v>Maplink3</v>
      </c>
    </row>
    <row r="2355" spans="1:49" ht="15" customHeight="1" x14ac:dyDescent="0.25">
      <c r="A2355" s="21">
        <v>24084</v>
      </c>
      <c r="B2355" s="22" t="s">
        <v>17</v>
      </c>
      <c r="C2355" s="22" t="s">
        <v>17</v>
      </c>
      <c r="D2355" s="22" t="s">
        <v>4527</v>
      </c>
      <c r="E2355" s="22" t="s">
        <v>8220</v>
      </c>
      <c r="F2355" s="22">
        <v>35.397835999999998</v>
      </c>
      <c r="G2355" s="22">
        <v>44.401615</v>
      </c>
      <c r="H2355" s="21" t="s">
        <v>4367</v>
      </c>
      <c r="I2355" s="21" t="s">
        <v>4521</v>
      </c>
      <c r="J2355" s="21" t="s">
        <v>4528</v>
      </c>
      <c r="K2355" s="24">
        <v>1670</v>
      </c>
      <c r="L2355" s="24">
        <v>10020</v>
      </c>
      <c r="M2355" s="23">
        <v>455</v>
      </c>
      <c r="N2355" s="23"/>
      <c r="O2355" s="23"/>
      <c r="P2355" s="23"/>
      <c r="Q2355" s="23"/>
      <c r="R2355" s="23">
        <v>50</v>
      </c>
      <c r="S2355" s="23"/>
      <c r="T2355" s="23"/>
      <c r="U2355" s="23">
        <v>665</v>
      </c>
      <c r="V2355" s="23"/>
      <c r="W2355" s="23"/>
      <c r="X2355" s="23"/>
      <c r="Y2355" s="23">
        <v>140</v>
      </c>
      <c r="Z2355" s="23"/>
      <c r="AA2355" s="23">
        <v>360</v>
      </c>
      <c r="AB2355" s="23"/>
      <c r="AC2355" s="23"/>
      <c r="AD2355" s="23"/>
      <c r="AE2355" s="23"/>
      <c r="AF2355" s="23">
        <v>40</v>
      </c>
      <c r="AG2355" s="23"/>
      <c r="AH2355" s="23"/>
      <c r="AI2355" s="23"/>
      <c r="AJ2355" s="23"/>
      <c r="AK2355" s="23">
        <v>1615</v>
      </c>
      <c r="AL2355" s="23"/>
      <c r="AM2355" s="23">
        <v>15</v>
      </c>
      <c r="AN2355" s="23"/>
      <c r="AO2355" s="23">
        <v>435</v>
      </c>
      <c r="AP2355" s="23">
        <v>450</v>
      </c>
      <c r="AQ2355" s="23">
        <v>10</v>
      </c>
      <c r="AR2355" s="23">
        <v>565</v>
      </c>
      <c r="AS2355" s="23">
        <v>165</v>
      </c>
      <c r="AT2355" s="23">
        <v>45</v>
      </c>
      <c r="AU2355" s="14" t="str">
        <f>HYPERLINK("http://www.openstreetmap.org/?mlat=35.3978&amp;mlon=44.4016&amp;zoom=12#map=12/35.3978/44.4016","Maplink1")</f>
        <v>Maplink1</v>
      </c>
      <c r="AV2355" s="14" t="str">
        <f>HYPERLINK("https://www.google.iq/maps/search/+35.3978,44.4016/@35.3978,44.4016,14z?hl=en","Maplink2")</f>
        <v>Maplink2</v>
      </c>
      <c r="AW2355" s="14" t="str">
        <f>HYPERLINK("http://www.bing.com/maps/?lvl=14&amp;sty=h&amp;cp=35.3978~44.4016&amp;sp=point.35.3978_44.4016_Al Tadamon (Hawkari)","Maplink3")</f>
        <v>Maplink3</v>
      </c>
    </row>
    <row r="2356" spans="1:49" ht="15" customHeight="1" x14ac:dyDescent="0.25">
      <c r="A2356" s="21">
        <v>24453</v>
      </c>
      <c r="B2356" s="22" t="s">
        <v>17</v>
      </c>
      <c r="C2356" s="22" t="s">
        <v>17</v>
      </c>
      <c r="D2356" s="22" t="s">
        <v>4529</v>
      </c>
      <c r="E2356" s="22" t="s">
        <v>4530</v>
      </c>
      <c r="F2356" s="22">
        <v>35.388361000000003</v>
      </c>
      <c r="G2356" s="22">
        <v>44.351849000000001</v>
      </c>
      <c r="H2356" s="21" t="s">
        <v>4367</v>
      </c>
      <c r="I2356" s="21" t="s">
        <v>4521</v>
      </c>
      <c r="J2356" s="21"/>
      <c r="K2356" s="24">
        <v>250</v>
      </c>
      <c r="L2356" s="24">
        <v>1500</v>
      </c>
      <c r="M2356" s="23">
        <v>10</v>
      </c>
      <c r="N2356" s="23"/>
      <c r="O2356" s="23"/>
      <c r="P2356" s="23"/>
      <c r="Q2356" s="23"/>
      <c r="R2356" s="23"/>
      <c r="S2356" s="23"/>
      <c r="T2356" s="23"/>
      <c r="U2356" s="23">
        <v>210</v>
      </c>
      <c r="V2356" s="23"/>
      <c r="W2356" s="23"/>
      <c r="X2356" s="23"/>
      <c r="Y2356" s="23"/>
      <c r="Z2356" s="23"/>
      <c r="AA2356" s="23">
        <v>30</v>
      </c>
      <c r="AB2356" s="23"/>
      <c r="AC2356" s="23"/>
      <c r="AD2356" s="23"/>
      <c r="AE2356" s="23"/>
      <c r="AF2356" s="23">
        <v>20</v>
      </c>
      <c r="AG2356" s="23"/>
      <c r="AH2356" s="23"/>
      <c r="AI2356" s="23"/>
      <c r="AJ2356" s="23"/>
      <c r="AK2356" s="23">
        <v>180</v>
      </c>
      <c r="AL2356" s="23"/>
      <c r="AM2356" s="23">
        <v>50</v>
      </c>
      <c r="AN2356" s="23"/>
      <c r="AO2356" s="23"/>
      <c r="AP2356" s="23"/>
      <c r="AQ2356" s="23">
        <v>25</v>
      </c>
      <c r="AR2356" s="23">
        <v>45</v>
      </c>
      <c r="AS2356" s="23">
        <v>40</v>
      </c>
      <c r="AT2356" s="23">
        <v>140</v>
      </c>
      <c r="AU2356" s="14" t="str">
        <f>HYPERLINK("http://www.openstreetmap.org/?mlat=35.3884&amp;mlon=44.3518&amp;zoom=12#map=12/35.3884/44.3518","Maplink1")</f>
        <v>Maplink1</v>
      </c>
      <c r="AV2356" s="14" t="str">
        <f>HYPERLINK("https://www.google.iq/maps/search/+35.3884,44.3518/@35.3884,44.3518,14z?hl=en","Maplink2")</f>
        <v>Maplink2</v>
      </c>
      <c r="AW2356" s="14" t="str">
        <f>HYPERLINK("http://www.bing.com/maps/?lvl=14&amp;sty=h&amp;cp=35.3884~44.3518&amp;sp=point.35.3884_44.3518_Al Takhi Village","Maplink3")</f>
        <v>Maplink3</v>
      </c>
    </row>
    <row r="2357" spans="1:49" ht="15" customHeight="1" x14ac:dyDescent="0.25">
      <c r="A2357" s="21">
        <v>14813</v>
      </c>
      <c r="B2357" s="22" t="s">
        <v>17</v>
      </c>
      <c r="C2357" s="22" t="s">
        <v>17</v>
      </c>
      <c r="D2357" s="22" t="s">
        <v>4531</v>
      </c>
      <c r="E2357" s="22" t="s">
        <v>8221</v>
      </c>
      <c r="F2357" s="22">
        <v>35.415973999999999</v>
      </c>
      <c r="G2357" s="22">
        <v>44.421177999999998</v>
      </c>
      <c r="H2357" s="21" t="s">
        <v>4367</v>
      </c>
      <c r="I2357" s="21" t="s">
        <v>4521</v>
      </c>
      <c r="J2357" s="21" t="s">
        <v>4532</v>
      </c>
      <c r="K2357" s="24">
        <v>2470</v>
      </c>
      <c r="L2357" s="24">
        <v>14820</v>
      </c>
      <c r="M2357" s="23">
        <v>1025</v>
      </c>
      <c r="N2357" s="23"/>
      <c r="O2357" s="23"/>
      <c r="P2357" s="23"/>
      <c r="Q2357" s="23"/>
      <c r="R2357" s="23">
        <v>30</v>
      </c>
      <c r="S2357" s="23"/>
      <c r="T2357" s="23"/>
      <c r="U2357" s="23">
        <v>615</v>
      </c>
      <c r="V2357" s="23"/>
      <c r="W2357" s="23"/>
      <c r="X2357" s="23"/>
      <c r="Y2357" s="23">
        <v>625</v>
      </c>
      <c r="Z2357" s="23"/>
      <c r="AA2357" s="23">
        <v>175</v>
      </c>
      <c r="AB2357" s="23"/>
      <c r="AC2357" s="23"/>
      <c r="AD2357" s="23"/>
      <c r="AE2357" s="23"/>
      <c r="AF2357" s="23">
        <v>75</v>
      </c>
      <c r="AG2357" s="23"/>
      <c r="AH2357" s="23">
        <v>20</v>
      </c>
      <c r="AI2357" s="23"/>
      <c r="AJ2357" s="23"/>
      <c r="AK2357" s="23">
        <v>2135</v>
      </c>
      <c r="AL2357" s="23"/>
      <c r="AM2357" s="23">
        <v>240</v>
      </c>
      <c r="AN2357" s="23"/>
      <c r="AO2357" s="23">
        <v>995</v>
      </c>
      <c r="AP2357" s="23">
        <v>95</v>
      </c>
      <c r="AQ2357" s="23"/>
      <c r="AR2357" s="23">
        <v>1065</v>
      </c>
      <c r="AS2357" s="23">
        <v>180</v>
      </c>
      <c r="AT2357" s="23">
        <v>135</v>
      </c>
      <c r="AU2357" s="14" t="str">
        <f>HYPERLINK("http://www.openstreetmap.org/?mlat=35.416&amp;mlon=44.4212&amp;zoom=12#map=12/35.416/44.4212","Maplink1")</f>
        <v>Maplink1</v>
      </c>
      <c r="AV2357" s="14" t="str">
        <f>HYPERLINK("https://www.google.iq/maps/search/+35.416,44.4212/@35.416,44.4212,14z?hl=en","Maplink2")</f>
        <v>Maplink2</v>
      </c>
      <c r="AW2357" s="14" t="str">
        <f>HYPERLINK("http://www.bing.com/maps/?lvl=14&amp;sty=h&amp;cp=35.416~44.4212&amp;sp=point.35.416_44.4212_Al-Qadisssiya (Rabareen)","Maplink3")</f>
        <v>Maplink3</v>
      </c>
    </row>
    <row r="2358" spans="1:49" ht="15" customHeight="1" x14ac:dyDescent="0.25">
      <c r="A2358" s="21">
        <v>15433</v>
      </c>
      <c r="B2358" s="22" t="s">
        <v>17</v>
      </c>
      <c r="C2358" s="22" t="s">
        <v>17</v>
      </c>
      <c r="D2358" s="22" t="s">
        <v>4533</v>
      </c>
      <c r="E2358" s="22" t="s">
        <v>4534</v>
      </c>
      <c r="F2358" s="22">
        <v>35.503444000000002</v>
      </c>
      <c r="G2358" s="22">
        <v>44.333193999999999</v>
      </c>
      <c r="H2358" s="21" t="s">
        <v>4367</v>
      </c>
      <c r="I2358" s="21" t="s">
        <v>4521</v>
      </c>
      <c r="J2358" s="21" t="s">
        <v>4535</v>
      </c>
      <c r="K2358" s="24">
        <v>1838</v>
      </c>
      <c r="L2358" s="24">
        <v>11028</v>
      </c>
      <c r="M2358" s="23">
        <v>198</v>
      </c>
      <c r="N2358" s="23"/>
      <c r="O2358" s="23">
        <v>25</v>
      </c>
      <c r="P2358" s="23"/>
      <c r="Q2358" s="23"/>
      <c r="R2358" s="23"/>
      <c r="S2358" s="23"/>
      <c r="T2358" s="23"/>
      <c r="U2358" s="23">
        <v>1225</v>
      </c>
      <c r="V2358" s="23"/>
      <c r="W2358" s="23"/>
      <c r="X2358" s="23"/>
      <c r="Y2358" s="23">
        <v>335</v>
      </c>
      <c r="Z2358" s="23"/>
      <c r="AA2358" s="23">
        <v>55</v>
      </c>
      <c r="AB2358" s="23"/>
      <c r="AC2358" s="23"/>
      <c r="AD2358" s="23"/>
      <c r="AE2358" s="23"/>
      <c r="AF2358" s="23">
        <v>88</v>
      </c>
      <c r="AG2358" s="23"/>
      <c r="AH2358" s="23"/>
      <c r="AI2358" s="23"/>
      <c r="AJ2358" s="23"/>
      <c r="AK2358" s="23">
        <v>1750</v>
      </c>
      <c r="AL2358" s="23"/>
      <c r="AM2358" s="23"/>
      <c r="AN2358" s="23"/>
      <c r="AO2358" s="23">
        <v>170</v>
      </c>
      <c r="AP2358" s="23">
        <v>80</v>
      </c>
      <c r="AQ2358" s="23">
        <v>268</v>
      </c>
      <c r="AR2358" s="23">
        <v>280</v>
      </c>
      <c r="AS2358" s="23">
        <v>570</v>
      </c>
      <c r="AT2358" s="23">
        <v>470</v>
      </c>
      <c r="AU2358" s="14" t="str">
        <f>HYPERLINK("http://www.openstreetmap.org/?mlat=35.5034&amp;mlon=44.3332&amp;zoom=12#map=12/35.5034/44.3332","Maplink1")</f>
        <v>Maplink1</v>
      </c>
      <c r="AV2358" s="14" t="str">
        <f>HYPERLINK("https://www.google.iq/maps/search/+35.5034,44.3332/@35.5034,44.3332,14z?hl=en","Maplink2")</f>
        <v>Maplink2</v>
      </c>
      <c r="AW2358" s="14" t="str">
        <f>HYPERLINK("http://www.bing.com/maps/?lvl=14&amp;sty=h&amp;cp=35.5034~44.3332&amp;sp=point.35.5034_44.3332_Amal al shaabi","Maplink3")</f>
        <v>Maplink3</v>
      </c>
    </row>
    <row r="2359" spans="1:49" ht="15" customHeight="1" x14ac:dyDescent="0.25">
      <c r="A2359" s="21">
        <v>24807</v>
      </c>
      <c r="B2359" s="22" t="s">
        <v>17</v>
      </c>
      <c r="C2359" s="22" t="s">
        <v>17</v>
      </c>
      <c r="D2359" s="22" t="s">
        <v>4536</v>
      </c>
      <c r="E2359" s="22" t="s">
        <v>4537</v>
      </c>
      <c r="F2359" s="22">
        <v>35.463932999999997</v>
      </c>
      <c r="G2359" s="22">
        <v>44.381559000000003</v>
      </c>
      <c r="H2359" s="21" t="s">
        <v>4367</v>
      </c>
      <c r="I2359" s="21" t="s">
        <v>4521</v>
      </c>
      <c r="J2359" s="21"/>
      <c r="K2359" s="24">
        <v>235</v>
      </c>
      <c r="L2359" s="24">
        <v>1410</v>
      </c>
      <c r="M2359" s="23">
        <v>95</v>
      </c>
      <c r="N2359" s="23"/>
      <c r="O2359" s="23"/>
      <c r="P2359" s="23"/>
      <c r="Q2359" s="23"/>
      <c r="R2359" s="23"/>
      <c r="S2359" s="23"/>
      <c r="T2359" s="23"/>
      <c r="U2359" s="23">
        <v>75</v>
      </c>
      <c r="V2359" s="23"/>
      <c r="W2359" s="23"/>
      <c r="X2359" s="23"/>
      <c r="Y2359" s="23">
        <v>40</v>
      </c>
      <c r="Z2359" s="23"/>
      <c r="AA2359" s="23">
        <v>25</v>
      </c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>
        <v>235</v>
      </c>
      <c r="AL2359" s="23"/>
      <c r="AM2359" s="23"/>
      <c r="AN2359" s="23"/>
      <c r="AO2359" s="23"/>
      <c r="AP2359" s="23"/>
      <c r="AQ2359" s="23">
        <v>30</v>
      </c>
      <c r="AR2359" s="23">
        <v>50</v>
      </c>
      <c r="AS2359" s="23">
        <v>105</v>
      </c>
      <c r="AT2359" s="23">
        <v>50</v>
      </c>
      <c r="AU2359" s="14" t="str">
        <f>HYPERLINK("http://www.openstreetmap.org/?mlat=35.4639&amp;mlon=44.3816&amp;zoom=12#map=12/35.4639/44.3816","Maplink1")</f>
        <v>Maplink1</v>
      </c>
      <c r="AV2359" s="14" t="str">
        <f>HYPERLINK("https://www.google.iq/maps/search/+35.4639,44.3816/@35.4639,44.3816,14z?hl=en","Maplink2")</f>
        <v>Maplink2</v>
      </c>
      <c r="AW2359" s="14" t="str">
        <f>HYPERLINK("http://www.bing.com/maps/?lvl=14&amp;sty=h&amp;cp=35.4639~44.3816&amp;sp=point.35.4639_44.3816_Baglar","Maplink3")</f>
        <v>Maplink3</v>
      </c>
    </row>
    <row r="2360" spans="1:49" ht="15" customHeight="1" x14ac:dyDescent="0.25">
      <c r="A2360" s="21">
        <v>15449</v>
      </c>
      <c r="B2360" s="22" t="s">
        <v>17</v>
      </c>
      <c r="C2360" s="22" t="s">
        <v>17</v>
      </c>
      <c r="D2360" s="22" t="s">
        <v>4538</v>
      </c>
      <c r="E2360" s="22" t="s">
        <v>4539</v>
      </c>
      <c r="F2360" s="22">
        <v>35.539777999999998</v>
      </c>
      <c r="G2360" s="22">
        <v>44.282111</v>
      </c>
      <c r="H2360" s="21" t="s">
        <v>4367</v>
      </c>
      <c r="I2360" s="21" t="s">
        <v>4521</v>
      </c>
      <c r="J2360" s="21" t="s">
        <v>4540</v>
      </c>
      <c r="K2360" s="24">
        <v>200</v>
      </c>
      <c r="L2360" s="24">
        <v>1200</v>
      </c>
      <c r="M2360" s="23"/>
      <c r="N2360" s="23"/>
      <c r="O2360" s="23"/>
      <c r="P2360" s="23"/>
      <c r="Q2360" s="23"/>
      <c r="R2360" s="23">
        <v>20</v>
      </c>
      <c r="S2360" s="23"/>
      <c r="T2360" s="23"/>
      <c r="U2360" s="23">
        <v>105</v>
      </c>
      <c r="V2360" s="23"/>
      <c r="W2360" s="23"/>
      <c r="X2360" s="23"/>
      <c r="Y2360" s="23">
        <v>35</v>
      </c>
      <c r="Z2360" s="23"/>
      <c r="AA2360" s="23">
        <v>40</v>
      </c>
      <c r="AB2360" s="23"/>
      <c r="AC2360" s="23"/>
      <c r="AD2360" s="23"/>
      <c r="AE2360" s="23"/>
      <c r="AF2360" s="23">
        <v>15</v>
      </c>
      <c r="AG2360" s="23"/>
      <c r="AH2360" s="23"/>
      <c r="AI2360" s="23"/>
      <c r="AJ2360" s="23"/>
      <c r="AK2360" s="23">
        <v>165</v>
      </c>
      <c r="AL2360" s="23"/>
      <c r="AM2360" s="23">
        <v>20</v>
      </c>
      <c r="AN2360" s="23"/>
      <c r="AO2360" s="23"/>
      <c r="AP2360" s="23"/>
      <c r="AQ2360" s="23"/>
      <c r="AR2360" s="23">
        <v>190</v>
      </c>
      <c r="AS2360" s="23">
        <v>10</v>
      </c>
      <c r="AT2360" s="23"/>
      <c r="AU2360" s="14" t="str">
        <f>HYPERLINK("http://www.openstreetmap.org/?mlat=35.5398&amp;mlon=44.2821&amp;zoom=12#map=12/35.5398/44.2821","Maplink1")</f>
        <v>Maplink1</v>
      </c>
      <c r="AV2360" s="14" t="str">
        <f>HYPERLINK("https://www.google.iq/maps/search/+35.5398,44.2821/@35.5398,44.2821,14z?hl=en","Maplink2")</f>
        <v>Maplink2</v>
      </c>
      <c r="AW2360" s="14" t="str">
        <f>HYPERLINK("http://www.bing.com/maps/?lvl=14&amp;sty=h&amp;cp=35.5398~44.2821&amp;sp=point.35.5398_44.2821_Bajwan","Maplink3")</f>
        <v>Maplink3</v>
      </c>
    </row>
    <row r="2361" spans="1:49" ht="15" customHeight="1" x14ac:dyDescent="0.25">
      <c r="A2361" s="21">
        <v>22847</v>
      </c>
      <c r="B2361" s="22" t="s">
        <v>17</v>
      </c>
      <c r="C2361" s="22" t="s">
        <v>17</v>
      </c>
      <c r="D2361" s="22" t="s">
        <v>4541</v>
      </c>
      <c r="E2361" s="22" t="s">
        <v>4542</v>
      </c>
      <c r="F2361" s="22">
        <v>35.233699999999999</v>
      </c>
      <c r="G2361" s="22">
        <v>44.184399999999997</v>
      </c>
      <c r="H2361" s="21" t="s">
        <v>4367</v>
      </c>
      <c r="I2361" s="21" t="s">
        <v>4521</v>
      </c>
      <c r="J2361" s="21" t="s">
        <v>4543</v>
      </c>
      <c r="K2361" s="24">
        <v>150</v>
      </c>
      <c r="L2361" s="24">
        <v>900</v>
      </c>
      <c r="M2361" s="23">
        <v>10</v>
      </c>
      <c r="N2361" s="23"/>
      <c r="O2361" s="23"/>
      <c r="P2361" s="23"/>
      <c r="Q2361" s="23"/>
      <c r="R2361" s="23">
        <v>3</v>
      </c>
      <c r="S2361" s="23"/>
      <c r="T2361" s="23"/>
      <c r="U2361" s="23">
        <v>112</v>
      </c>
      <c r="V2361" s="23"/>
      <c r="W2361" s="23"/>
      <c r="X2361" s="23"/>
      <c r="Y2361" s="23">
        <v>5</v>
      </c>
      <c r="Z2361" s="23"/>
      <c r="AA2361" s="23">
        <v>20</v>
      </c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>
        <v>92</v>
      </c>
      <c r="AL2361" s="23"/>
      <c r="AM2361" s="23">
        <v>58</v>
      </c>
      <c r="AN2361" s="23"/>
      <c r="AO2361" s="23">
        <v>13</v>
      </c>
      <c r="AP2361" s="23">
        <v>22</v>
      </c>
      <c r="AQ2361" s="23">
        <v>45</v>
      </c>
      <c r="AR2361" s="23"/>
      <c r="AS2361" s="23">
        <v>50</v>
      </c>
      <c r="AT2361" s="23">
        <v>20</v>
      </c>
      <c r="AU2361" s="14" t="str">
        <f>HYPERLINK("http://www.openstreetmap.org/?mlat=35.7527&amp;mlon=44.5303&amp;zoom=12#map=12/35.7527/44.5303","Maplink1")</f>
        <v>Maplink1</v>
      </c>
      <c r="AV2361" s="14" t="str">
        <f>HYPERLINK("https://www.google.iq/maps/search/+35.7527,44.5303/@35.7527,44.5303,14z?hl=en","Maplink2")</f>
        <v>Maplink2</v>
      </c>
      <c r="AW2361" s="14" t="str">
        <f>HYPERLINK("http://www.bing.com/maps/?lvl=14&amp;sty=h&amp;cp=35.7527~44.5303&amp;sp=point.35.7527_44.5303_Al Angaa","Maplink3")</f>
        <v>Maplink3</v>
      </c>
    </row>
    <row r="2362" spans="1:49" ht="15" customHeight="1" x14ac:dyDescent="0.25">
      <c r="A2362" s="21">
        <v>25556</v>
      </c>
      <c r="B2362" s="22" t="s">
        <v>17</v>
      </c>
      <c r="C2362" s="22" t="s">
        <v>17</v>
      </c>
      <c r="D2362" s="22" t="s">
        <v>4544</v>
      </c>
      <c r="E2362" s="22" t="s">
        <v>4545</v>
      </c>
      <c r="F2362" s="22">
        <v>35.481923999999999</v>
      </c>
      <c r="G2362" s="22">
        <v>44.420259999999999</v>
      </c>
      <c r="H2362" s="21" t="s">
        <v>4367</v>
      </c>
      <c r="I2362" s="21" t="s">
        <v>4521</v>
      </c>
      <c r="J2362" s="21"/>
      <c r="K2362" s="24">
        <v>570</v>
      </c>
      <c r="L2362" s="24">
        <v>3420</v>
      </c>
      <c r="M2362" s="23">
        <v>65</v>
      </c>
      <c r="N2362" s="23"/>
      <c r="O2362" s="23"/>
      <c r="P2362" s="23"/>
      <c r="Q2362" s="23"/>
      <c r="R2362" s="23"/>
      <c r="S2362" s="23"/>
      <c r="T2362" s="23"/>
      <c r="U2362" s="23">
        <v>200</v>
      </c>
      <c r="V2362" s="23"/>
      <c r="W2362" s="23"/>
      <c r="X2362" s="23"/>
      <c r="Y2362" s="23">
        <v>10</v>
      </c>
      <c r="Z2362" s="23"/>
      <c r="AA2362" s="23">
        <v>295</v>
      </c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>
        <v>570</v>
      </c>
      <c r="AL2362" s="23"/>
      <c r="AM2362" s="23"/>
      <c r="AN2362" s="23"/>
      <c r="AO2362" s="23">
        <v>40</v>
      </c>
      <c r="AP2362" s="23">
        <v>250</v>
      </c>
      <c r="AQ2362" s="23"/>
      <c r="AR2362" s="23">
        <v>10</v>
      </c>
      <c r="AS2362" s="23">
        <v>110</v>
      </c>
      <c r="AT2362" s="23">
        <v>160</v>
      </c>
      <c r="AU2362" s="14" t="str">
        <f>HYPERLINK("http://www.openstreetmap.org/?mlat=35.4819&amp;mlon=44.4203&amp;zoom=12#map=12/35.4819/44.4203","Maplink1")</f>
        <v>Maplink1</v>
      </c>
      <c r="AV2362" s="14" t="str">
        <f>HYPERLINK("https://www.google.iq/maps/search/+35.4819,44.4203/@35.4819,44.4203,14z?hl=en","Maplink2")</f>
        <v>Maplink2</v>
      </c>
      <c r="AW2362" s="14" t="str">
        <f>HYPERLINK("http://www.bing.com/maps/?lvl=14&amp;sty=h&amp;cp=35.4819~44.4203&amp;sp=point.35.4819_44.4203_Darwaza","Maplink3")</f>
        <v>Maplink3</v>
      </c>
    </row>
    <row r="2363" spans="1:49" ht="15" customHeight="1" x14ac:dyDescent="0.25">
      <c r="A2363" s="21">
        <v>15603</v>
      </c>
      <c r="B2363" s="22" t="s">
        <v>17</v>
      </c>
      <c r="C2363" s="22" t="s">
        <v>17</v>
      </c>
      <c r="D2363" s="22" t="s">
        <v>4546</v>
      </c>
      <c r="E2363" s="22" t="s">
        <v>4547</v>
      </c>
      <c r="F2363" s="22">
        <v>35.397255000000001</v>
      </c>
      <c r="G2363" s="22">
        <v>44.363176000000003</v>
      </c>
      <c r="H2363" s="21" t="s">
        <v>4367</v>
      </c>
      <c r="I2363" s="21" t="s">
        <v>4521</v>
      </c>
      <c r="J2363" s="21" t="s">
        <v>4548</v>
      </c>
      <c r="K2363" s="24">
        <v>435</v>
      </c>
      <c r="L2363" s="24">
        <v>2610</v>
      </c>
      <c r="M2363" s="23">
        <v>190</v>
      </c>
      <c r="N2363" s="23"/>
      <c r="O2363" s="23"/>
      <c r="P2363" s="23"/>
      <c r="Q2363" s="23"/>
      <c r="R2363" s="23"/>
      <c r="S2363" s="23"/>
      <c r="T2363" s="23"/>
      <c r="U2363" s="23">
        <v>210</v>
      </c>
      <c r="V2363" s="23"/>
      <c r="W2363" s="23"/>
      <c r="X2363" s="23"/>
      <c r="Y2363" s="23">
        <v>15</v>
      </c>
      <c r="Z2363" s="23"/>
      <c r="AA2363" s="23">
        <v>20</v>
      </c>
      <c r="AB2363" s="23"/>
      <c r="AC2363" s="23"/>
      <c r="AD2363" s="23"/>
      <c r="AE2363" s="23"/>
      <c r="AF2363" s="23">
        <v>40</v>
      </c>
      <c r="AG2363" s="23"/>
      <c r="AH2363" s="23"/>
      <c r="AI2363" s="23"/>
      <c r="AJ2363" s="23"/>
      <c r="AK2363" s="23">
        <v>395</v>
      </c>
      <c r="AL2363" s="23"/>
      <c r="AM2363" s="23"/>
      <c r="AN2363" s="23"/>
      <c r="AO2363" s="23"/>
      <c r="AP2363" s="23">
        <v>207</v>
      </c>
      <c r="AQ2363" s="23"/>
      <c r="AR2363" s="23">
        <v>15</v>
      </c>
      <c r="AS2363" s="23">
        <v>160</v>
      </c>
      <c r="AT2363" s="23">
        <v>53</v>
      </c>
      <c r="AU2363" s="14" t="str">
        <f>HYPERLINK("http://www.openstreetmap.org/?mlat=35.3973&amp;mlon=44.3632&amp;zoom=12#map=12/35.3973/44.3632","Maplink1")</f>
        <v>Maplink1</v>
      </c>
      <c r="AV2363" s="14" t="str">
        <f>HYPERLINK("https://www.google.iq/maps/search/+35.3973,44.3632/@35.3973,44.3632,14z?hl=en","Maplink2")</f>
        <v>Maplink2</v>
      </c>
      <c r="AW2363" s="14" t="str">
        <f>HYPERLINK("http://www.bing.com/maps/?lvl=14&amp;sty=h&amp;cp=35.3973~44.3632&amp;sp=point.35.3973_44.3632_Hay 1 Athar","Maplink3")</f>
        <v>Maplink3</v>
      </c>
    </row>
    <row r="2364" spans="1:49" ht="15" customHeight="1" x14ac:dyDescent="0.25">
      <c r="A2364" s="21">
        <v>15624</v>
      </c>
      <c r="B2364" s="22" t="s">
        <v>17</v>
      </c>
      <c r="C2364" s="22" t="s">
        <v>17</v>
      </c>
      <c r="D2364" s="22" t="s">
        <v>4549</v>
      </c>
      <c r="E2364" s="22" t="s">
        <v>4550</v>
      </c>
      <c r="F2364" s="22">
        <v>35.417437</v>
      </c>
      <c r="G2364" s="22">
        <v>44.373384000000001</v>
      </c>
      <c r="H2364" s="21" t="s">
        <v>4367</v>
      </c>
      <c r="I2364" s="21" t="s">
        <v>4521</v>
      </c>
      <c r="J2364" s="21" t="s">
        <v>4551</v>
      </c>
      <c r="K2364" s="24">
        <v>368</v>
      </c>
      <c r="L2364" s="24">
        <v>2208</v>
      </c>
      <c r="M2364" s="23">
        <v>98</v>
      </c>
      <c r="N2364" s="23"/>
      <c r="O2364" s="23"/>
      <c r="P2364" s="23"/>
      <c r="Q2364" s="23"/>
      <c r="R2364" s="23"/>
      <c r="S2364" s="23"/>
      <c r="T2364" s="23"/>
      <c r="U2364" s="23">
        <v>211</v>
      </c>
      <c r="V2364" s="23"/>
      <c r="W2364" s="23"/>
      <c r="X2364" s="23"/>
      <c r="Y2364" s="23">
        <v>3</v>
      </c>
      <c r="Z2364" s="23"/>
      <c r="AA2364" s="23">
        <v>56</v>
      </c>
      <c r="AB2364" s="23"/>
      <c r="AC2364" s="23"/>
      <c r="AD2364" s="23"/>
      <c r="AE2364" s="23"/>
      <c r="AF2364" s="23">
        <v>13</v>
      </c>
      <c r="AG2364" s="23"/>
      <c r="AH2364" s="23"/>
      <c r="AI2364" s="23"/>
      <c r="AJ2364" s="23"/>
      <c r="AK2364" s="23">
        <v>355</v>
      </c>
      <c r="AL2364" s="23"/>
      <c r="AM2364" s="23"/>
      <c r="AN2364" s="23"/>
      <c r="AO2364" s="23"/>
      <c r="AP2364" s="23">
        <v>52</v>
      </c>
      <c r="AQ2364" s="23">
        <v>46</v>
      </c>
      <c r="AR2364" s="23">
        <v>80</v>
      </c>
      <c r="AS2364" s="23">
        <v>125</v>
      </c>
      <c r="AT2364" s="23">
        <v>65</v>
      </c>
      <c r="AU2364" s="14" t="str">
        <f>HYPERLINK("http://www.openstreetmap.org/?mlat=35.4174&amp;mlon=44.3734&amp;zoom=12#map=12/35.4174/44.3734","Maplink1")</f>
        <v>Maplink1</v>
      </c>
      <c r="AV2364" s="14" t="str">
        <f>HYPERLINK("https://www.google.iq/maps/search/+35.4174,44.3734/@35.4174,44.3734,14z?hl=en","Maplink2")</f>
        <v>Maplink2</v>
      </c>
      <c r="AW2364" s="14" t="str">
        <f>HYPERLINK("http://www.bing.com/maps/?lvl=14&amp;sty=h&amp;cp=35.4174~44.3734&amp;sp=point.35.4174_44.3734_Hay Adan","Maplink3")</f>
        <v>Maplink3</v>
      </c>
    </row>
    <row r="2365" spans="1:49" ht="15" customHeight="1" x14ac:dyDescent="0.25">
      <c r="A2365" s="21">
        <v>24779</v>
      </c>
      <c r="B2365" s="22" t="s">
        <v>17</v>
      </c>
      <c r="C2365" s="22" t="s">
        <v>17</v>
      </c>
      <c r="D2365" s="22" t="s">
        <v>4552</v>
      </c>
      <c r="E2365" s="22" t="s">
        <v>4553</v>
      </c>
      <c r="F2365" s="22">
        <v>35.450612999999997</v>
      </c>
      <c r="G2365" s="22">
        <v>44.371248000000001</v>
      </c>
      <c r="H2365" s="21" t="s">
        <v>4367</v>
      </c>
      <c r="I2365" s="21" t="s">
        <v>4521</v>
      </c>
      <c r="J2365" s="21"/>
      <c r="K2365" s="24">
        <v>200</v>
      </c>
      <c r="L2365" s="24">
        <v>1200</v>
      </c>
      <c r="M2365" s="23">
        <v>45</v>
      </c>
      <c r="N2365" s="23"/>
      <c r="O2365" s="23"/>
      <c r="P2365" s="23"/>
      <c r="Q2365" s="23"/>
      <c r="R2365" s="23"/>
      <c r="S2365" s="23"/>
      <c r="T2365" s="23"/>
      <c r="U2365" s="23">
        <v>30</v>
      </c>
      <c r="V2365" s="23"/>
      <c r="W2365" s="23"/>
      <c r="X2365" s="23"/>
      <c r="Y2365" s="23">
        <v>110</v>
      </c>
      <c r="Z2365" s="23"/>
      <c r="AA2365" s="23">
        <v>15</v>
      </c>
      <c r="AB2365" s="23"/>
      <c r="AC2365" s="23"/>
      <c r="AD2365" s="23"/>
      <c r="AE2365" s="23"/>
      <c r="AF2365" s="23">
        <v>10</v>
      </c>
      <c r="AG2365" s="23"/>
      <c r="AH2365" s="23"/>
      <c r="AI2365" s="23"/>
      <c r="AJ2365" s="23"/>
      <c r="AK2365" s="23">
        <v>160</v>
      </c>
      <c r="AL2365" s="23"/>
      <c r="AM2365" s="23">
        <v>30</v>
      </c>
      <c r="AN2365" s="23"/>
      <c r="AO2365" s="23"/>
      <c r="AP2365" s="23">
        <v>50</v>
      </c>
      <c r="AQ2365" s="23">
        <v>110</v>
      </c>
      <c r="AR2365" s="23"/>
      <c r="AS2365" s="23">
        <v>25</v>
      </c>
      <c r="AT2365" s="23">
        <v>15</v>
      </c>
      <c r="AU2365" s="14" t="str">
        <f>HYPERLINK("http://www.openstreetmap.org/?mlat=35.4506&amp;mlon=44.3712&amp;zoom=12#map=12/35.4506/44.3712","Maplink1")</f>
        <v>Maplink1</v>
      </c>
      <c r="AV2365" s="14" t="str">
        <f>HYPERLINK("https://www.google.iq/maps/search/+35.4506,44.3712/@35.4506,44.3712,14z?hl=en","Maplink2")</f>
        <v>Maplink2</v>
      </c>
      <c r="AW2365" s="14" t="str">
        <f>HYPERLINK("http://www.bing.com/maps/?lvl=14&amp;sty=h&amp;cp=35.4506~44.3712&amp;sp=point.35.4506_44.3712_Hay Al Hamzali","Maplink3")</f>
        <v>Maplink3</v>
      </c>
    </row>
    <row r="2366" spans="1:49" ht="15" customHeight="1" x14ac:dyDescent="0.25">
      <c r="A2366" s="21">
        <v>22296</v>
      </c>
      <c r="B2366" s="22" t="s">
        <v>17</v>
      </c>
      <c r="C2366" s="22" t="s">
        <v>17</v>
      </c>
      <c r="D2366" s="22" t="s">
        <v>4554</v>
      </c>
      <c r="E2366" s="22" t="s">
        <v>8046</v>
      </c>
      <c r="F2366" s="22">
        <v>35.405277779999999</v>
      </c>
      <c r="G2366" s="22">
        <v>44.35166667</v>
      </c>
      <c r="H2366" s="21" t="s">
        <v>4367</v>
      </c>
      <c r="I2366" s="21" t="s">
        <v>4521</v>
      </c>
      <c r="J2366" s="21" t="s">
        <v>4555</v>
      </c>
      <c r="K2366" s="24">
        <v>5490</v>
      </c>
      <c r="L2366" s="24">
        <v>32940</v>
      </c>
      <c r="M2366" s="23">
        <v>2710</v>
      </c>
      <c r="N2366" s="23"/>
      <c r="O2366" s="23"/>
      <c r="P2366" s="23"/>
      <c r="Q2366" s="23"/>
      <c r="R2366" s="23">
        <v>210</v>
      </c>
      <c r="S2366" s="23"/>
      <c r="T2366" s="23"/>
      <c r="U2366" s="23">
        <v>1990</v>
      </c>
      <c r="V2366" s="23"/>
      <c r="W2366" s="23"/>
      <c r="X2366" s="23"/>
      <c r="Y2366" s="23">
        <v>410</v>
      </c>
      <c r="Z2366" s="23"/>
      <c r="AA2366" s="23">
        <v>170</v>
      </c>
      <c r="AB2366" s="23"/>
      <c r="AC2366" s="23"/>
      <c r="AD2366" s="23"/>
      <c r="AE2366" s="23"/>
      <c r="AF2366" s="23">
        <v>60</v>
      </c>
      <c r="AG2366" s="23"/>
      <c r="AH2366" s="23">
        <v>150</v>
      </c>
      <c r="AI2366" s="23"/>
      <c r="AJ2366" s="23"/>
      <c r="AK2366" s="23">
        <v>4760</v>
      </c>
      <c r="AL2366" s="23"/>
      <c r="AM2366" s="23">
        <v>520</v>
      </c>
      <c r="AN2366" s="23"/>
      <c r="AO2366" s="23">
        <v>1510</v>
      </c>
      <c r="AP2366" s="23">
        <v>1860</v>
      </c>
      <c r="AQ2366" s="23">
        <v>590</v>
      </c>
      <c r="AR2366" s="23">
        <v>850</v>
      </c>
      <c r="AS2366" s="23">
        <v>630</v>
      </c>
      <c r="AT2366" s="23">
        <v>50</v>
      </c>
      <c r="AU2366" s="14" t="str">
        <f>HYPERLINK("http://www.openstreetmap.org/?mlat=35.4053&amp;mlon=44.3517&amp;zoom=12#map=12/35.4053/44.3517","Maplink1")</f>
        <v>Maplink1</v>
      </c>
      <c r="AV2366" s="14" t="str">
        <f>HYPERLINK("https://www.google.iq/maps/search/+35.4053,44.3517/@35.4053,44.3517,14z?hl=en","Maplink2")</f>
        <v>Maplink2</v>
      </c>
      <c r="AW2366" s="14" t="str">
        <f>HYPERLINK("http://www.bing.com/maps/?lvl=14&amp;sty=h&amp;cp=35.4053~44.3517&amp;sp=point.35.4053_44.3517_Hay Al Jamia-Mahalla 622","Maplink3")</f>
        <v>Maplink3</v>
      </c>
    </row>
    <row r="2367" spans="1:49" ht="15" customHeight="1" x14ac:dyDescent="0.25">
      <c r="A2367" s="21">
        <v>24089</v>
      </c>
      <c r="B2367" s="22" t="s">
        <v>17</v>
      </c>
      <c r="C2367" s="22" t="s">
        <v>17</v>
      </c>
      <c r="D2367" s="22" t="s">
        <v>4556</v>
      </c>
      <c r="E2367" s="22" t="s">
        <v>4557</v>
      </c>
      <c r="F2367" s="22">
        <v>35.433774999999997</v>
      </c>
      <c r="G2367" s="22">
        <v>44.350485999999997</v>
      </c>
      <c r="H2367" s="21" t="s">
        <v>4367</v>
      </c>
      <c r="I2367" s="21" t="s">
        <v>4521</v>
      </c>
      <c r="J2367" s="21" t="s">
        <v>4558</v>
      </c>
      <c r="K2367" s="24">
        <v>360</v>
      </c>
      <c r="L2367" s="24">
        <v>2160</v>
      </c>
      <c r="M2367" s="23">
        <v>90</v>
      </c>
      <c r="N2367" s="23"/>
      <c r="O2367" s="23">
        <v>20</v>
      </c>
      <c r="P2367" s="23"/>
      <c r="Q2367" s="23"/>
      <c r="R2367" s="23"/>
      <c r="S2367" s="23"/>
      <c r="T2367" s="23"/>
      <c r="U2367" s="23">
        <v>135</v>
      </c>
      <c r="V2367" s="23"/>
      <c r="W2367" s="23"/>
      <c r="X2367" s="23"/>
      <c r="Y2367" s="23">
        <v>55</v>
      </c>
      <c r="Z2367" s="23"/>
      <c r="AA2367" s="23">
        <v>60</v>
      </c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>
        <v>360</v>
      </c>
      <c r="AL2367" s="23"/>
      <c r="AM2367" s="23"/>
      <c r="AN2367" s="23"/>
      <c r="AO2367" s="23">
        <v>75</v>
      </c>
      <c r="AP2367" s="23">
        <v>120</v>
      </c>
      <c r="AQ2367" s="23">
        <v>75</v>
      </c>
      <c r="AR2367" s="23"/>
      <c r="AS2367" s="23">
        <v>55</v>
      </c>
      <c r="AT2367" s="23">
        <v>35</v>
      </c>
      <c r="AU2367" s="14" t="str">
        <f>HYPERLINK("http://www.openstreetmap.org/?mlat=35.4338&amp;mlon=44.3505&amp;zoom=12#map=12/35.4338/44.3505","Maplink1")</f>
        <v>Maplink1</v>
      </c>
      <c r="AV2367" s="14" t="str">
        <f>HYPERLINK("https://www.google.iq/maps/search/+35.4338,44.3505/@35.4338,44.3505,14z?hl=en","Maplink2")</f>
        <v>Maplink2</v>
      </c>
      <c r="AW2367" s="14" t="str">
        <f>HYPERLINK("http://www.bing.com/maps/?lvl=14&amp;sty=h&amp;cp=35.4338~44.3505&amp;sp=point.35.4338_44.3505_Hay Al Mansour","Maplink3")</f>
        <v>Maplink3</v>
      </c>
    </row>
    <row r="2368" spans="1:49" ht="15" customHeight="1" x14ac:dyDescent="0.25">
      <c r="A2368" s="21">
        <v>15582</v>
      </c>
      <c r="B2368" s="22" t="s">
        <v>17</v>
      </c>
      <c r="C2368" s="22" t="s">
        <v>17</v>
      </c>
      <c r="D2368" s="22" t="s">
        <v>4559</v>
      </c>
      <c r="E2368" s="22" t="s">
        <v>4560</v>
      </c>
      <c r="F2368" s="22">
        <v>35.478254999999997</v>
      </c>
      <c r="G2368" s="22">
        <v>44.383944</v>
      </c>
      <c r="H2368" s="21" t="s">
        <v>4367</v>
      </c>
      <c r="I2368" s="21" t="s">
        <v>4521</v>
      </c>
      <c r="J2368" s="21" t="s">
        <v>4561</v>
      </c>
      <c r="K2368" s="24">
        <v>435</v>
      </c>
      <c r="L2368" s="24">
        <v>2610</v>
      </c>
      <c r="M2368" s="23">
        <v>80</v>
      </c>
      <c r="N2368" s="23"/>
      <c r="O2368" s="23"/>
      <c r="P2368" s="23"/>
      <c r="Q2368" s="23"/>
      <c r="R2368" s="23"/>
      <c r="S2368" s="23"/>
      <c r="T2368" s="23"/>
      <c r="U2368" s="23">
        <v>190</v>
      </c>
      <c r="V2368" s="23"/>
      <c r="W2368" s="23"/>
      <c r="X2368" s="23"/>
      <c r="Y2368" s="23">
        <v>100</v>
      </c>
      <c r="Z2368" s="23"/>
      <c r="AA2368" s="23">
        <v>65</v>
      </c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>
        <v>435</v>
      </c>
      <c r="AL2368" s="23"/>
      <c r="AM2368" s="23"/>
      <c r="AN2368" s="23"/>
      <c r="AO2368" s="23"/>
      <c r="AP2368" s="23">
        <v>125</v>
      </c>
      <c r="AQ2368" s="23">
        <v>145</v>
      </c>
      <c r="AR2368" s="23"/>
      <c r="AS2368" s="23">
        <v>95</v>
      </c>
      <c r="AT2368" s="23">
        <v>70</v>
      </c>
      <c r="AU2368" s="14" t="str">
        <f>HYPERLINK("http://www.openstreetmap.org/?mlat=35.4783&amp;mlon=44.3839&amp;zoom=12#map=12/35.4783/44.3839","Maplink1")</f>
        <v>Maplink1</v>
      </c>
      <c r="AV2368" s="14" t="str">
        <f>HYPERLINK("https://www.google.iq/maps/search/+35.4783,44.3839/@35.4783,44.3839,14z?hl=en","Maplink2")</f>
        <v>Maplink2</v>
      </c>
      <c r="AW2368" s="14" t="str">
        <f>HYPERLINK("http://www.bing.com/maps/?lvl=14&amp;sty=h&amp;cp=35.4783~44.3839&amp;sp=point.35.4783_44.3839_Hay Al mas","Maplink3")</f>
        <v>Maplink3</v>
      </c>
    </row>
    <row r="2369" spans="1:49" ht="15" customHeight="1" x14ac:dyDescent="0.25">
      <c r="A2369" s="21">
        <v>21016</v>
      </c>
      <c r="B2369" s="22" t="s">
        <v>17</v>
      </c>
      <c r="C2369" s="22" t="s">
        <v>17</v>
      </c>
      <c r="D2369" s="22" t="s">
        <v>4562</v>
      </c>
      <c r="E2369" s="22" t="s">
        <v>222</v>
      </c>
      <c r="F2369" s="22">
        <v>35.424351999999999</v>
      </c>
      <c r="G2369" s="22">
        <v>44.402636999999999</v>
      </c>
      <c r="H2369" s="21" t="s">
        <v>4367</v>
      </c>
      <c r="I2369" s="21" t="s">
        <v>4521</v>
      </c>
      <c r="J2369" s="21" t="s">
        <v>4563</v>
      </c>
      <c r="K2369" s="24">
        <v>1395</v>
      </c>
      <c r="L2369" s="24">
        <v>8370</v>
      </c>
      <c r="M2369" s="23">
        <v>850</v>
      </c>
      <c r="N2369" s="23"/>
      <c r="O2369" s="23"/>
      <c r="P2369" s="23"/>
      <c r="Q2369" s="23"/>
      <c r="R2369" s="23">
        <v>20</v>
      </c>
      <c r="S2369" s="23"/>
      <c r="T2369" s="23"/>
      <c r="U2369" s="23">
        <v>385</v>
      </c>
      <c r="V2369" s="23"/>
      <c r="W2369" s="23"/>
      <c r="X2369" s="23"/>
      <c r="Y2369" s="23">
        <v>90</v>
      </c>
      <c r="Z2369" s="23"/>
      <c r="AA2369" s="23">
        <v>50</v>
      </c>
      <c r="AB2369" s="23"/>
      <c r="AC2369" s="23"/>
      <c r="AD2369" s="23"/>
      <c r="AE2369" s="23"/>
      <c r="AF2369" s="23">
        <v>50</v>
      </c>
      <c r="AG2369" s="23"/>
      <c r="AH2369" s="23"/>
      <c r="AI2369" s="23"/>
      <c r="AJ2369" s="23"/>
      <c r="AK2369" s="23">
        <v>1310</v>
      </c>
      <c r="AL2369" s="23"/>
      <c r="AM2369" s="23">
        <v>35</v>
      </c>
      <c r="AN2369" s="23"/>
      <c r="AO2369" s="23">
        <v>820</v>
      </c>
      <c r="AP2369" s="23"/>
      <c r="AQ2369" s="23">
        <v>55</v>
      </c>
      <c r="AR2369" s="23">
        <v>280</v>
      </c>
      <c r="AS2369" s="23">
        <v>160</v>
      </c>
      <c r="AT2369" s="23">
        <v>80</v>
      </c>
      <c r="AU2369" s="14" t="str">
        <f>HYPERLINK("http://www.openstreetmap.org/?mlat=35.4244&amp;mlon=44.4026&amp;zoom=12#map=12/35.4244/44.4026","Maplink1")</f>
        <v>Maplink1</v>
      </c>
      <c r="AV2369" s="14" t="str">
        <f>HYPERLINK("https://www.google.iq/maps/search/+35.4244,44.4026/@35.4244,44.4026,14z?hl=en","Maplink2")</f>
        <v>Maplink2</v>
      </c>
      <c r="AW2369" s="14" t="str">
        <f>HYPERLINK("http://www.bing.com/maps/?lvl=14&amp;sty=h&amp;cp=35.4244~44.4026&amp;sp=point.35.4244_44.4026_Hay Al Nassir","Maplink3")</f>
        <v>Maplink3</v>
      </c>
    </row>
    <row r="2370" spans="1:49" ht="15" customHeight="1" x14ac:dyDescent="0.25">
      <c r="A2370" s="21">
        <v>24780</v>
      </c>
      <c r="B2370" s="22" t="s">
        <v>17</v>
      </c>
      <c r="C2370" s="22" t="s">
        <v>17</v>
      </c>
      <c r="D2370" s="22" t="s">
        <v>4564</v>
      </c>
      <c r="E2370" s="22" t="s">
        <v>114</v>
      </c>
      <c r="F2370" s="22">
        <v>35.424610000000001</v>
      </c>
      <c r="G2370" s="22">
        <v>44.350523000000003</v>
      </c>
      <c r="H2370" s="21" t="s">
        <v>4367</v>
      </c>
      <c r="I2370" s="21" t="s">
        <v>4521</v>
      </c>
      <c r="J2370" s="21"/>
      <c r="K2370" s="24">
        <v>805</v>
      </c>
      <c r="L2370" s="24">
        <v>4830</v>
      </c>
      <c r="M2370" s="23">
        <v>170</v>
      </c>
      <c r="N2370" s="23"/>
      <c r="O2370" s="23">
        <v>10</v>
      </c>
      <c r="P2370" s="23"/>
      <c r="Q2370" s="23"/>
      <c r="R2370" s="23">
        <v>10</v>
      </c>
      <c r="S2370" s="23"/>
      <c r="T2370" s="23"/>
      <c r="U2370" s="23">
        <v>240</v>
      </c>
      <c r="V2370" s="23"/>
      <c r="W2370" s="23"/>
      <c r="X2370" s="23"/>
      <c r="Y2370" s="23">
        <v>130</v>
      </c>
      <c r="Z2370" s="23"/>
      <c r="AA2370" s="23">
        <v>245</v>
      </c>
      <c r="AB2370" s="23"/>
      <c r="AC2370" s="23"/>
      <c r="AD2370" s="23"/>
      <c r="AE2370" s="23"/>
      <c r="AF2370" s="23">
        <v>20</v>
      </c>
      <c r="AG2370" s="23"/>
      <c r="AH2370" s="23"/>
      <c r="AI2370" s="23"/>
      <c r="AJ2370" s="23"/>
      <c r="AK2370" s="23">
        <v>775</v>
      </c>
      <c r="AL2370" s="23"/>
      <c r="AM2370" s="23">
        <v>10</v>
      </c>
      <c r="AN2370" s="23"/>
      <c r="AO2370" s="23">
        <v>75</v>
      </c>
      <c r="AP2370" s="23">
        <v>75</v>
      </c>
      <c r="AQ2370" s="23">
        <v>160</v>
      </c>
      <c r="AR2370" s="23">
        <v>180</v>
      </c>
      <c r="AS2370" s="23">
        <v>205</v>
      </c>
      <c r="AT2370" s="23">
        <v>110</v>
      </c>
      <c r="AU2370" s="14" t="str">
        <f>HYPERLINK("http://www.openstreetmap.org/?mlat=35.4246&amp;mlon=44.3505&amp;zoom=12#map=12/35.4246/44.3505","Maplink1")</f>
        <v>Maplink1</v>
      </c>
      <c r="AV2370" s="14" t="str">
        <f>HYPERLINK("https://www.google.iq/maps/search/+35.4246,44.3505/@35.4246,44.3505,14z?hl=en","Maplink2")</f>
        <v>Maplink2</v>
      </c>
      <c r="AW2370" s="14" t="str">
        <f>HYPERLINK("http://www.bing.com/maps/?lvl=14&amp;sty=h&amp;cp=35.4246~44.3505&amp;sp=point.35.4246_44.3505_Hay Al Sekak","Maplink3")</f>
        <v>Maplink3</v>
      </c>
    </row>
    <row r="2371" spans="1:49" ht="15" customHeight="1" x14ac:dyDescent="0.25">
      <c r="A2371" s="21">
        <v>23746</v>
      </c>
      <c r="B2371" s="22" t="s">
        <v>17</v>
      </c>
      <c r="C2371" s="22" t="s">
        <v>17</v>
      </c>
      <c r="D2371" s="22" t="s">
        <v>4565</v>
      </c>
      <c r="E2371" s="22" t="s">
        <v>120</v>
      </c>
      <c r="F2371" s="22">
        <v>35.411715999999998</v>
      </c>
      <c r="G2371" s="22">
        <v>44.394421000000001</v>
      </c>
      <c r="H2371" s="21" t="s">
        <v>4367</v>
      </c>
      <c r="I2371" s="21" t="s">
        <v>4521</v>
      </c>
      <c r="J2371" s="21" t="s">
        <v>4566</v>
      </c>
      <c r="K2371" s="24">
        <v>2895</v>
      </c>
      <c r="L2371" s="24">
        <v>17370</v>
      </c>
      <c r="M2371" s="23">
        <v>1685</v>
      </c>
      <c r="N2371" s="23">
        <v>30</v>
      </c>
      <c r="O2371" s="23"/>
      <c r="P2371" s="23"/>
      <c r="Q2371" s="23"/>
      <c r="R2371" s="23">
        <v>40</v>
      </c>
      <c r="S2371" s="23"/>
      <c r="T2371" s="23"/>
      <c r="U2371" s="23">
        <v>450</v>
      </c>
      <c r="V2371" s="23"/>
      <c r="W2371" s="23"/>
      <c r="X2371" s="23"/>
      <c r="Y2371" s="23">
        <v>185</v>
      </c>
      <c r="Z2371" s="23"/>
      <c r="AA2371" s="23">
        <v>505</v>
      </c>
      <c r="AB2371" s="23"/>
      <c r="AC2371" s="23"/>
      <c r="AD2371" s="23"/>
      <c r="AE2371" s="23"/>
      <c r="AF2371" s="23">
        <v>50</v>
      </c>
      <c r="AG2371" s="23"/>
      <c r="AH2371" s="23">
        <v>10</v>
      </c>
      <c r="AI2371" s="23"/>
      <c r="AJ2371" s="23"/>
      <c r="AK2371" s="23">
        <v>1945</v>
      </c>
      <c r="AL2371" s="23"/>
      <c r="AM2371" s="23">
        <v>890</v>
      </c>
      <c r="AN2371" s="23"/>
      <c r="AO2371" s="23">
        <v>1625</v>
      </c>
      <c r="AP2371" s="23">
        <v>440</v>
      </c>
      <c r="AQ2371" s="23">
        <v>50</v>
      </c>
      <c r="AR2371" s="23">
        <v>435</v>
      </c>
      <c r="AS2371" s="23">
        <v>235</v>
      </c>
      <c r="AT2371" s="23">
        <v>110</v>
      </c>
      <c r="AU2371" s="14" t="str">
        <f>HYPERLINK("http://www.openstreetmap.org/?mlat=35.4117&amp;mlon=44.3944&amp;zoom=12#map=12/35.4117/44.3944","Maplink1")</f>
        <v>Maplink1</v>
      </c>
      <c r="AV2371" s="14" t="str">
        <f>HYPERLINK("https://www.google.iq/maps/search/+35.4117,44.3944/@35.4117,44.3944,14z?hl=en","Maplink2")</f>
        <v>Maplink2</v>
      </c>
      <c r="AW2371" s="14" t="str">
        <f>HYPERLINK("http://www.bing.com/maps/?lvl=14&amp;sty=h&amp;cp=35.4117~44.3944&amp;sp=point.35.4117_44.3944_Hay Al-Askary","Maplink3")</f>
        <v>Maplink3</v>
      </c>
    </row>
    <row r="2372" spans="1:49" ht="15" customHeight="1" x14ac:dyDescent="0.25">
      <c r="A2372" s="21">
        <v>15578</v>
      </c>
      <c r="B2372" s="22" t="s">
        <v>17</v>
      </c>
      <c r="C2372" s="22" t="s">
        <v>17</v>
      </c>
      <c r="D2372" s="22" t="s">
        <v>4567</v>
      </c>
      <c r="E2372" s="22" t="s">
        <v>2702</v>
      </c>
      <c r="F2372" s="22">
        <v>35.435735999999999</v>
      </c>
      <c r="G2372" s="22">
        <v>44.355305000000001</v>
      </c>
      <c r="H2372" s="21" t="s">
        <v>4367</v>
      </c>
      <c r="I2372" s="21" t="s">
        <v>4521</v>
      </c>
      <c r="J2372" s="21" t="s">
        <v>4568</v>
      </c>
      <c r="K2372" s="24">
        <v>1400</v>
      </c>
      <c r="L2372" s="24">
        <v>8400</v>
      </c>
      <c r="M2372" s="23">
        <v>680</v>
      </c>
      <c r="N2372" s="23"/>
      <c r="O2372" s="23"/>
      <c r="P2372" s="23"/>
      <c r="Q2372" s="23"/>
      <c r="R2372" s="23"/>
      <c r="S2372" s="23"/>
      <c r="T2372" s="23"/>
      <c r="U2372" s="23">
        <v>315</v>
      </c>
      <c r="V2372" s="23"/>
      <c r="W2372" s="23"/>
      <c r="X2372" s="23"/>
      <c r="Y2372" s="23">
        <v>250</v>
      </c>
      <c r="Z2372" s="23"/>
      <c r="AA2372" s="23">
        <v>155</v>
      </c>
      <c r="AB2372" s="23"/>
      <c r="AC2372" s="23"/>
      <c r="AD2372" s="23"/>
      <c r="AE2372" s="23"/>
      <c r="AF2372" s="23">
        <v>45</v>
      </c>
      <c r="AG2372" s="23"/>
      <c r="AH2372" s="23"/>
      <c r="AI2372" s="23"/>
      <c r="AJ2372" s="23"/>
      <c r="AK2372" s="23">
        <v>1260</v>
      </c>
      <c r="AL2372" s="23"/>
      <c r="AM2372" s="23">
        <v>95</v>
      </c>
      <c r="AN2372" s="23"/>
      <c r="AO2372" s="23">
        <v>660</v>
      </c>
      <c r="AP2372" s="23">
        <v>145</v>
      </c>
      <c r="AQ2372" s="23">
        <v>230</v>
      </c>
      <c r="AR2372" s="23">
        <v>100</v>
      </c>
      <c r="AS2372" s="23">
        <v>195</v>
      </c>
      <c r="AT2372" s="23">
        <v>70</v>
      </c>
      <c r="AU2372" s="14" t="str">
        <f>HYPERLINK("http://www.openstreetmap.org/?mlat=35.4357&amp;mlon=44.3553&amp;zoom=12#map=12/35.4357/44.3553","Maplink1")</f>
        <v>Maplink1</v>
      </c>
      <c r="AV2372" s="14" t="str">
        <f>HYPERLINK("https://www.google.iq/maps/search/+35.4357,44.3553/@35.4357,44.3553,14z?hl=en","Maplink2")</f>
        <v>Maplink2</v>
      </c>
      <c r="AW2372" s="14" t="str">
        <f>HYPERLINK("http://www.bing.com/maps/?lvl=14&amp;sty=h&amp;cp=35.4357~44.3553&amp;sp=point.35.4357_44.3553_Hay Al-Khadraa","Maplink3")</f>
        <v>Maplink3</v>
      </c>
    </row>
    <row r="2373" spans="1:49" ht="15" customHeight="1" x14ac:dyDescent="0.25">
      <c r="A2373" s="21">
        <v>15650</v>
      </c>
      <c r="B2373" s="22" t="s">
        <v>17</v>
      </c>
      <c r="C2373" s="22" t="s">
        <v>17</v>
      </c>
      <c r="D2373" s="22" t="s">
        <v>4569</v>
      </c>
      <c r="E2373" s="22" t="s">
        <v>4570</v>
      </c>
      <c r="F2373" s="22">
        <v>35.426941999999997</v>
      </c>
      <c r="G2373" s="22">
        <v>44.416389000000002</v>
      </c>
      <c r="H2373" s="21" t="s">
        <v>4367</v>
      </c>
      <c r="I2373" s="21" t="s">
        <v>4521</v>
      </c>
      <c r="J2373" s="21" t="s">
        <v>4571</v>
      </c>
      <c r="K2373" s="24">
        <v>1110</v>
      </c>
      <c r="L2373" s="24">
        <v>6660</v>
      </c>
      <c r="M2373" s="23">
        <v>600</v>
      </c>
      <c r="N2373" s="23"/>
      <c r="O2373" s="23">
        <v>45</v>
      </c>
      <c r="P2373" s="23"/>
      <c r="Q2373" s="23"/>
      <c r="R2373" s="23"/>
      <c r="S2373" s="23"/>
      <c r="T2373" s="23"/>
      <c r="U2373" s="23">
        <v>255</v>
      </c>
      <c r="V2373" s="23"/>
      <c r="W2373" s="23"/>
      <c r="X2373" s="23"/>
      <c r="Y2373" s="23">
        <v>80</v>
      </c>
      <c r="Z2373" s="23"/>
      <c r="AA2373" s="23">
        <v>130</v>
      </c>
      <c r="AB2373" s="23"/>
      <c r="AC2373" s="23"/>
      <c r="AD2373" s="23"/>
      <c r="AE2373" s="23"/>
      <c r="AF2373" s="23">
        <v>10</v>
      </c>
      <c r="AG2373" s="23"/>
      <c r="AH2373" s="23"/>
      <c r="AI2373" s="23"/>
      <c r="AJ2373" s="23"/>
      <c r="AK2373" s="23">
        <v>1100</v>
      </c>
      <c r="AL2373" s="23"/>
      <c r="AM2373" s="23"/>
      <c r="AN2373" s="23"/>
      <c r="AO2373" s="23"/>
      <c r="AP2373" s="23">
        <v>505</v>
      </c>
      <c r="AQ2373" s="23">
        <v>250</v>
      </c>
      <c r="AR2373" s="23">
        <v>110</v>
      </c>
      <c r="AS2373" s="23">
        <v>200</v>
      </c>
      <c r="AT2373" s="23">
        <v>45</v>
      </c>
      <c r="AU2373" s="14" t="str">
        <f>HYPERLINK("http://www.openstreetmap.org/?mlat=35.4269&amp;mlon=44.4164&amp;zoom=12#map=12/35.4269/44.4164","Maplink1")</f>
        <v>Maplink1</v>
      </c>
      <c r="AV2373" s="14" t="str">
        <f>HYPERLINK("https://www.google.iq/maps/search/+35.4269,44.4164/@35.4269,44.4164,14z?hl=en","Maplink2")</f>
        <v>Maplink2</v>
      </c>
      <c r="AW2373" s="14" t="str">
        <f>HYPERLINK("http://www.bing.com/maps/?lvl=14&amp;sty=h&amp;cp=35.4269~44.4164&amp;sp=point.35.4269_44.4164_Hay Al-Nasir 2","Maplink3")</f>
        <v>Maplink3</v>
      </c>
    </row>
    <row r="2374" spans="1:49" ht="15" customHeight="1" x14ac:dyDescent="0.25">
      <c r="A2374" s="21">
        <v>15639</v>
      </c>
      <c r="B2374" s="22" t="s">
        <v>17</v>
      </c>
      <c r="C2374" s="22" t="s">
        <v>17</v>
      </c>
      <c r="D2374" s="22" t="s">
        <v>4572</v>
      </c>
      <c r="E2374" s="22" t="s">
        <v>4573</v>
      </c>
      <c r="F2374" s="22">
        <v>35.392359999999996</v>
      </c>
      <c r="G2374" s="22">
        <v>44.379083999999999</v>
      </c>
      <c r="H2374" s="21" t="s">
        <v>4367</v>
      </c>
      <c r="I2374" s="21" t="s">
        <v>4521</v>
      </c>
      <c r="J2374" s="21" t="s">
        <v>4574</v>
      </c>
      <c r="K2374" s="24">
        <v>1160</v>
      </c>
      <c r="L2374" s="24">
        <v>6960</v>
      </c>
      <c r="M2374" s="23">
        <v>460</v>
      </c>
      <c r="N2374" s="23"/>
      <c r="O2374" s="23"/>
      <c r="P2374" s="23"/>
      <c r="Q2374" s="23"/>
      <c r="R2374" s="23">
        <v>10</v>
      </c>
      <c r="S2374" s="23"/>
      <c r="T2374" s="23"/>
      <c r="U2374" s="23">
        <v>590</v>
      </c>
      <c r="V2374" s="23"/>
      <c r="W2374" s="23"/>
      <c r="X2374" s="23"/>
      <c r="Y2374" s="23">
        <v>20</v>
      </c>
      <c r="Z2374" s="23"/>
      <c r="AA2374" s="23">
        <v>80</v>
      </c>
      <c r="AB2374" s="23"/>
      <c r="AC2374" s="23"/>
      <c r="AD2374" s="23"/>
      <c r="AE2374" s="23"/>
      <c r="AF2374" s="23">
        <v>20</v>
      </c>
      <c r="AG2374" s="23"/>
      <c r="AH2374" s="23">
        <v>115</v>
      </c>
      <c r="AI2374" s="23"/>
      <c r="AJ2374" s="23">
        <v>5</v>
      </c>
      <c r="AK2374" s="23">
        <v>950</v>
      </c>
      <c r="AL2374" s="23"/>
      <c r="AM2374" s="23">
        <v>70</v>
      </c>
      <c r="AN2374" s="23"/>
      <c r="AO2374" s="23">
        <v>400</v>
      </c>
      <c r="AP2374" s="23">
        <v>90</v>
      </c>
      <c r="AQ2374" s="23">
        <v>137</v>
      </c>
      <c r="AR2374" s="23">
        <v>59</v>
      </c>
      <c r="AS2374" s="23">
        <v>379</v>
      </c>
      <c r="AT2374" s="23">
        <v>95</v>
      </c>
      <c r="AU2374" s="14" t="str">
        <f>HYPERLINK("http://www.openstreetmap.org/?mlat=35.3924&amp;mlon=44.3791&amp;zoom=12#map=12/35.3924/44.3791","Maplink1")</f>
        <v>Maplink1</v>
      </c>
      <c r="AV2374" s="14" t="str">
        <f>HYPERLINK("https://www.google.iq/maps/search/+35.3924,44.3791/@35.3924,44.3791,14z?hl=en","Maplink2")</f>
        <v>Maplink2</v>
      </c>
      <c r="AW2374" s="14" t="str">
        <f>HYPERLINK("http://www.bing.com/maps/?lvl=14&amp;sty=h&amp;cp=35.3924~44.3791&amp;sp=point.35.3924_44.3791_Hay Al-Nedaa","Maplink3")</f>
        <v>Maplink3</v>
      </c>
    </row>
    <row r="2375" spans="1:49" ht="15" customHeight="1" x14ac:dyDescent="0.25">
      <c r="A2375" s="21">
        <v>15658</v>
      </c>
      <c r="B2375" s="22" t="s">
        <v>17</v>
      </c>
      <c r="C2375" s="22" t="s">
        <v>17</v>
      </c>
      <c r="D2375" s="22" t="s">
        <v>649</v>
      </c>
      <c r="E2375" s="22" t="s">
        <v>132</v>
      </c>
      <c r="F2375" s="22">
        <v>35.775833329999998</v>
      </c>
      <c r="G2375" s="22">
        <v>44.576666670000002</v>
      </c>
      <c r="H2375" s="21" t="s">
        <v>4367</v>
      </c>
      <c r="I2375" s="21" t="s">
        <v>4521</v>
      </c>
      <c r="J2375" s="21" t="s">
        <v>4575</v>
      </c>
      <c r="K2375" s="24">
        <v>145</v>
      </c>
      <c r="L2375" s="24">
        <v>870</v>
      </c>
      <c r="M2375" s="23">
        <v>5</v>
      </c>
      <c r="N2375" s="23"/>
      <c r="O2375" s="23"/>
      <c r="P2375" s="23"/>
      <c r="Q2375" s="23"/>
      <c r="R2375" s="23">
        <v>2</v>
      </c>
      <c r="S2375" s="23"/>
      <c r="T2375" s="23"/>
      <c r="U2375" s="23">
        <v>130</v>
      </c>
      <c r="V2375" s="23"/>
      <c r="W2375" s="23"/>
      <c r="X2375" s="23"/>
      <c r="Y2375" s="23"/>
      <c r="Z2375" s="23"/>
      <c r="AA2375" s="23">
        <v>8</v>
      </c>
      <c r="AB2375" s="23"/>
      <c r="AC2375" s="23"/>
      <c r="AD2375" s="23"/>
      <c r="AE2375" s="23"/>
      <c r="AF2375" s="23"/>
      <c r="AG2375" s="23"/>
      <c r="AH2375" s="23">
        <v>37</v>
      </c>
      <c r="AI2375" s="23"/>
      <c r="AJ2375" s="23"/>
      <c r="AK2375" s="23">
        <v>67</v>
      </c>
      <c r="AL2375" s="23"/>
      <c r="AM2375" s="23">
        <v>41</v>
      </c>
      <c r="AN2375" s="23"/>
      <c r="AO2375" s="23">
        <v>10</v>
      </c>
      <c r="AP2375" s="23">
        <v>8</v>
      </c>
      <c r="AQ2375" s="23">
        <v>37</v>
      </c>
      <c r="AR2375" s="23">
        <v>10</v>
      </c>
      <c r="AS2375" s="23">
        <v>37</v>
      </c>
      <c r="AT2375" s="23">
        <v>43</v>
      </c>
      <c r="AU2375" s="14" t="str">
        <f>HYPERLINK("http://www.openstreetmap.org/?mlat=35.7758&amp;mlon=44.5767&amp;zoom=12#map=12/35.7758/44.5767","Maplink1")</f>
        <v>Maplink1</v>
      </c>
      <c r="AV2375" s="14" t="str">
        <f>HYPERLINK("https://www.google.iq/maps/search/+35.7758,44.5767/@35.7758,44.5767,14z?hl=en","Maplink2")</f>
        <v>Maplink2</v>
      </c>
      <c r="AW2375" s="14" t="str">
        <f>HYPERLINK("http://www.bing.com/maps/?lvl=14&amp;sty=h&amp;cp=35.7758~44.5767&amp;sp=point.35.7758_44.5767_Hay Al-Sinay","Maplink3")</f>
        <v>Maplink3</v>
      </c>
    </row>
    <row r="2376" spans="1:49" ht="15" customHeight="1" x14ac:dyDescent="0.25">
      <c r="A2376" s="21">
        <v>15550</v>
      </c>
      <c r="B2376" s="22" t="s">
        <v>17</v>
      </c>
      <c r="C2376" s="22" t="s">
        <v>17</v>
      </c>
      <c r="D2376" s="22" t="s">
        <v>4576</v>
      </c>
      <c r="E2376" s="22" t="s">
        <v>2190</v>
      </c>
      <c r="F2376" s="22">
        <v>35.459400000000002</v>
      </c>
      <c r="G2376" s="22">
        <v>44.399099999999997</v>
      </c>
      <c r="H2376" s="21" t="s">
        <v>4367</v>
      </c>
      <c r="I2376" s="21" t="s">
        <v>4521</v>
      </c>
      <c r="J2376" s="21" t="s">
        <v>4577</v>
      </c>
      <c r="K2376" s="24">
        <v>1800</v>
      </c>
      <c r="L2376" s="24">
        <v>10800</v>
      </c>
      <c r="M2376" s="23">
        <v>520</v>
      </c>
      <c r="N2376" s="23"/>
      <c r="O2376" s="23"/>
      <c r="P2376" s="23"/>
      <c r="Q2376" s="23"/>
      <c r="R2376" s="23"/>
      <c r="S2376" s="23"/>
      <c r="T2376" s="23"/>
      <c r="U2376" s="23">
        <v>1140</v>
      </c>
      <c r="V2376" s="23"/>
      <c r="W2376" s="23"/>
      <c r="X2376" s="23"/>
      <c r="Y2376" s="23">
        <v>70</v>
      </c>
      <c r="Z2376" s="23"/>
      <c r="AA2376" s="23">
        <v>70</v>
      </c>
      <c r="AB2376" s="23"/>
      <c r="AC2376" s="23"/>
      <c r="AD2376" s="23"/>
      <c r="AE2376" s="23"/>
      <c r="AF2376" s="23">
        <v>45</v>
      </c>
      <c r="AG2376" s="23"/>
      <c r="AH2376" s="23"/>
      <c r="AI2376" s="23"/>
      <c r="AJ2376" s="23"/>
      <c r="AK2376" s="23">
        <v>1755</v>
      </c>
      <c r="AL2376" s="23"/>
      <c r="AM2376" s="23"/>
      <c r="AN2376" s="23"/>
      <c r="AO2376" s="23">
        <v>370</v>
      </c>
      <c r="AP2376" s="23">
        <v>100</v>
      </c>
      <c r="AQ2376" s="23"/>
      <c r="AR2376" s="23">
        <v>345</v>
      </c>
      <c r="AS2376" s="23">
        <v>845</v>
      </c>
      <c r="AT2376" s="23">
        <v>140</v>
      </c>
      <c r="AU2376" s="14" t="str">
        <f>HYPERLINK("http://www.openstreetmap.org/?mlat=35.4594&amp;mlon=44.3991&amp;zoom=12#map=12/35.4594/44.3991","Maplink1")</f>
        <v>Maplink1</v>
      </c>
      <c r="AV2376" s="14" t="str">
        <f>HYPERLINK("https://www.google.iq/maps/search/+35.4594,44.3991/@35.4594,44.3991,14z?hl=en","Maplink2")</f>
        <v>Maplink2</v>
      </c>
      <c r="AW2376" s="14" t="str">
        <f>HYPERLINK("http://www.bing.com/maps/?lvl=14&amp;sty=h&amp;cp=35.4594~44.3991&amp;sp=point.35.4594_44.3991_Hay Al-Urooba","Maplink3")</f>
        <v>Maplink3</v>
      </c>
    </row>
    <row r="2377" spans="1:49" ht="15" customHeight="1" x14ac:dyDescent="0.25">
      <c r="A2377" s="21">
        <v>23899</v>
      </c>
      <c r="B2377" s="22" t="s">
        <v>17</v>
      </c>
      <c r="C2377" s="22" t="s">
        <v>17</v>
      </c>
      <c r="D2377" s="22" t="s">
        <v>4578</v>
      </c>
      <c r="E2377" s="22" t="s">
        <v>4579</v>
      </c>
      <c r="F2377" s="22">
        <v>35.381506000000002</v>
      </c>
      <c r="G2377" s="22">
        <v>44.395004999999998</v>
      </c>
      <c r="H2377" s="21" t="s">
        <v>4367</v>
      </c>
      <c r="I2377" s="21" t="s">
        <v>4521</v>
      </c>
      <c r="J2377" s="21" t="s">
        <v>4580</v>
      </c>
      <c r="K2377" s="24">
        <v>1250</v>
      </c>
      <c r="L2377" s="24">
        <v>7500</v>
      </c>
      <c r="M2377" s="23">
        <v>430</v>
      </c>
      <c r="N2377" s="23"/>
      <c r="O2377" s="23"/>
      <c r="P2377" s="23"/>
      <c r="Q2377" s="23"/>
      <c r="R2377" s="23">
        <v>25</v>
      </c>
      <c r="S2377" s="23"/>
      <c r="T2377" s="23"/>
      <c r="U2377" s="23">
        <v>585</v>
      </c>
      <c r="V2377" s="23"/>
      <c r="W2377" s="23"/>
      <c r="X2377" s="23"/>
      <c r="Y2377" s="23">
        <v>110</v>
      </c>
      <c r="Z2377" s="23"/>
      <c r="AA2377" s="23">
        <v>100</v>
      </c>
      <c r="AB2377" s="23"/>
      <c r="AC2377" s="23"/>
      <c r="AD2377" s="23"/>
      <c r="AE2377" s="23"/>
      <c r="AF2377" s="23">
        <v>70</v>
      </c>
      <c r="AG2377" s="23"/>
      <c r="AH2377" s="23">
        <v>15</v>
      </c>
      <c r="AI2377" s="23"/>
      <c r="AJ2377" s="23"/>
      <c r="AK2377" s="23">
        <v>985</v>
      </c>
      <c r="AL2377" s="23"/>
      <c r="AM2377" s="23">
        <v>180</v>
      </c>
      <c r="AN2377" s="23"/>
      <c r="AO2377" s="23"/>
      <c r="AP2377" s="23">
        <v>85</v>
      </c>
      <c r="AQ2377" s="23">
        <v>100</v>
      </c>
      <c r="AR2377" s="23">
        <v>620</v>
      </c>
      <c r="AS2377" s="23">
        <v>315</v>
      </c>
      <c r="AT2377" s="23">
        <v>130</v>
      </c>
      <c r="AU2377" s="14" t="str">
        <f>HYPERLINK("http://www.openstreetmap.org/?mlat=35.3815&amp;mlon=44.395&amp;zoom=12#map=12/35.3815/44.395","Maplink1")</f>
        <v>Maplink1</v>
      </c>
      <c r="AV2377" s="14" t="str">
        <f>HYPERLINK("https://www.google.iq/maps/search/+35.3815,44.395/@35.3815,44.395,14z?hl=en","Maplink2")</f>
        <v>Maplink2</v>
      </c>
      <c r="AW2377" s="14" t="str">
        <f>HYPERLINK("http://www.bing.com/maps/?lvl=14&amp;sty=h&amp;cp=35.3815~44.395&amp;sp=point.35.3815_44.395_Hay Al-Zawraa","Maplink3")</f>
        <v>Maplink3</v>
      </c>
    </row>
    <row r="2378" spans="1:49" ht="15" customHeight="1" x14ac:dyDescent="0.25">
      <c r="A2378" s="21">
        <v>24142</v>
      </c>
      <c r="B2378" s="22" t="s">
        <v>17</v>
      </c>
      <c r="C2378" s="22" t="s">
        <v>17</v>
      </c>
      <c r="D2378" s="22" t="s">
        <v>4581</v>
      </c>
      <c r="E2378" s="22" t="s">
        <v>4582</v>
      </c>
      <c r="F2378" s="22">
        <v>35.489187000000001</v>
      </c>
      <c r="G2378" s="22">
        <v>44.383186000000002</v>
      </c>
      <c r="H2378" s="21" t="s">
        <v>4367</v>
      </c>
      <c r="I2378" s="21" t="s">
        <v>4521</v>
      </c>
      <c r="J2378" s="21" t="s">
        <v>4583</v>
      </c>
      <c r="K2378" s="24">
        <v>95</v>
      </c>
      <c r="L2378" s="24">
        <v>570</v>
      </c>
      <c r="M2378" s="23">
        <v>28</v>
      </c>
      <c r="N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>
        <v>42</v>
      </c>
      <c r="Z2378" s="23"/>
      <c r="AA2378" s="23">
        <v>25</v>
      </c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>
        <v>95</v>
      </c>
      <c r="AL2378" s="23"/>
      <c r="AM2378" s="23"/>
      <c r="AN2378" s="23"/>
      <c r="AO2378" s="23"/>
      <c r="AP2378" s="23">
        <v>67</v>
      </c>
      <c r="AQ2378" s="23">
        <v>25</v>
      </c>
      <c r="AR2378" s="23"/>
      <c r="AS2378" s="23">
        <v>3</v>
      </c>
      <c r="AT2378" s="23"/>
      <c r="AU2378" s="14" t="str">
        <f>HYPERLINK("http://www.openstreetmap.org/?mlat=35.4892&amp;mlon=44.3832&amp;zoom=12#map=12/35.4892/44.3832","Maplink1")</f>
        <v>Maplink1</v>
      </c>
      <c r="AV2378" s="14" t="str">
        <f>HYPERLINK("https://www.google.iq/maps/search/+35.4892,44.3832/@35.4892,44.3832,14z?hl=en","Maplink2")</f>
        <v>Maplink2</v>
      </c>
      <c r="AW2378" s="14" t="str">
        <f>HYPERLINK("http://www.bing.com/maps/?lvl=14&amp;sty=h&amp;cp=35.4892~44.3832&amp;sp=point.35.4892_44.3832_Hay Arafah 201","Maplink3")</f>
        <v>Maplink3</v>
      </c>
    </row>
    <row r="2379" spans="1:49" ht="15" customHeight="1" x14ac:dyDescent="0.25">
      <c r="A2379" s="21">
        <v>21702</v>
      </c>
      <c r="B2379" s="22" t="s">
        <v>17</v>
      </c>
      <c r="C2379" s="22" t="s">
        <v>17</v>
      </c>
      <c r="D2379" s="22" t="s">
        <v>4584</v>
      </c>
      <c r="E2379" s="22" t="s">
        <v>4585</v>
      </c>
      <c r="F2379" s="22">
        <v>35.451208999999999</v>
      </c>
      <c r="G2379" s="22">
        <v>44.058551000000001</v>
      </c>
      <c r="H2379" s="21" t="s">
        <v>4367</v>
      </c>
      <c r="I2379" s="21" t="s">
        <v>4521</v>
      </c>
      <c r="J2379" s="21" t="s">
        <v>4586</v>
      </c>
      <c r="K2379" s="24">
        <v>575</v>
      </c>
      <c r="L2379" s="24">
        <v>3450</v>
      </c>
      <c r="M2379" s="23">
        <v>225</v>
      </c>
      <c r="N2379" s="23"/>
      <c r="O2379" s="23"/>
      <c r="P2379" s="23"/>
      <c r="Q2379" s="23"/>
      <c r="R2379" s="23">
        <v>10</v>
      </c>
      <c r="S2379" s="23"/>
      <c r="T2379" s="23"/>
      <c r="U2379" s="23">
        <v>185</v>
      </c>
      <c r="V2379" s="23"/>
      <c r="W2379" s="23"/>
      <c r="X2379" s="23"/>
      <c r="Y2379" s="23">
        <v>100</v>
      </c>
      <c r="Z2379" s="23"/>
      <c r="AA2379" s="23">
        <v>55</v>
      </c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>
        <v>575</v>
      </c>
      <c r="AL2379" s="23"/>
      <c r="AM2379" s="23"/>
      <c r="AN2379" s="23"/>
      <c r="AO2379" s="23"/>
      <c r="AP2379" s="23">
        <v>290</v>
      </c>
      <c r="AQ2379" s="23"/>
      <c r="AR2379" s="23">
        <v>95</v>
      </c>
      <c r="AS2379" s="23">
        <v>65</v>
      </c>
      <c r="AT2379" s="23">
        <v>125</v>
      </c>
      <c r="AU2379" s="14" t="str">
        <f>HYPERLINK("http://www.openstreetmap.org/?mlat=35.4512&amp;mlon=44.0586&amp;zoom=12#map=12/35.4512/44.0586","Maplink1")</f>
        <v>Maplink1</v>
      </c>
      <c r="AV2379" s="14" t="str">
        <f>HYPERLINK("https://www.google.iq/maps/search/+35.4512,44.0586/@35.4512,44.0586,14z?hl=en","Maplink2")</f>
        <v>Maplink2</v>
      </c>
      <c r="AW2379" s="14" t="str">
        <f>HYPERLINK("http://www.bing.com/maps/?lvl=14&amp;sty=h&amp;cp=35.4512~44.0586&amp;sp=point.35.4512_44.0586_Hay Azadi","Maplink3")</f>
        <v>Maplink3</v>
      </c>
    </row>
    <row r="2380" spans="1:49" ht="15" customHeight="1" x14ac:dyDescent="0.25">
      <c r="A2380" s="21">
        <v>15584</v>
      </c>
      <c r="B2380" s="22" t="s">
        <v>17</v>
      </c>
      <c r="C2380" s="22" t="s">
        <v>17</v>
      </c>
      <c r="D2380" s="22" t="s">
        <v>4587</v>
      </c>
      <c r="E2380" s="22" t="s">
        <v>4588</v>
      </c>
      <c r="F2380" s="22">
        <v>35.42694444</v>
      </c>
      <c r="G2380" s="22">
        <v>44.438611109999997</v>
      </c>
      <c r="H2380" s="21" t="s">
        <v>4367</v>
      </c>
      <c r="I2380" s="21" t="s">
        <v>4521</v>
      </c>
      <c r="J2380" s="21" t="s">
        <v>4589</v>
      </c>
      <c r="K2380" s="24">
        <v>1000</v>
      </c>
      <c r="L2380" s="24">
        <v>6000</v>
      </c>
      <c r="M2380" s="23">
        <v>392</v>
      </c>
      <c r="N2380" s="23"/>
      <c r="O2380" s="23"/>
      <c r="P2380" s="23"/>
      <c r="Q2380" s="23"/>
      <c r="R2380" s="23"/>
      <c r="S2380" s="23"/>
      <c r="T2380" s="23"/>
      <c r="U2380" s="23">
        <v>444</v>
      </c>
      <c r="V2380" s="23"/>
      <c r="W2380" s="23"/>
      <c r="X2380" s="23"/>
      <c r="Y2380" s="23">
        <v>84</v>
      </c>
      <c r="Z2380" s="23"/>
      <c r="AA2380" s="23">
        <v>80</v>
      </c>
      <c r="AB2380" s="23"/>
      <c r="AC2380" s="23"/>
      <c r="AD2380" s="23"/>
      <c r="AE2380" s="23"/>
      <c r="AF2380" s="23">
        <v>45</v>
      </c>
      <c r="AG2380" s="23"/>
      <c r="AH2380" s="23"/>
      <c r="AI2380" s="23"/>
      <c r="AJ2380" s="23"/>
      <c r="AK2380" s="23">
        <v>955</v>
      </c>
      <c r="AL2380" s="23"/>
      <c r="AM2380" s="23"/>
      <c r="AN2380" s="23"/>
      <c r="AO2380" s="23">
        <v>305</v>
      </c>
      <c r="AP2380" s="23">
        <v>30</v>
      </c>
      <c r="AQ2380" s="23">
        <v>215</v>
      </c>
      <c r="AR2380" s="23">
        <v>80</v>
      </c>
      <c r="AS2380" s="23">
        <v>325</v>
      </c>
      <c r="AT2380" s="23">
        <v>45</v>
      </c>
      <c r="AU2380" s="14" t="str">
        <f>HYPERLINK("http://www.openstreetmap.org/?mlat=35.4269&amp;mlon=44.4386&amp;zoom=12#map=12/35.4269/44.4386","Maplink1")</f>
        <v>Maplink1</v>
      </c>
      <c r="AV2380" s="14" t="str">
        <f>HYPERLINK("https://www.google.iq/maps/search/+35.4269,44.4386/@35.4269,44.4386,14z?hl=en","Maplink2")</f>
        <v>Maplink2</v>
      </c>
      <c r="AW2380" s="14" t="str">
        <f>HYPERLINK("http://www.bing.com/maps/?lvl=14&amp;sty=h&amp;cp=35.4269~44.4386&amp;sp=point.35.4269_44.4386_Hay Ghurnata","Maplink3")</f>
        <v>Maplink3</v>
      </c>
    </row>
    <row r="2381" spans="1:49" ht="15" customHeight="1" x14ac:dyDescent="0.25">
      <c r="A2381" s="21">
        <v>15694</v>
      </c>
      <c r="B2381" s="22" t="s">
        <v>17</v>
      </c>
      <c r="C2381" s="22" t="s">
        <v>17</v>
      </c>
      <c r="D2381" s="22" t="s">
        <v>4590</v>
      </c>
      <c r="E2381" s="22" t="s">
        <v>4591</v>
      </c>
      <c r="F2381" s="22">
        <v>35.462983000000001</v>
      </c>
      <c r="G2381" s="22">
        <v>44.398569999999999</v>
      </c>
      <c r="H2381" s="21" t="s">
        <v>4367</v>
      </c>
      <c r="I2381" s="21" t="s">
        <v>4521</v>
      </c>
      <c r="J2381" s="21" t="s">
        <v>4592</v>
      </c>
      <c r="K2381" s="24">
        <v>960</v>
      </c>
      <c r="L2381" s="24">
        <v>5760</v>
      </c>
      <c r="M2381" s="23">
        <v>352</v>
      </c>
      <c r="N2381" s="23"/>
      <c r="O2381" s="23">
        <v>80</v>
      </c>
      <c r="P2381" s="23"/>
      <c r="Q2381" s="23"/>
      <c r="R2381" s="23"/>
      <c r="S2381" s="23"/>
      <c r="T2381" s="23"/>
      <c r="U2381" s="23">
        <v>323</v>
      </c>
      <c r="V2381" s="23"/>
      <c r="W2381" s="23"/>
      <c r="X2381" s="23"/>
      <c r="Y2381" s="23">
        <v>195</v>
      </c>
      <c r="Z2381" s="23"/>
      <c r="AA2381" s="23">
        <v>10</v>
      </c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>
        <v>960</v>
      </c>
      <c r="AL2381" s="23"/>
      <c r="AM2381" s="23"/>
      <c r="AN2381" s="23"/>
      <c r="AO2381" s="23"/>
      <c r="AP2381" s="23">
        <v>325</v>
      </c>
      <c r="AQ2381" s="23">
        <v>330</v>
      </c>
      <c r="AR2381" s="23">
        <v>77</v>
      </c>
      <c r="AS2381" s="23">
        <v>130</v>
      </c>
      <c r="AT2381" s="23">
        <v>98</v>
      </c>
      <c r="AU2381" s="14" t="str">
        <f>HYPERLINK("http://www.openstreetmap.org/?mlat=35.463&amp;mlon=44.3986&amp;zoom=12#map=12/35.463/44.3986","Maplink1")</f>
        <v>Maplink1</v>
      </c>
      <c r="AV2381" s="14" t="str">
        <f>HYPERLINK("https://www.google.iq/maps/search/+35.463,44.3986/@35.463,44.3986,14z?hl=en","Maplink2")</f>
        <v>Maplink2</v>
      </c>
      <c r="AW2381" s="14" t="str">
        <f>HYPERLINK("http://www.bing.com/maps/?lvl=14&amp;sty=h&amp;cp=35.463~44.3986&amp;sp=point.35.463_44.3986_Hay Musalla","Maplink3")</f>
        <v>Maplink3</v>
      </c>
    </row>
    <row r="2382" spans="1:49" ht="15" customHeight="1" x14ac:dyDescent="0.25">
      <c r="A2382" s="21">
        <v>15679</v>
      </c>
      <c r="B2382" s="22" t="s">
        <v>17</v>
      </c>
      <c r="C2382" s="22" t="s">
        <v>17</v>
      </c>
      <c r="D2382" s="22" t="s">
        <v>4593</v>
      </c>
      <c r="E2382" s="22" t="s">
        <v>8222</v>
      </c>
      <c r="F2382" s="22">
        <v>35.371777000000002</v>
      </c>
      <c r="G2382" s="22">
        <v>44.332560000000001</v>
      </c>
      <c r="H2382" s="21" t="s">
        <v>4367</v>
      </c>
      <c r="I2382" s="21" t="s">
        <v>4521</v>
      </c>
      <c r="J2382" s="21" t="s">
        <v>4594</v>
      </c>
      <c r="K2382" s="24">
        <v>1595</v>
      </c>
      <c r="L2382" s="24">
        <v>9570</v>
      </c>
      <c r="M2382" s="23">
        <v>460</v>
      </c>
      <c r="N2382" s="23"/>
      <c r="O2382" s="23"/>
      <c r="P2382" s="23"/>
      <c r="Q2382" s="23"/>
      <c r="R2382" s="23">
        <v>25</v>
      </c>
      <c r="S2382" s="23"/>
      <c r="T2382" s="23"/>
      <c r="U2382" s="23">
        <v>490</v>
      </c>
      <c r="V2382" s="23"/>
      <c r="W2382" s="23"/>
      <c r="X2382" s="23"/>
      <c r="Y2382" s="23">
        <v>160</v>
      </c>
      <c r="Z2382" s="23"/>
      <c r="AA2382" s="23">
        <v>460</v>
      </c>
      <c r="AB2382" s="23"/>
      <c r="AC2382" s="23"/>
      <c r="AD2382" s="23"/>
      <c r="AE2382" s="23"/>
      <c r="AF2382" s="23">
        <v>210</v>
      </c>
      <c r="AG2382" s="23"/>
      <c r="AH2382" s="23">
        <v>25</v>
      </c>
      <c r="AI2382" s="23"/>
      <c r="AJ2382" s="23"/>
      <c r="AK2382" s="23">
        <v>1360</v>
      </c>
      <c r="AL2382" s="23"/>
      <c r="AM2382" s="23"/>
      <c r="AN2382" s="23"/>
      <c r="AO2382" s="23">
        <v>350</v>
      </c>
      <c r="AP2382" s="23">
        <v>588</v>
      </c>
      <c r="AQ2382" s="23"/>
      <c r="AR2382" s="23">
        <v>190</v>
      </c>
      <c r="AS2382" s="23">
        <v>382</v>
      </c>
      <c r="AT2382" s="23">
        <v>85</v>
      </c>
      <c r="AU2382" s="14" t="str">
        <f>HYPERLINK("http://www.openstreetmap.org/?mlat=35.3718&amp;mlon=44.3326&amp;zoom=12#map=12/35.3718/44.3326","Maplink1")</f>
        <v>Maplink1</v>
      </c>
      <c r="AV2382" s="14" t="str">
        <f>HYPERLINK("https://www.google.iq/maps/search/+35.3718,44.3326/@35.3718,44.3326,14z?hl=en","Maplink2")</f>
        <v>Maplink2</v>
      </c>
      <c r="AW2382" s="14" t="str">
        <f>HYPERLINK("http://www.bing.com/maps/?lvl=14&amp;sty=h&amp;cp=35.3718~44.3326&amp;sp=point.35.3718_44.3326_Hay Rasheed (Domiz)","Maplink3")</f>
        <v>Maplink3</v>
      </c>
    </row>
    <row r="2383" spans="1:49" ht="15" customHeight="1" x14ac:dyDescent="0.25">
      <c r="A2383" s="21">
        <v>14611</v>
      </c>
      <c r="B2383" s="22" t="s">
        <v>17</v>
      </c>
      <c r="C2383" s="22" t="s">
        <v>17</v>
      </c>
      <c r="D2383" s="22" t="s">
        <v>4595</v>
      </c>
      <c r="E2383" s="22" t="s">
        <v>4596</v>
      </c>
      <c r="F2383" s="22">
        <v>35.42777778</v>
      </c>
      <c r="G2383" s="22">
        <v>44.225833340000001</v>
      </c>
      <c r="H2383" s="21" t="s">
        <v>4367</v>
      </c>
      <c r="I2383" s="21" t="s">
        <v>4521</v>
      </c>
      <c r="J2383" s="21" t="s">
        <v>4597</v>
      </c>
      <c r="K2383" s="24">
        <v>69</v>
      </c>
      <c r="L2383" s="24">
        <v>414</v>
      </c>
      <c r="M2383" s="23"/>
      <c r="N2383" s="23"/>
      <c r="O2383" s="23"/>
      <c r="P2383" s="23"/>
      <c r="Q2383" s="23"/>
      <c r="R2383" s="23">
        <v>2</v>
      </c>
      <c r="S2383" s="23"/>
      <c r="T2383" s="23"/>
      <c r="U2383" s="23">
        <v>52</v>
      </c>
      <c r="V2383" s="23"/>
      <c r="W2383" s="23"/>
      <c r="X2383" s="23"/>
      <c r="Y2383" s="23"/>
      <c r="Z2383" s="23"/>
      <c r="AA2383" s="23">
        <v>15</v>
      </c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>
        <v>69</v>
      </c>
      <c r="AN2383" s="23"/>
      <c r="AO2383" s="23">
        <v>10</v>
      </c>
      <c r="AP2383" s="23">
        <v>15</v>
      </c>
      <c r="AQ2383" s="23">
        <v>15</v>
      </c>
      <c r="AR2383" s="23">
        <v>7</v>
      </c>
      <c r="AS2383" s="23">
        <v>22</v>
      </c>
      <c r="AT2383" s="23"/>
      <c r="AU2383" s="14" t="str">
        <f>HYPERLINK("http://www.openstreetmap.org/?mlat=35.4278&amp;mlon=44.2258&amp;zoom=12#map=12/35.4278/44.2258","Maplink1")</f>
        <v>Maplink1</v>
      </c>
      <c r="AV2383" s="14" t="str">
        <f>HYPERLINK("https://www.google.iq/maps/search/+35.4278,44.2258/@35.4278,44.2258,14z?hl=en","Maplink2")</f>
        <v>Maplink2</v>
      </c>
      <c r="AW2383" s="14" t="str">
        <f>HYPERLINK("http://www.bing.com/maps/?lvl=14&amp;sty=h&amp;cp=35.4278~44.2258&amp;sp=point.35.4278_44.2258_Al Angaa","Maplink3")</f>
        <v>Maplink3</v>
      </c>
    </row>
    <row r="2384" spans="1:49" ht="15" customHeight="1" x14ac:dyDescent="0.25">
      <c r="A2384" s="21">
        <v>14530</v>
      </c>
      <c r="B2384" s="22" t="s">
        <v>17</v>
      </c>
      <c r="C2384" s="22" t="s">
        <v>17</v>
      </c>
      <c r="D2384" s="22" t="s">
        <v>4598</v>
      </c>
      <c r="E2384" s="22" t="s">
        <v>4599</v>
      </c>
      <c r="F2384" s="22">
        <v>35.4</v>
      </c>
      <c r="G2384" s="22">
        <v>44.44</v>
      </c>
      <c r="H2384" s="21" t="s">
        <v>4367</v>
      </c>
      <c r="I2384" s="21" t="s">
        <v>4521</v>
      </c>
      <c r="J2384" s="21" t="s">
        <v>4600</v>
      </c>
      <c r="K2384" s="24">
        <v>1085</v>
      </c>
      <c r="L2384" s="24">
        <v>6510</v>
      </c>
      <c r="M2384" s="23">
        <v>360</v>
      </c>
      <c r="N2384" s="23"/>
      <c r="O2384" s="23"/>
      <c r="P2384" s="23"/>
      <c r="Q2384" s="23"/>
      <c r="R2384" s="23"/>
      <c r="S2384" s="23"/>
      <c r="T2384" s="23"/>
      <c r="U2384" s="23">
        <v>485</v>
      </c>
      <c r="V2384" s="23"/>
      <c r="W2384" s="23"/>
      <c r="X2384" s="23"/>
      <c r="Y2384" s="23">
        <v>5</v>
      </c>
      <c r="Z2384" s="23"/>
      <c r="AA2384" s="23">
        <v>235</v>
      </c>
      <c r="AB2384" s="23"/>
      <c r="AC2384" s="23"/>
      <c r="AD2384" s="23"/>
      <c r="AE2384" s="23"/>
      <c r="AF2384" s="23">
        <v>10</v>
      </c>
      <c r="AG2384" s="23"/>
      <c r="AH2384" s="23"/>
      <c r="AI2384" s="23"/>
      <c r="AJ2384" s="23"/>
      <c r="AK2384" s="23">
        <v>975</v>
      </c>
      <c r="AL2384" s="23"/>
      <c r="AM2384" s="23">
        <v>100</v>
      </c>
      <c r="AN2384" s="23"/>
      <c r="AO2384" s="23">
        <v>100</v>
      </c>
      <c r="AP2384" s="23"/>
      <c r="AQ2384" s="23"/>
      <c r="AR2384" s="23">
        <v>615</v>
      </c>
      <c r="AS2384" s="23">
        <v>310</v>
      </c>
      <c r="AT2384" s="23">
        <v>60</v>
      </c>
      <c r="AU2384" s="14" t="str">
        <f>HYPERLINK("http://www.openstreetmap.org/?mlat=35.4&amp;mlon=44.44&amp;zoom=12#map=12/35.4/44.44","Maplink1")</f>
        <v>Maplink1</v>
      </c>
      <c r="AV2384" s="14" t="str">
        <f>HYPERLINK("https://www.google.iq/maps/search/+35.4,44.44/@35.4,44.44,14z?hl=en","Maplink2")</f>
        <v>Maplink2</v>
      </c>
      <c r="AW2384" s="14" t="str">
        <f>HYPERLINK("http://www.bing.com/maps/?lvl=14&amp;sty=h&amp;cp=35.4~44.44&amp;sp=point.35.4_44.44_Panja Ali","Maplink3")</f>
        <v>Maplink3</v>
      </c>
    </row>
    <row r="2385" spans="1:49" ht="15" customHeight="1" x14ac:dyDescent="0.25">
      <c r="A2385" s="21">
        <v>15430</v>
      </c>
      <c r="B2385" s="22" t="s">
        <v>17</v>
      </c>
      <c r="C2385" s="22" t="s">
        <v>17</v>
      </c>
      <c r="D2385" s="22" t="s">
        <v>4601</v>
      </c>
      <c r="E2385" s="22" t="s">
        <v>4602</v>
      </c>
      <c r="F2385" s="22">
        <v>35.411169000000001</v>
      </c>
      <c r="G2385" s="22">
        <v>44.209443</v>
      </c>
      <c r="H2385" s="21" t="s">
        <v>4367</v>
      </c>
      <c r="I2385" s="21" t="s">
        <v>4521</v>
      </c>
      <c r="J2385" s="21" t="s">
        <v>4603</v>
      </c>
      <c r="K2385" s="24">
        <v>75</v>
      </c>
      <c r="L2385" s="24">
        <v>450</v>
      </c>
      <c r="M2385" s="23"/>
      <c r="N2385" s="23"/>
      <c r="O2385" s="23">
        <v>5</v>
      </c>
      <c r="P2385" s="23"/>
      <c r="Q2385" s="23"/>
      <c r="R2385" s="23">
        <v>10</v>
      </c>
      <c r="S2385" s="23"/>
      <c r="T2385" s="23"/>
      <c r="U2385" s="23">
        <v>5</v>
      </c>
      <c r="V2385" s="23"/>
      <c r="W2385" s="23"/>
      <c r="X2385" s="23"/>
      <c r="Y2385" s="23"/>
      <c r="Z2385" s="23"/>
      <c r="AA2385" s="23">
        <v>55</v>
      </c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>
        <v>45</v>
      </c>
      <c r="AL2385" s="23"/>
      <c r="AM2385" s="23">
        <v>30</v>
      </c>
      <c r="AN2385" s="23"/>
      <c r="AO2385" s="23"/>
      <c r="AP2385" s="23"/>
      <c r="AQ2385" s="23">
        <v>10</v>
      </c>
      <c r="AR2385" s="23">
        <v>55</v>
      </c>
      <c r="AS2385" s="23">
        <v>10</v>
      </c>
      <c r="AT2385" s="23"/>
      <c r="AU2385" s="14" t="str">
        <f>HYPERLINK("http://www.openstreetmap.org/?mlat=35.4112&amp;mlon=44.2094&amp;zoom=12#map=12/35.4112/44.2094","Maplink1")</f>
        <v>Maplink1</v>
      </c>
      <c r="AV2385" s="14" t="str">
        <f>HYPERLINK("https://www.google.iq/maps/search/+35.4112,44.2094/@35.4112,44.2094,14z?hl=en","Maplink2")</f>
        <v>Maplink2</v>
      </c>
      <c r="AW2385" s="14" t="str">
        <f>HYPERLINK("http://www.bing.com/maps/?lvl=14&amp;sty=h&amp;cp=35.4112~44.2094&amp;sp=point.35.4112_44.2094_Qara tappa","Maplink3")</f>
        <v>Maplink3</v>
      </c>
    </row>
    <row r="2386" spans="1:49" ht="15" customHeight="1" x14ac:dyDescent="0.25">
      <c r="A2386" s="21">
        <v>22199</v>
      </c>
      <c r="B2386" s="22" t="s">
        <v>17</v>
      </c>
      <c r="C2386" s="22" t="s">
        <v>17</v>
      </c>
      <c r="D2386" s="22" t="s">
        <v>4604</v>
      </c>
      <c r="E2386" s="22" t="s">
        <v>4605</v>
      </c>
      <c r="F2386" s="22">
        <v>35.509129999999999</v>
      </c>
      <c r="G2386" s="22">
        <v>44.270522</v>
      </c>
      <c r="H2386" s="21" t="s">
        <v>4367</v>
      </c>
      <c r="I2386" s="21" t="s">
        <v>4521</v>
      </c>
      <c r="J2386" s="21" t="s">
        <v>4606</v>
      </c>
      <c r="K2386" s="24">
        <v>67</v>
      </c>
      <c r="L2386" s="24">
        <v>402</v>
      </c>
      <c r="M2386" s="23">
        <v>16</v>
      </c>
      <c r="N2386" s="23"/>
      <c r="O2386" s="23"/>
      <c r="P2386" s="23"/>
      <c r="Q2386" s="23"/>
      <c r="R2386" s="23">
        <v>10</v>
      </c>
      <c r="S2386" s="23"/>
      <c r="T2386" s="23"/>
      <c r="U2386" s="23">
        <v>41</v>
      </c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>
        <v>22</v>
      </c>
      <c r="AL2386" s="23"/>
      <c r="AM2386" s="23">
        <v>45</v>
      </c>
      <c r="AN2386" s="23"/>
      <c r="AO2386" s="23"/>
      <c r="AP2386" s="23"/>
      <c r="AQ2386" s="23">
        <v>21</v>
      </c>
      <c r="AR2386" s="23">
        <v>45</v>
      </c>
      <c r="AS2386" s="23">
        <v>1</v>
      </c>
      <c r="AT2386" s="23"/>
      <c r="AU2386" s="14" t="str">
        <f>HYPERLINK("http://www.openstreetmap.org/?mlat=35.5091&amp;mlon=44.2705&amp;zoom=12#map=12/35.5091/44.2705","Maplink1")</f>
        <v>Maplink1</v>
      </c>
      <c r="AV2386" s="14" t="str">
        <f>HYPERLINK("https://www.google.iq/maps/search/+35.5091,44.2705/@35.5091,44.2705,14z?hl=en","Maplink2")</f>
        <v>Maplink2</v>
      </c>
      <c r="AW2386" s="14" t="str">
        <f>HYPERLINK("http://www.bing.com/maps/?lvl=14&amp;sty=h&amp;cp=35.5091~44.2705&amp;sp=point.35.5091_44.2705_Qaryat Kamptelar","Maplink3")</f>
        <v>Maplink3</v>
      </c>
    </row>
    <row r="2387" spans="1:49" ht="15" customHeight="1" x14ac:dyDescent="0.25">
      <c r="A2387" s="21">
        <v>22495</v>
      </c>
      <c r="B2387" s="22" t="s">
        <v>17</v>
      </c>
      <c r="C2387" s="22" t="s">
        <v>17</v>
      </c>
      <c r="D2387" s="22" t="s">
        <v>4607</v>
      </c>
      <c r="E2387" s="22" t="s">
        <v>4608</v>
      </c>
      <c r="F2387" s="22">
        <v>35.650833329999998</v>
      </c>
      <c r="G2387" s="22">
        <v>44.459722220000003</v>
      </c>
      <c r="H2387" s="21" t="s">
        <v>4367</v>
      </c>
      <c r="I2387" s="21" t="s">
        <v>4521</v>
      </c>
      <c r="J2387" s="21" t="s">
        <v>4609</v>
      </c>
      <c r="K2387" s="24">
        <v>113</v>
      </c>
      <c r="L2387" s="24">
        <v>678</v>
      </c>
      <c r="M2387" s="23">
        <v>5</v>
      </c>
      <c r="N2387" s="23"/>
      <c r="O2387" s="23"/>
      <c r="P2387" s="23"/>
      <c r="Q2387" s="23"/>
      <c r="R2387" s="23">
        <v>40</v>
      </c>
      <c r="S2387" s="23"/>
      <c r="T2387" s="23"/>
      <c r="U2387" s="23">
        <v>35</v>
      </c>
      <c r="V2387" s="23"/>
      <c r="W2387" s="23"/>
      <c r="X2387" s="23"/>
      <c r="Y2387" s="23">
        <v>10</v>
      </c>
      <c r="Z2387" s="23"/>
      <c r="AA2387" s="23">
        <v>23</v>
      </c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>
        <v>78</v>
      </c>
      <c r="AL2387" s="23"/>
      <c r="AM2387" s="23">
        <v>35</v>
      </c>
      <c r="AN2387" s="23"/>
      <c r="AO2387" s="23"/>
      <c r="AP2387" s="23"/>
      <c r="AQ2387" s="23"/>
      <c r="AR2387" s="23">
        <v>93</v>
      </c>
      <c r="AS2387" s="23">
        <v>20</v>
      </c>
      <c r="AT2387" s="23"/>
      <c r="AU2387" s="14" t="str">
        <f>HYPERLINK("http://www.openstreetmap.org/?mlat=35.6508&amp;mlon=44.4597&amp;zoom=12#map=12/35.6508/44.4597","Maplink1")</f>
        <v>Maplink1</v>
      </c>
      <c r="AV2387" s="14" t="str">
        <f>HYPERLINK("https://www.google.iq/maps/search/+35.6508,44.4597/@35.6508,44.4597,14z?hl=en","Maplink2")</f>
        <v>Maplink2</v>
      </c>
      <c r="AW2387" s="14" t="str">
        <f>HYPERLINK("http://www.bing.com/maps/?lvl=14&amp;sty=h&amp;cp=35.6508~44.4597&amp;sp=point.35.6508_44.4597_Qaryat Tobzawa","Maplink3")</f>
        <v>Maplink3</v>
      </c>
    </row>
    <row r="2388" spans="1:49" ht="15" customHeight="1" x14ac:dyDescent="0.25">
      <c r="A2388" s="21">
        <v>14474</v>
      </c>
      <c r="B2388" s="22" t="s">
        <v>17</v>
      </c>
      <c r="C2388" s="22" t="s">
        <v>17</v>
      </c>
      <c r="D2388" s="22" t="s">
        <v>4610</v>
      </c>
      <c r="E2388" s="22" t="s">
        <v>4611</v>
      </c>
      <c r="F2388" s="22">
        <v>35.46</v>
      </c>
      <c r="G2388" s="22">
        <v>44.25</v>
      </c>
      <c r="H2388" s="21" t="s">
        <v>4367</v>
      </c>
      <c r="I2388" s="21" t="s">
        <v>4521</v>
      </c>
      <c r="J2388" s="21" t="s">
        <v>4612</v>
      </c>
      <c r="K2388" s="24">
        <v>20</v>
      </c>
      <c r="L2388" s="24">
        <v>120</v>
      </c>
      <c r="M2388" s="23"/>
      <c r="N2388" s="23"/>
      <c r="O2388" s="23"/>
      <c r="P2388" s="23"/>
      <c r="Q2388" s="23"/>
      <c r="R2388" s="23"/>
      <c r="S2388" s="23"/>
      <c r="T2388" s="23"/>
      <c r="U2388" s="23">
        <v>5</v>
      </c>
      <c r="V2388" s="23"/>
      <c r="W2388" s="23"/>
      <c r="X2388" s="23"/>
      <c r="Y2388" s="23">
        <v>15</v>
      </c>
      <c r="Z2388" s="23"/>
      <c r="AA2388" s="23"/>
      <c r="AB2388" s="23"/>
      <c r="AC2388" s="23"/>
      <c r="AD2388" s="23"/>
      <c r="AE2388" s="23"/>
      <c r="AF2388" s="23">
        <v>5</v>
      </c>
      <c r="AG2388" s="23"/>
      <c r="AH2388" s="23"/>
      <c r="AI2388" s="23"/>
      <c r="AJ2388" s="23"/>
      <c r="AK2388" s="23"/>
      <c r="AL2388" s="23"/>
      <c r="AM2388" s="23">
        <v>15</v>
      </c>
      <c r="AN2388" s="23"/>
      <c r="AO2388" s="23"/>
      <c r="AP2388" s="23"/>
      <c r="AQ2388" s="23"/>
      <c r="AR2388" s="23">
        <v>20</v>
      </c>
      <c r="AS2388" s="23"/>
      <c r="AT2388" s="23"/>
      <c r="AU2388" s="14" t="str">
        <f>HYPERLINK("http://www.openstreetmap.org/?mlat=35.46&amp;mlon=44.25&amp;zoom=12#map=12/35.46/44.25","Maplink1")</f>
        <v>Maplink1</v>
      </c>
      <c r="AV2388" s="14" t="str">
        <f>HYPERLINK("https://www.google.iq/maps/search/+35.46,44.25/@35.46,44.25,14z?hl=en","Maplink2")</f>
        <v>Maplink2</v>
      </c>
      <c r="AW2388" s="14" t="str">
        <f>HYPERLINK("http://www.bing.com/maps/?lvl=14&amp;sty=h&amp;cp=35.46~44.25&amp;sp=point.35.46_44.25_Qizil Yar","Maplink3")</f>
        <v>Maplink3</v>
      </c>
    </row>
    <row r="2389" spans="1:49" ht="15" customHeight="1" x14ac:dyDescent="0.25">
      <c r="A2389" s="21">
        <v>23632</v>
      </c>
      <c r="B2389" s="22" t="s">
        <v>17</v>
      </c>
      <c r="C2389" s="22" t="s">
        <v>17</v>
      </c>
      <c r="D2389" s="22" t="s">
        <v>4613</v>
      </c>
      <c r="E2389" s="22" t="s">
        <v>4614</v>
      </c>
      <c r="F2389" s="22">
        <v>35.47138889</v>
      </c>
      <c r="G2389" s="22">
        <v>44.384444440000003</v>
      </c>
      <c r="H2389" s="21" t="s">
        <v>4367</v>
      </c>
      <c r="I2389" s="21" t="s">
        <v>4521</v>
      </c>
      <c r="J2389" s="21" t="s">
        <v>4615</v>
      </c>
      <c r="K2389" s="24">
        <v>455</v>
      </c>
      <c r="L2389" s="24">
        <v>2730</v>
      </c>
      <c r="M2389" s="23">
        <v>205</v>
      </c>
      <c r="N2389" s="23"/>
      <c r="O2389" s="23"/>
      <c r="P2389" s="23"/>
      <c r="Q2389" s="23"/>
      <c r="R2389" s="23"/>
      <c r="S2389" s="23"/>
      <c r="T2389" s="23"/>
      <c r="U2389" s="23">
        <v>130</v>
      </c>
      <c r="V2389" s="23"/>
      <c r="W2389" s="23"/>
      <c r="X2389" s="23"/>
      <c r="Y2389" s="23">
        <v>55</v>
      </c>
      <c r="Z2389" s="23"/>
      <c r="AA2389" s="23">
        <v>65</v>
      </c>
      <c r="AB2389" s="23"/>
      <c r="AC2389" s="23"/>
      <c r="AD2389" s="23"/>
      <c r="AE2389" s="23"/>
      <c r="AF2389" s="23">
        <v>5</v>
      </c>
      <c r="AG2389" s="23"/>
      <c r="AH2389" s="23"/>
      <c r="AI2389" s="23"/>
      <c r="AJ2389" s="23"/>
      <c r="AK2389" s="23">
        <v>450</v>
      </c>
      <c r="AL2389" s="23"/>
      <c r="AM2389" s="23"/>
      <c r="AN2389" s="23"/>
      <c r="AO2389" s="23"/>
      <c r="AP2389" s="23">
        <v>340</v>
      </c>
      <c r="AQ2389" s="23"/>
      <c r="AR2389" s="23">
        <v>15</v>
      </c>
      <c r="AS2389" s="23">
        <v>20</v>
      </c>
      <c r="AT2389" s="23">
        <v>80</v>
      </c>
      <c r="AU2389" s="14" t="str">
        <f>HYPERLINK("http://www.openstreetmap.org/?mlat=35.4714&amp;mlon=44.3844&amp;zoom=12#map=12/35.4714/44.3844","Maplink1")</f>
        <v>Maplink1</v>
      </c>
      <c r="AV2389" s="14" t="str">
        <f>HYPERLINK("https://www.google.iq/maps/search/+35.4714,44.3844/@35.4714,44.3844,14z?hl=en","Maplink2")</f>
        <v>Maplink2</v>
      </c>
      <c r="AW2389" s="14" t="str">
        <f>HYPERLINK("http://www.bing.com/maps/?lvl=14&amp;sty=h&amp;cp=35.4714~44.3844&amp;sp=point.35.4714_44.3844_Quriya","Maplink3")</f>
        <v>Maplink3</v>
      </c>
    </row>
    <row r="2390" spans="1:49" ht="15" customHeight="1" x14ac:dyDescent="0.25">
      <c r="A2390" s="21">
        <v>14763</v>
      </c>
      <c r="B2390" s="22" t="s">
        <v>17</v>
      </c>
      <c r="C2390" s="22" t="s">
        <v>17</v>
      </c>
      <c r="D2390" s="22" t="s">
        <v>4616</v>
      </c>
      <c r="E2390" s="22" t="s">
        <v>4617</v>
      </c>
      <c r="F2390" s="22">
        <v>35.498826999999999</v>
      </c>
      <c r="G2390" s="22">
        <v>44.394157999999997</v>
      </c>
      <c r="H2390" s="21" t="s">
        <v>4367</v>
      </c>
      <c r="I2390" s="21" t="s">
        <v>4521</v>
      </c>
      <c r="J2390" s="21" t="s">
        <v>4618</v>
      </c>
      <c r="K2390" s="24">
        <v>1122</v>
      </c>
      <c r="L2390" s="24">
        <v>6732</v>
      </c>
      <c r="M2390" s="23">
        <v>288</v>
      </c>
      <c r="N2390" s="23"/>
      <c r="O2390" s="23"/>
      <c r="P2390" s="23"/>
      <c r="Q2390" s="23"/>
      <c r="R2390" s="23"/>
      <c r="S2390" s="23"/>
      <c r="T2390" s="23"/>
      <c r="U2390" s="23">
        <v>285</v>
      </c>
      <c r="V2390" s="23"/>
      <c r="W2390" s="23"/>
      <c r="X2390" s="23"/>
      <c r="Y2390" s="23">
        <v>294</v>
      </c>
      <c r="Z2390" s="23"/>
      <c r="AA2390" s="23">
        <v>255</v>
      </c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>
        <v>1122</v>
      </c>
      <c r="AL2390" s="23"/>
      <c r="AM2390" s="23"/>
      <c r="AN2390" s="23"/>
      <c r="AO2390" s="23"/>
      <c r="AP2390" s="23">
        <v>383</v>
      </c>
      <c r="AQ2390" s="23">
        <v>70</v>
      </c>
      <c r="AR2390" s="23">
        <v>65</v>
      </c>
      <c r="AS2390" s="23">
        <v>470</v>
      </c>
      <c r="AT2390" s="23">
        <v>134</v>
      </c>
      <c r="AU2390" s="14" t="str">
        <f>HYPERLINK("http://www.openstreetmap.org/?mlat=35.4988&amp;mlon=44.3942&amp;zoom=12#map=12/35.4988/44.3942","Maplink1")</f>
        <v>Maplink1</v>
      </c>
      <c r="AV2390" s="14" t="str">
        <f>HYPERLINK("https://www.google.iq/maps/search/+35.4988,44.3942/@35.4988,44.3942,14z?hl=en","Maplink2")</f>
        <v>Maplink2</v>
      </c>
      <c r="AW2390" s="14" t="str">
        <f>HYPERLINK("http://www.bing.com/maps/?lvl=14&amp;sty=h&amp;cp=35.4988~44.3942&amp;sp=point.35.4988_44.3942_Rahim Awa","Maplink3")</f>
        <v>Maplink3</v>
      </c>
    </row>
    <row r="2391" spans="1:49" ht="15" customHeight="1" x14ac:dyDescent="0.25">
      <c r="A2391" s="21">
        <v>23634</v>
      </c>
      <c r="B2391" s="22" t="s">
        <v>17</v>
      </c>
      <c r="C2391" s="22" t="s">
        <v>17</v>
      </c>
      <c r="D2391" s="22" t="s">
        <v>3650</v>
      </c>
      <c r="E2391" s="22" t="s">
        <v>4619</v>
      </c>
      <c r="F2391" s="22">
        <v>35.447499999999998</v>
      </c>
      <c r="G2391" s="22">
        <v>44.409166669999998</v>
      </c>
      <c r="H2391" s="21" t="s">
        <v>4367</v>
      </c>
      <c r="I2391" s="21" t="s">
        <v>4521</v>
      </c>
      <c r="J2391" s="21" t="s">
        <v>4620</v>
      </c>
      <c r="K2391" s="24">
        <v>440</v>
      </c>
      <c r="L2391" s="24">
        <v>2640</v>
      </c>
      <c r="M2391" s="23">
        <v>155</v>
      </c>
      <c r="N2391" s="23"/>
      <c r="O2391" s="23"/>
      <c r="P2391" s="23"/>
      <c r="Q2391" s="23"/>
      <c r="R2391" s="23"/>
      <c r="S2391" s="23"/>
      <c r="T2391" s="23"/>
      <c r="U2391" s="23">
        <v>83</v>
      </c>
      <c r="V2391" s="23"/>
      <c r="W2391" s="23"/>
      <c r="X2391" s="23"/>
      <c r="Y2391" s="23">
        <v>35</v>
      </c>
      <c r="Z2391" s="23"/>
      <c r="AA2391" s="23">
        <v>167</v>
      </c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>
        <v>440</v>
      </c>
      <c r="AL2391" s="23"/>
      <c r="AM2391" s="23"/>
      <c r="AN2391" s="23"/>
      <c r="AO2391" s="23"/>
      <c r="AP2391" s="23">
        <v>200</v>
      </c>
      <c r="AQ2391" s="23">
        <v>80</v>
      </c>
      <c r="AR2391" s="23">
        <v>27</v>
      </c>
      <c r="AS2391" s="23">
        <v>55</v>
      </c>
      <c r="AT2391" s="23">
        <v>78</v>
      </c>
      <c r="AU2391" s="14" t="str">
        <f>HYPERLINK("http://www.openstreetmap.org/?mlat=35.4475&amp;mlon=44.4092&amp;zoom=12#map=12/35.4475/44.4092","Maplink1")</f>
        <v>Maplink1</v>
      </c>
      <c r="AV2391" s="14" t="str">
        <f>HYPERLINK("https://www.google.iq/maps/search/+35.4475,44.4092/@35.4475,44.4092,14z?hl=en","Maplink2")</f>
        <v>Maplink2</v>
      </c>
      <c r="AW2391" s="14" t="str">
        <f>HYPERLINK("http://www.bing.com/maps/?lvl=14&amp;sty=h&amp;cp=35.4475~44.4092&amp;sp=point.35.4475_44.4092_Runaki","Maplink3")</f>
        <v>Maplink3</v>
      </c>
    </row>
    <row r="2392" spans="1:49" ht="15" customHeight="1" x14ac:dyDescent="0.25">
      <c r="A2392" s="21">
        <v>24806</v>
      </c>
      <c r="B2392" s="22" t="s">
        <v>17</v>
      </c>
      <c r="C2392" s="22" t="s">
        <v>17</v>
      </c>
      <c r="D2392" s="22" t="s">
        <v>4621</v>
      </c>
      <c r="E2392" s="22" t="s">
        <v>4622</v>
      </c>
      <c r="F2392" s="22">
        <v>35.460493999999997</v>
      </c>
      <c r="G2392" s="22">
        <v>44.377719999999997</v>
      </c>
      <c r="H2392" s="21" t="s">
        <v>4367</v>
      </c>
      <c r="I2392" s="21" t="s">
        <v>4521</v>
      </c>
      <c r="J2392" s="21"/>
      <c r="K2392" s="24">
        <v>535</v>
      </c>
      <c r="L2392" s="24">
        <v>3210</v>
      </c>
      <c r="M2392" s="23">
        <v>245</v>
      </c>
      <c r="N2392" s="23"/>
      <c r="O2392" s="23"/>
      <c r="P2392" s="23"/>
      <c r="Q2392" s="23"/>
      <c r="R2392" s="23"/>
      <c r="S2392" s="23"/>
      <c r="T2392" s="23"/>
      <c r="U2392" s="23">
        <v>69</v>
      </c>
      <c r="V2392" s="23"/>
      <c r="W2392" s="23"/>
      <c r="X2392" s="23"/>
      <c r="Y2392" s="23">
        <v>80</v>
      </c>
      <c r="Z2392" s="23"/>
      <c r="AA2392" s="23">
        <v>141</v>
      </c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460</v>
      </c>
      <c r="AL2392" s="23"/>
      <c r="AM2392" s="23">
        <v>75</v>
      </c>
      <c r="AN2392" s="23"/>
      <c r="AO2392" s="23">
        <v>260</v>
      </c>
      <c r="AP2392" s="23">
        <v>79</v>
      </c>
      <c r="AQ2392" s="23">
        <v>45</v>
      </c>
      <c r="AR2392" s="23">
        <v>52</v>
      </c>
      <c r="AS2392" s="23">
        <v>59</v>
      </c>
      <c r="AT2392" s="23">
        <v>40</v>
      </c>
      <c r="AU2392" s="14" t="str">
        <f>HYPERLINK("http://www.openstreetmap.org/?mlat=35.4605&amp;mlon=44.3777&amp;zoom=12#map=12/35.4605/44.3777","Maplink1")</f>
        <v>Maplink1</v>
      </c>
      <c r="AV2392" s="14" t="str">
        <f>HYPERLINK("https://www.google.iq/maps/search/+35.4605,44.3777/@35.4605,44.3777,14z?hl=en","Maplink2")</f>
        <v>Maplink2</v>
      </c>
      <c r="AW2392" s="14" t="str">
        <f>HYPERLINK("http://www.bing.com/maps/?lvl=14&amp;sty=h&amp;cp=35.4605~44.3777&amp;sp=point.35.4605_44.3777_Sary Kahya","Maplink3")</f>
        <v>Maplink3</v>
      </c>
    </row>
    <row r="2393" spans="1:49" ht="15" customHeight="1" x14ac:dyDescent="0.25">
      <c r="A2393" s="21">
        <v>24422</v>
      </c>
      <c r="B2393" s="22" t="s">
        <v>17</v>
      </c>
      <c r="C2393" s="22" t="s">
        <v>17</v>
      </c>
      <c r="D2393" s="22" t="s">
        <v>4623</v>
      </c>
      <c r="E2393" s="22" t="s">
        <v>4624</v>
      </c>
      <c r="F2393" s="22">
        <v>35.378020999999997</v>
      </c>
      <c r="G2393" s="22">
        <v>44.356299999999997</v>
      </c>
      <c r="H2393" s="21" t="s">
        <v>4367</v>
      </c>
      <c r="I2393" s="21" t="s">
        <v>4521</v>
      </c>
      <c r="J2393" s="21"/>
      <c r="K2393" s="24">
        <v>118</v>
      </c>
      <c r="L2393" s="24">
        <v>708</v>
      </c>
      <c r="M2393" s="23">
        <v>25</v>
      </c>
      <c r="N2393" s="23"/>
      <c r="O2393" s="23"/>
      <c r="P2393" s="23"/>
      <c r="Q2393" s="23"/>
      <c r="R2393" s="23">
        <v>15</v>
      </c>
      <c r="S2393" s="23"/>
      <c r="T2393" s="23"/>
      <c r="U2393" s="23">
        <v>10</v>
      </c>
      <c r="V2393" s="23"/>
      <c r="W2393" s="23"/>
      <c r="X2393" s="23"/>
      <c r="Y2393" s="23"/>
      <c r="Z2393" s="23"/>
      <c r="AA2393" s="23">
        <v>68</v>
      </c>
      <c r="AB2393" s="23"/>
      <c r="AC2393" s="23"/>
      <c r="AD2393" s="23"/>
      <c r="AE2393" s="23"/>
      <c r="AF2393" s="23">
        <v>5</v>
      </c>
      <c r="AG2393" s="23"/>
      <c r="AH2393" s="23"/>
      <c r="AI2393" s="23"/>
      <c r="AJ2393" s="23"/>
      <c r="AK2393" s="23"/>
      <c r="AL2393" s="23"/>
      <c r="AM2393" s="23">
        <v>113</v>
      </c>
      <c r="AN2393" s="23"/>
      <c r="AO2393" s="23"/>
      <c r="AP2393" s="23">
        <v>85</v>
      </c>
      <c r="AQ2393" s="23"/>
      <c r="AR2393" s="23">
        <v>13</v>
      </c>
      <c r="AS2393" s="23">
        <v>20</v>
      </c>
      <c r="AT2393" s="23"/>
      <c r="AU2393" s="14" t="str">
        <f>HYPERLINK("http://www.openstreetmap.org/?mlat=35.378&amp;mlon=44.3563&amp;zoom=12#map=12/35.378/44.3563","Maplink1")</f>
        <v>Maplink1</v>
      </c>
      <c r="AV2393" s="14" t="str">
        <f>HYPERLINK("https://www.google.iq/maps/search/+35.378,44.3563/@35.378,44.3563,14z?hl=en","Maplink2")</f>
        <v>Maplink2</v>
      </c>
      <c r="AW2393" s="14" t="str">
        <f>HYPERLINK("http://www.bing.com/maps/?lvl=14&amp;sty=h&amp;cp=35.378~44.3563&amp;sp=point.35.378_44.3563_Sayada village","Maplink3")</f>
        <v>Maplink3</v>
      </c>
    </row>
    <row r="2394" spans="1:49" ht="15" customHeight="1" x14ac:dyDescent="0.25">
      <c r="A2394" s="21">
        <v>28410</v>
      </c>
      <c r="B2394" s="22" t="s">
        <v>17</v>
      </c>
      <c r="C2394" s="22" t="s">
        <v>17</v>
      </c>
      <c r="D2394" s="22" t="s">
        <v>4625</v>
      </c>
      <c r="E2394" s="22" t="s">
        <v>4626</v>
      </c>
      <c r="F2394" s="22">
        <v>35.556455</v>
      </c>
      <c r="G2394" s="22">
        <v>44.359600999999998</v>
      </c>
      <c r="H2394" s="21"/>
      <c r="I2394" s="21"/>
      <c r="J2394" s="21"/>
      <c r="K2394" s="24">
        <v>45</v>
      </c>
      <c r="L2394" s="24">
        <v>270</v>
      </c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>
        <v>45</v>
      </c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>
        <v>45</v>
      </c>
      <c r="AL2394" s="23"/>
      <c r="AM2394" s="23"/>
      <c r="AN2394" s="23"/>
      <c r="AO2394" s="23"/>
      <c r="AP2394" s="23"/>
      <c r="AQ2394" s="23">
        <v>43</v>
      </c>
      <c r="AR2394" s="23"/>
      <c r="AS2394" s="23"/>
      <c r="AT2394" s="23">
        <v>2</v>
      </c>
      <c r="AU2394" s="14" t="str">
        <f>HYPERLINK("http://www.openstreetmap.org/?mlat=35.339&amp;mlon=44.2126&amp;zoom=12#map=12/35.339/44.2126","Maplink1")</f>
        <v>Maplink1</v>
      </c>
      <c r="AV2394" s="14" t="str">
        <f>HYPERLINK("https://www.google.iq/maps/search/+35.339,44.2126/@35.339,44.2126,14z?hl=en","Maplink2")</f>
        <v>Maplink2</v>
      </c>
      <c r="AW2394" s="14" t="str">
        <f>HYPERLINK("http://www.bing.com/maps/?lvl=14&amp;sty=h&amp;cp=35.339~44.2126&amp;sp=point.35.339_44.2126_Al Angaa","Maplink3")</f>
        <v>Maplink3</v>
      </c>
    </row>
    <row r="2395" spans="1:49" ht="15" customHeight="1" x14ac:dyDescent="0.25">
      <c r="A2395" s="21">
        <v>15442</v>
      </c>
      <c r="B2395" s="22" t="s">
        <v>17</v>
      </c>
      <c r="C2395" s="22" t="s">
        <v>17</v>
      </c>
      <c r="D2395" s="22" t="s">
        <v>4627</v>
      </c>
      <c r="E2395" s="22" t="s">
        <v>4628</v>
      </c>
      <c r="F2395" s="22">
        <v>35.524788999999998</v>
      </c>
      <c r="G2395" s="22">
        <v>44.384492000000002</v>
      </c>
      <c r="H2395" s="21" t="s">
        <v>4367</v>
      </c>
      <c r="I2395" s="21" t="s">
        <v>4521</v>
      </c>
      <c r="J2395" s="21" t="s">
        <v>4629</v>
      </c>
      <c r="K2395" s="24">
        <v>59</v>
      </c>
      <c r="L2395" s="24">
        <v>354</v>
      </c>
      <c r="M2395" s="23"/>
      <c r="N2395" s="23"/>
      <c r="O2395" s="23"/>
      <c r="P2395" s="23"/>
      <c r="Q2395" s="23"/>
      <c r="R2395" s="23"/>
      <c r="S2395" s="23"/>
      <c r="T2395" s="23"/>
      <c r="U2395" s="23">
        <v>59</v>
      </c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>
        <v>59</v>
      </c>
      <c r="AL2395" s="23"/>
      <c r="AM2395" s="23"/>
      <c r="AN2395" s="23"/>
      <c r="AO2395" s="23"/>
      <c r="AP2395" s="23"/>
      <c r="AQ2395" s="23"/>
      <c r="AR2395" s="23"/>
      <c r="AS2395" s="23">
        <v>59</v>
      </c>
      <c r="AT2395" s="23"/>
      <c r="AU2395" s="14" t="str">
        <f>HYPERLINK("http://www.openstreetmap.org/?mlat=35.3038&amp;mlon=44.2343&amp;zoom=12#map=12/35.3038/44.2343","Maplink1")</f>
        <v>Maplink1</v>
      </c>
      <c r="AV2395" s="14" t="str">
        <f>HYPERLINK("https://www.google.iq/maps/search/+35.3038,44.2343/@35.3038,44.2343,14z?hl=en","Maplink2")</f>
        <v>Maplink2</v>
      </c>
      <c r="AW2395" s="14" t="str">
        <f>HYPERLINK("http://www.bing.com/maps/?lvl=14&amp;sty=h&amp;cp=35.3038~44.2343&amp;sp=point.35.3038_44.2343_Al Angaa","Maplink3")</f>
        <v>Maplink3</v>
      </c>
    </row>
    <row r="2396" spans="1:49" ht="15" customHeight="1" x14ac:dyDescent="0.25">
      <c r="A2396" s="21">
        <v>15522</v>
      </c>
      <c r="B2396" s="22" t="s">
        <v>17</v>
      </c>
      <c r="C2396" s="22" t="s">
        <v>17</v>
      </c>
      <c r="D2396" s="22" t="s">
        <v>4630</v>
      </c>
      <c r="E2396" s="22" t="s">
        <v>4631</v>
      </c>
      <c r="F2396" s="22">
        <v>35.752675000000004</v>
      </c>
      <c r="G2396" s="22">
        <v>44.530261000000003</v>
      </c>
      <c r="H2396" s="21" t="s">
        <v>4367</v>
      </c>
      <c r="I2396" s="21" t="s">
        <v>4521</v>
      </c>
      <c r="J2396" s="21" t="s">
        <v>4632</v>
      </c>
      <c r="K2396" s="24">
        <v>95</v>
      </c>
      <c r="L2396" s="24">
        <v>570</v>
      </c>
      <c r="M2396" s="23">
        <v>25</v>
      </c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>
        <v>40</v>
      </c>
      <c r="Z2396" s="23"/>
      <c r="AA2396" s="23">
        <v>30</v>
      </c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>
        <v>95</v>
      </c>
      <c r="AL2396" s="23"/>
      <c r="AM2396" s="23"/>
      <c r="AN2396" s="23"/>
      <c r="AO2396" s="23"/>
      <c r="AP2396" s="23">
        <v>50</v>
      </c>
      <c r="AQ2396" s="23">
        <v>45</v>
      </c>
      <c r="AR2396" s="23"/>
      <c r="AS2396" s="23"/>
      <c r="AT2396" s="23"/>
      <c r="AU2396" s="14" t="str">
        <f>HYPERLINK("http://www.openstreetmap.org/?mlat=35.7527&amp;mlon=44.5303&amp;zoom=12#map=12/35.7527/44.5303","Maplink1")</f>
        <v>Maplink1</v>
      </c>
      <c r="AV2396" s="14" t="str">
        <f>HYPERLINK("https://www.google.iq/maps/search/+35.7527,44.5303/@35.7527,44.5303,14z?hl=en","Maplink2")</f>
        <v>Maplink2</v>
      </c>
      <c r="AW2396" s="14" t="str">
        <f>HYPERLINK("http://www.bing.com/maps/?lvl=14&amp;sty=h&amp;cp=35.7527~44.5303&amp;sp=point.35.7527_44.5303_Shwan Center","Maplink3")</f>
        <v>Maplink3</v>
      </c>
    </row>
    <row r="2397" spans="1:49" ht="15" customHeight="1" x14ac:dyDescent="0.25">
      <c r="A2397" s="21">
        <v>14703</v>
      </c>
      <c r="B2397" s="22" t="s">
        <v>17</v>
      </c>
      <c r="C2397" s="22" t="s">
        <v>17</v>
      </c>
      <c r="D2397" s="22" t="s">
        <v>4633</v>
      </c>
      <c r="E2397" s="22" t="s">
        <v>4634</v>
      </c>
      <c r="F2397" s="22">
        <v>35.44</v>
      </c>
      <c r="G2397" s="22">
        <v>44.36</v>
      </c>
      <c r="H2397" s="21" t="s">
        <v>4367</v>
      </c>
      <c r="I2397" s="21" t="s">
        <v>4521</v>
      </c>
      <c r="J2397" s="21" t="s">
        <v>4635</v>
      </c>
      <c r="K2397" s="24">
        <v>795</v>
      </c>
      <c r="L2397" s="24">
        <v>4770</v>
      </c>
      <c r="M2397" s="23">
        <v>150</v>
      </c>
      <c r="N2397" s="23"/>
      <c r="O2397" s="23"/>
      <c r="P2397" s="23"/>
      <c r="Q2397" s="23"/>
      <c r="R2397" s="23"/>
      <c r="S2397" s="23"/>
      <c r="T2397" s="23"/>
      <c r="U2397" s="23">
        <v>450</v>
      </c>
      <c r="V2397" s="23"/>
      <c r="W2397" s="23"/>
      <c r="X2397" s="23"/>
      <c r="Y2397" s="23">
        <v>30</v>
      </c>
      <c r="Z2397" s="23"/>
      <c r="AA2397" s="23">
        <v>165</v>
      </c>
      <c r="AB2397" s="23"/>
      <c r="AC2397" s="23"/>
      <c r="AD2397" s="23"/>
      <c r="AE2397" s="23"/>
      <c r="AF2397" s="23">
        <v>80</v>
      </c>
      <c r="AG2397" s="23"/>
      <c r="AH2397" s="23"/>
      <c r="AI2397" s="23"/>
      <c r="AJ2397" s="23"/>
      <c r="AK2397" s="23">
        <v>640</v>
      </c>
      <c r="AL2397" s="23"/>
      <c r="AM2397" s="23">
        <v>75</v>
      </c>
      <c r="AN2397" s="23"/>
      <c r="AO2397" s="23">
        <v>65</v>
      </c>
      <c r="AP2397" s="23">
        <v>165</v>
      </c>
      <c r="AQ2397" s="23">
        <v>15</v>
      </c>
      <c r="AR2397" s="23">
        <v>275</v>
      </c>
      <c r="AS2397" s="23">
        <v>275</v>
      </c>
      <c r="AT2397" s="23"/>
      <c r="AU2397" s="14" t="str">
        <f>HYPERLINK("http://www.openstreetmap.org/?mlat=35.44&amp;mlon=44.36&amp;zoom=12#map=12/35.44/44.36","Maplink1")</f>
        <v>Maplink1</v>
      </c>
      <c r="AV2397" s="14" t="str">
        <f>HYPERLINK("https://www.google.iq/maps/search/+35.44,44.36/@35.44,44.36,14z?hl=en","Maplink2")</f>
        <v>Maplink2</v>
      </c>
      <c r="AW2397" s="14" t="str">
        <f>HYPERLINK("http://www.bing.com/maps/?lvl=14&amp;sty=h&amp;cp=35.44~44.36&amp;sp=point.35.44_44.36_Tiseen","Maplink3")</f>
        <v>Maplink3</v>
      </c>
    </row>
    <row r="2398" spans="1:49" ht="15" customHeight="1" x14ac:dyDescent="0.25">
      <c r="A2398" s="21">
        <v>14464</v>
      </c>
      <c r="B2398" s="22" t="s">
        <v>17</v>
      </c>
      <c r="C2398" s="22" t="s">
        <v>17</v>
      </c>
      <c r="D2398" s="22" t="s">
        <v>4636</v>
      </c>
      <c r="E2398" s="22" t="s">
        <v>8047</v>
      </c>
      <c r="F2398" s="22">
        <v>35.441254999999998</v>
      </c>
      <c r="G2398" s="22">
        <v>44.236114000000001</v>
      </c>
      <c r="H2398" s="21" t="s">
        <v>4367</v>
      </c>
      <c r="I2398" s="21" t="s">
        <v>4521</v>
      </c>
      <c r="J2398" s="21" t="s">
        <v>4637</v>
      </c>
      <c r="K2398" s="24">
        <v>470</v>
      </c>
      <c r="L2398" s="24">
        <v>2820</v>
      </c>
      <c r="M2398" s="23">
        <v>215</v>
      </c>
      <c r="N2398" s="23"/>
      <c r="O2398" s="23"/>
      <c r="P2398" s="23"/>
      <c r="Q2398" s="23"/>
      <c r="R2398" s="23"/>
      <c r="S2398" s="23"/>
      <c r="T2398" s="23"/>
      <c r="U2398" s="23">
        <v>155</v>
      </c>
      <c r="V2398" s="23"/>
      <c r="W2398" s="23"/>
      <c r="X2398" s="23"/>
      <c r="Y2398" s="23"/>
      <c r="Z2398" s="23"/>
      <c r="AA2398" s="23">
        <v>100</v>
      </c>
      <c r="AB2398" s="23"/>
      <c r="AC2398" s="23"/>
      <c r="AD2398" s="23"/>
      <c r="AE2398" s="23"/>
      <c r="AF2398" s="23">
        <v>20</v>
      </c>
      <c r="AG2398" s="23"/>
      <c r="AH2398" s="23"/>
      <c r="AI2398" s="23"/>
      <c r="AJ2398" s="23"/>
      <c r="AK2398" s="23">
        <v>370</v>
      </c>
      <c r="AL2398" s="23"/>
      <c r="AM2398" s="23">
        <v>80</v>
      </c>
      <c r="AN2398" s="23"/>
      <c r="AO2398" s="23">
        <v>55</v>
      </c>
      <c r="AP2398" s="23"/>
      <c r="AQ2398" s="23">
        <v>20</v>
      </c>
      <c r="AR2398" s="23">
        <v>280</v>
      </c>
      <c r="AS2398" s="23">
        <v>85</v>
      </c>
      <c r="AT2398" s="23">
        <v>30</v>
      </c>
      <c r="AU2398" s="14" t="str">
        <f>HYPERLINK("http://www.openstreetmap.org/?mlat=35.4413&amp;mlon=44.2361&amp;zoom=12#map=12/35.4413/44.2361","Maplink1")</f>
        <v>Maplink1</v>
      </c>
      <c r="AV2398" s="14" t="str">
        <f>HYPERLINK("https://www.google.iq/maps/search/+35.4413,44.2361/@35.4413,44.2361,14z?hl=en","Maplink2")</f>
        <v>Maplink2</v>
      </c>
      <c r="AW2398" s="14" t="str">
        <f>HYPERLINK("http://www.bing.com/maps/?lvl=14&amp;sty=h&amp;cp=35.4413~44.2361&amp;sp=point.35.4413_44.2361_Yaychi-101","Maplink3")</f>
        <v>Maplink3</v>
      </c>
    </row>
    <row r="2399" spans="1:49" ht="15" customHeight="1" x14ac:dyDescent="0.25">
      <c r="A2399" s="21">
        <v>23901</v>
      </c>
      <c r="B2399" s="22" t="s">
        <v>17</v>
      </c>
      <c r="C2399" s="22" t="s">
        <v>17</v>
      </c>
      <c r="D2399" s="22" t="s">
        <v>4638</v>
      </c>
      <c r="E2399" s="22" t="s">
        <v>4639</v>
      </c>
      <c r="F2399" s="22">
        <v>35.396743000000001</v>
      </c>
      <c r="G2399" s="22">
        <v>44.226979</v>
      </c>
      <c r="H2399" s="21" t="s">
        <v>4367</v>
      </c>
      <c r="I2399" s="21" t="s">
        <v>4521</v>
      </c>
      <c r="J2399" s="21" t="s">
        <v>4640</v>
      </c>
      <c r="K2399" s="24">
        <v>20</v>
      </c>
      <c r="L2399" s="24">
        <v>120</v>
      </c>
      <c r="M2399" s="23"/>
      <c r="N2399" s="23"/>
      <c r="O2399" s="23"/>
      <c r="P2399" s="23"/>
      <c r="Q2399" s="23"/>
      <c r="R2399" s="23"/>
      <c r="S2399" s="23"/>
      <c r="T2399" s="23"/>
      <c r="U2399" s="23">
        <v>20</v>
      </c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>
        <v>2</v>
      </c>
      <c r="AG2399" s="23"/>
      <c r="AH2399" s="23"/>
      <c r="AI2399" s="23"/>
      <c r="AJ2399" s="23"/>
      <c r="AK2399" s="23"/>
      <c r="AL2399" s="23"/>
      <c r="AM2399" s="23">
        <v>18</v>
      </c>
      <c r="AN2399" s="23"/>
      <c r="AO2399" s="23"/>
      <c r="AP2399" s="23"/>
      <c r="AQ2399" s="23"/>
      <c r="AR2399" s="23">
        <v>20</v>
      </c>
      <c r="AS2399" s="23"/>
      <c r="AT2399" s="23"/>
      <c r="AU2399" s="14" t="str">
        <f>HYPERLINK("http://www.openstreetmap.org/?mlat=35.3967&amp;mlon=44.227&amp;zoom=12#map=12/35.3967/44.227","Maplink1")</f>
        <v>Maplink1</v>
      </c>
      <c r="AV2399" s="14" t="str">
        <f>HYPERLINK("https://www.google.iq/maps/search/+35.3967,44.227/@35.3967,44.227,14z?hl=en","Maplink2")</f>
        <v>Maplink2</v>
      </c>
      <c r="AW2399" s="14" t="str">
        <f>HYPERLINK("http://www.bing.com/maps/?lvl=14&amp;sty=h&amp;cp=35.3967~44.227&amp;sp=point.35.3967_44.227_Yaychi-Qaryat Dibak Taba","Maplink3")</f>
        <v>Maplink3</v>
      </c>
    </row>
    <row r="2400" spans="1:49" ht="15" customHeight="1" x14ac:dyDescent="0.25">
      <c r="A2400" s="21">
        <v>23900</v>
      </c>
      <c r="B2400" s="22" t="s">
        <v>17</v>
      </c>
      <c r="C2400" s="22" t="s">
        <v>17</v>
      </c>
      <c r="D2400" s="22" t="s">
        <v>4641</v>
      </c>
      <c r="E2400" s="22" t="s">
        <v>4642</v>
      </c>
      <c r="F2400" s="22">
        <v>35.386389999999999</v>
      </c>
      <c r="G2400" s="22">
        <v>44.268521</v>
      </c>
      <c r="H2400" s="21" t="s">
        <v>4367</v>
      </c>
      <c r="I2400" s="21" t="s">
        <v>4521</v>
      </c>
      <c r="J2400" s="21" t="s">
        <v>4643</v>
      </c>
      <c r="K2400" s="24">
        <v>281</v>
      </c>
      <c r="L2400" s="24">
        <v>1686</v>
      </c>
      <c r="M2400" s="23"/>
      <c r="N2400" s="23"/>
      <c r="O2400" s="23">
        <v>5</v>
      </c>
      <c r="P2400" s="23"/>
      <c r="Q2400" s="23"/>
      <c r="R2400" s="23">
        <v>5</v>
      </c>
      <c r="S2400" s="23"/>
      <c r="T2400" s="23"/>
      <c r="U2400" s="23">
        <v>176</v>
      </c>
      <c r="V2400" s="23"/>
      <c r="W2400" s="23"/>
      <c r="X2400" s="23"/>
      <c r="Y2400" s="23">
        <v>10</v>
      </c>
      <c r="Z2400" s="23"/>
      <c r="AA2400" s="23">
        <v>85</v>
      </c>
      <c r="AB2400" s="23"/>
      <c r="AC2400" s="23"/>
      <c r="AD2400" s="23"/>
      <c r="AE2400" s="23"/>
      <c r="AF2400" s="23">
        <v>25</v>
      </c>
      <c r="AG2400" s="23"/>
      <c r="AH2400" s="23"/>
      <c r="AI2400" s="23"/>
      <c r="AJ2400" s="23"/>
      <c r="AK2400" s="23">
        <v>205</v>
      </c>
      <c r="AL2400" s="23"/>
      <c r="AM2400" s="23">
        <v>51</v>
      </c>
      <c r="AN2400" s="23"/>
      <c r="AO2400" s="23"/>
      <c r="AP2400" s="23"/>
      <c r="AQ2400" s="23"/>
      <c r="AR2400" s="23">
        <v>241</v>
      </c>
      <c r="AS2400" s="23">
        <v>20</v>
      </c>
      <c r="AT2400" s="23">
        <v>20</v>
      </c>
      <c r="AU2400" s="14" t="str">
        <f>HYPERLINK("http://www.openstreetmap.org/?mlat=35.3864&amp;mlon=44.2685&amp;zoom=12#map=12/35.3864/44.2685","Maplink1")</f>
        <v>Maplink1</v>
      </c>
      <c r="AV2400" s="14" t="str">
        <f>HYPERLINK("https://www.google.iq/maps/search/+35.3864,44.2685/@35.3864,44.2685,14z?hl=en","Maplink2")</f>
        <v>Maplink2</v>
      </c>
      <c r="AW2400" s="14" t="str">
        <f>HYPERLINK("http://www.bing.com/maps/?lvl=14&amp;sty=h&amp;cp=35.3864~44.2685&amp;sp=point.35.3864_44.2685_Yaychi-Qaryat Turklan","Maplink3")</f>
        <v>Maplink3</v>
      </c>
    </row>
    <row r="2401" spans="1:49" ht="15" customHeight="1" x14ac:dyDescent="0.25">
      <c r="A2401" s="21">
        <v>27379</v>
      </c>
      <c r="B2401" s="22" t="s">
        <v>18</v>
      </c>
      <c r="C2401" s="22" t="s">
        <v>4644</v>
      </c>
      <c r="D2401" s="22" t="s">
        <v>4645</v>
      </c>
      <c r="E2401" s="22" t="s">
        <v>4646</v>
      </c>
      <c r="F2401" s="22">
        <v>31.822452999999999</v>
      </c>
      <c r="G2401" s="22">
        <v>47.386986999999998</v>
      </c>
      <c r="H2401" s="21" t="s">
        <v>4647</v>
      </c>
      <c r="I2401" s="21" t="s">
        <v>4648</v>
      </c>
      <c r="J2401" s="21"/>
      <c r="K2401" s="24">
        <v>1</v>
      </c>
      <c r="L2401" s="24">
        <v>6</v>
      </c>
      <c r="M2401" s="23"/>
      <c r="N2401" s="23"/>
      <c r="O2401" s="23">
        <v>1</v>
      </c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>
        <v>1</v>
      </c>
      <c r="AL2401" s="23"/>
      <c r="AM2401" s="23"/>
      <c r="AN2401" s="23"/>
      <c r="AO2401" s="23"/>
      <c r="AP2401" s="23"/>
      <c r="AQ2401" s="23"/>
      <c r="AR2401" s="23">
        <v>1</v>
      </c>
      <c r="AS2401" s="23"/>
      <c r="AT2401" s="23"/>
      <c r="AU2401" s="14" t="str">
        <f>HYPERLINK("http://www.openstreetmap.org/?mlat=31.8225&amp;mlon=47.387&amp;zoom=12#map=12/31.8225/47.387","Maplink1")</f>
        <v>Maplink1</v>
      </c>
      <c r="AV2401" s="14" t="str">
        <f>HYPERLINK("https://www.google.iq/maps/search/+31.8225,47.387/@31.8225,47.387,14z?hl=en","Maplink2")</f>
        <v>Maplink2</v>
      </c>
      <c r="AW2401" s="14" t="str">
        <f>HYPERLINK("http://www.bing.com/maps/?lvl=14&amp;sty=h&amp;cp=31.8225~47.387&amp;sp=point.31.8225_47.387_Al Kharaba Village","Maplink3")</f>
        <v>Maplink3</v>
      </c>
    </row>
    <row r="2402" spans="1:49" ht="15" customHeight="1" x14ac:dyDescent="0.25">
      <c r="A2402" s="21">
        <v>25274</v>
      </c>
      <c r="B2402" s="22" t="s">
        <v>18</v>
      </c>
      <c r="C2402" s="22" t="s">
        <v>4644</v>
      </c>
      <c r="D2402" s="22" t="s">
        <v>7540</v>
      </c>
      <c r="E2402" s="22" t="s">
        <v>8048</v>
      </c>
      <c r="F2402" s="22">
        <v>31.805855000000001</v>
      </c>
      <c r="G2402" s="22">
        <v>47.405835000000003</v>
      </c>
      <c r="H2402" s="21" t="s">
        <v>4647</v>
      </c>
      <c r="I2402" s="21" t="s">
        <v>4648</v>
      </c>
      <c r="J2402" s="21"/>
      <c r="K2402" s="24">
        <v>1</v>
      </c>
      <c r="L2402" s="24">
        <v>6</v>
      </c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>
        <v>1</v>
      </c>
      <c r="AB2402" s="23"/>
      <c r="AC2402" s="23"/>
      <c r="AD2402" s="23"/>
      <c r="AE2402" s="23"/>
      <c r="AF2402" s="23"/>
      <c r="AG2402" s="23"/>
      <c r="AH2402" s="23">
        <v>1</v>
      </c>
      <c r="AI2402" s="23"/>
      <c r="AJ2402" s="23"/>
      <c r="AK2402" s="23"/>
      <c r="AL2402" s="23"/>
      <c r="AM2402" s="23"/>
      <c r="AN2402" s="23"/>
      <c r="AO2402" s="23"/>
      <c r="AP2402" s="23"/>
      <c r="AQ2402" s="23"/>
      <c r="AR2402" s="23">
        <v>1</v>
      </c>
      <c r="AS2402" s="23"/>
      <c r="AT2402" s="23"/>
      <c r="AU2402" s="14" t="str">
        <f>HYPERLINK("http://www.openstreetmap.org/?mlat=31.8059&amp;mlon=47.4058&amp;zoom=12#map=12/31.8059/47.4058","Maplink1")</f>
        <v>Maplink1</v>
      </c>
      <c r="AV2402" s="14" t="str">
        <f>HYPERLINK("https://www.google.iq/maps/search/+31.8059,47.4058/@31.8059,47.4058,14z?hl=en","Maplink2")</f>
        <v>Maplink2</v>
      </c>
      <c r="AW2402" s="14" t="str">
        <f>HYPERLINK("http://www.bing.com/maps/?lvl=14&amp;sty=h&amp;cp=31.8059~47.4058&amp;sp=point.31.8059_47.4058_Al Malfood village -Al Musharh","Maplink3")</f>
        <v>Maplink3</v>
      </c>
    </row>
    <row r="2403" spans="1:49" ht="15" customHeight="1" x14ac:dyDescent="0.25">
      <c r="A2403" s="21">
        <v>23871</v>
      </c>
      <c r="B2403" s="22" t="s">
        <v>18</v>
      </c>
      <c r="C2403" s="22" t="s">
        <v>4644</v>
      </c>
      <c r="D2403" s="22" t="s">
        <v>4649</v>
      </c>
      <c r="E2403" s="22" t="s">
        <v>8049</v>
      </c>
      <c r="F2403" s="22">
        <v>31.848489000000001</v>
      </c>
      <c r="G2403" s="22">
        <v>47.382182999999998</v>
      </c>
      <c r="H2403" s="21" t="s">
        <v>4647</v>
      </c>
      <c r="I2403" s="21" t="s">
        <v>4648</v>
      </c>
      <c r="J2403" s="21" t="s">
        <v>4650</v>
      </c>
      <c r="K2403" s="24">
        <v>3</v>
      </c>
      <c r="L2403" s="24">
        <v>18</v>
      </c>
      <c r="M2403" s="23"/>
      <c r="N2403" s="23"/>
      <c r="O2403" s="23">
        <v>3</v>
      </c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>
        <v>3</v>
      </c>
      <c r="AI2403" s="23"/>
      <c r="AJ2403" s="23"/>
      <c r="AK2403" s="23"/>
      <c r="AL2403" s="23"/>
      <c r="AM2403" s="23"/>
      <c r="AN2403" s="23"/>
      <c r="AO2403" s="23"/>
      <c r="AP2403" s="23"/>
      <c r="AQ2403" s="23">
        <v>3</v>
      </c>
      <c r="AR2403" s="23"/>
      <c r="AS2403" s="23"/>
      <c r="AT2403" s="23"/>
      <c r="AU2403" s="14" t="str">
        <f>HYPERLINK("http://www.openstreetmap.org/?mlat=31.8485&amp;mlon=47.3822&amp;zoom=12#map=12/31.8485/47.3822","Maplink1")</f>
        <v>Maplink1</v>
      </c>
      <c r="AV2403" s="14" t="str">
        <f>HYPERLINK("https://www.google.iq/maps/search/+31.8485,47.3822/@31.8485,47.3822,14z?hl=en","Maplink2")</f>
        <v>Maplink2</v>
      </c>
      <c r="AW2403" s="14" t="str">
        <f>HYPERLINK("http://www.bing.com/maps/?lvl=14&amp;sty=h&amp;cp=31.8485~47.3822&amp;sp=point.31.8485_47.3822_Al Sader Al karima","Maplink3")</f>
        <v>Maplink3</v>
      </c>
    </row>
    <row r="2404" spans="1:49" ht="15" customHeight="1" x14ac:dyDescent="0.25">
      <c r="A2404" s="21">
        <v>29505</v>
      </c>
      <c r="B2404" s="22" t="s">
        <v>18</v>
      </c>
      <c r="C2404" s="22" t="s">
        <v>4644</v>
      </c>
      <c r="D2404" s="22" t="s">
        <v>4740</v>
      </c>
      <c r="E2404" s="22" t="s">
        <v>4651</v>
      </c>
      <c r="F2404" s="22">
        <v>31.668793000000001</v>
      </c>
      <c r="G2404" s="22">
        <v>47.287410000000001</v>
      </c>
      <c r="H2404" s="21" t="s">
        <v>4647</v>
      </c>
      <c r="I2404" s="21" t="s">
        <v>4648</v>
      </c>
      <c r="J2404" s="21"/>
      <c r="K2404" s="24">
        <v>1</v>
      </c>
      <c r="L2404" s="24">
        <v>6</v>
      </c>
      <c r="M2404" s="23"/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>
        <v>1</v>
      </c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>
        <v>1</v>
      </c>
      <c r="AL2404" s="23"/>
      <c r="AM2404" s="23"/>
      <c r="AN2404" s="23"/>
      <c r="AO2404" s="23"/>
      <c r="AP2404" s="23"/>
      <c r="AQ2404" s="23">
        <v>1</v>
      </c>
      <c r="AR2404" s="23"/>
      <c r="AS2404" s="23"/>
      <c r="AT2404" s="23"/>
      <c r="AU2404" s="14" t="str">
        <f>HYPERLINK("http://www.openstreetmap.org/?mlat=31.6688&amp;mlon=47.2874&amp;zoom=12#map=12/31.6688/47.2874","Maplink1")</f>
        <v>Maplink1</v>
      </c>
      <c r="AV2404" s="14" t="str">
        <f>HYPERLINK("https://www.google.iq/maps/search/+31.6688,47.2874/@31.6688,47.2874,14z?hl=en","Maplink2")</f>
        <v>Maplink2</v>
      </c>
      <c r="AW2404" s="14" t="str">
        <f>HYPERLINK("http://www.bing.com/maps/?lvl=14&amp;sty=h&amp;cp=31.6688~47.2874&amp;sp=point.31.6688_47.2874","Maplink3")</f>
        <v>Maplink3</v>
      </c>
    </row>
    <row r="2405" spans="1:49" ht="15" customHeight="1" x14ac:dyDescent="0.25">
      <c r="A2405" s="21">
        <v>16292</v>
      </c>
      <c r="B2405" s="22" t="s">
        <v>18</v>
      </c>
      <c r="C2405" s="22" t="s">
        <v>4644</v>
      </c>
      <c r="D2405" s="22" t="s">
        <v>4652</v>
      </c>
      <c r="E2405" s="22" t="s">
        <v>4653</v>
      </c>
      <c r="F2405" s="22">
        <v>31.657499999999999</v>
      </c>
      <c r="G2405" s="22">
        <v>47.3125</v>
      </c>
      <c r="H2405" s="21" t="s">
        <v>4647</v>
      </c>
      <c r="I2405" s="21" t="s">
        <v>4648</v>
      </c>
      <c r="J2405" s="21" t="s">
        <v>4654</v>
      </c>
      <c r="K2405" s="24">
        <v>4</v>
      </c>
      <c r="L2405" s="24">
        <v>24</v>
      </c>
      <c r="M2405" s="23"/>
      <c r="N2405" s="23"/>
      <c r="O2405" s="23"/>
      <c r="P2405" s="23"/>
      <c r="Q2405" s="23"/>
      <c r="R2405" s="23"/>
      <c r="S2405" s="23"/>
      <c r="T2405" s="23"/>
      <c r="U2405" s="23">
        <v>4</v>
      </c>
      <c r="V2405" s="23"/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>
        <v>3</v>
      </c>
      <c r="AG2405" s="23"/>
      <c r="AH2405" s="23"/>
      <c r="AI2405" s="23"/>
      <c r="AJ2405" s="23"/>
      <c r="AK2405" s="23">
        <v>1</v>
      </c>
      <c r="AL2405" s="23"/>
      <c r="AM2405" s="23"/>
      <c r="AN2405" s="23"/>
      <c r="AO2405" s="23"/>
      <c r="AP2405" s="23"/>
      <c r="AQ2405" s="23">
        <v>4</v>
      </c>
      <c r="AR2405" s="23"/>
      <c r="AS2405" s="23"/>
      <c r="AT2405" s="23"/>
      <c r="AU2405" s="14" t="str">
        <f>HYPERLINK("http://www.openstreetmap.org/?mlat=31.6575&amp;mlon=47.3125&amp;zoom=12#map=12/31.6575/47.3125","Maplink1")</f>
        <v>Maplink1</v>
      </c>
      <c r="AV2405" s="14" t="str">
        <f>HYPERLINK("https://www.google.iq/maps/search/+31.6575,47.3125/@31.6575,47.3125,14z?hl=en","Maplink2")</f>
        <v>Maplink2</v>
      </c>
      <c r="AW2405" s="14" t="str">
        <f>HYPERLINK("http://www.bing.com/maps/?lvl=14&amp;sty=h&amp;cp=31.6575~47.3125&amp;sp=point.31.6575_47.3125_Hay Al Nahdha","Maplink3")</f>
        <v>Maplink3</v>
      </c>
    </row>
    <row r="2406" spans="1:49" ht="15" customHeight="1" x14ac:dyDescent="0.25">
      <c r="A2406" s="21">
        <v>16170</v>
      </c>
      <c r="B2406" s="22" t="s">
        <v>18</v>
      </c>
      <c r="C2406" s="22" t="s">
        <v>4655</v>
      </c>
      <c r="D2406" s="22" t="s">
        <v>4656</v>
      </c>
      <c r="E2406" s="22" t="s">
        <v>8050</v>
      </c>
      <c r="F2406" s="22">
        <v>31.542221999999999</v>
      </c>
      <c r="G2406" s="22">
        <v>46.971666999999997</v>
      </c>
      <c r="H2406" s="21" t="s">
        <v>4647</v>
      </c>
      <c r="I2406" s="21" t="s">
        <v>4657</v>
      </c>
      <c r="J2406" s="21" t="s">
        <v>4658</v>
      </c>
      <c r="K2406" s="24">
        <v>1</v>
      </c>
      <c r="L2406" s="24">
        <v>6</v>
      </c>
      <c r="M2406" s="23"/>
      <c r="N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>
        <v>1</v>
      </c>
      <c r="AB2406" s="23"/>
      <c r="AC2406" s="23"/>
      <c r="AD2406" s="23"/>
      <c r="AE2406" s="23"/>
      <c r="AF2406" s="23">
        <v>1</v>
      </c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>
        <v>1</v>
      </c>
      <c r="AQ2406" s="23"/>
      <c r="AR2406" s="23"/>
      <c r="AS2406" s="23"/>
      <c r="AT2406" s="23"/>
      <c r="AU2406" s="14" t="str">
        <f>HYPERLINK("http://www.openstreetmap.org/?mlat=31.5422&amp;mlon=46.9717&amp;zoom=12#map=12/31.5422/46.9717","Maplink1")</f>
        <v>Maplink1</v>
      </c>
      <c r="AV2406" s="14" t="str">
        <f>HYPERLINK("https://www.google.iq/maps/search/+31.5422,46.9717/@31.5422,46.9717,14z?hl=en","Maplink2")</f>
        <v>Maplink2</v>
      </c>
      <c r="AW2406" s="14" t="str">
        <f>HYPERLINK("http://www.bing.com/maps/?lvl=14&amp;sty=h&amp;cp=31.5422~46.9717&amp;sp=point.31.5422_46.9717_Al turkiyah","Maplink3")</f>
        <v>Maplink3</v>
      </c>
    </row>
    <row r="2407" spans="1:49" ht="15" customHeight="1" x14ac:dyDescent="0.25">
      <c r="A2407" s="21">
        <v>16156</v>
      </c>
      <c r="B2407" s="22" t="s">
        <v>18</v>
      </c>
      <c r="C2407" s="22" t="s">
        <v>4655</v>
      </c>
      <c r="D2407" s="22" t="s">
        <v>4659</v>
      </c>
      <c r="E2407" s="22" t="s">
        <v>8051</v>
      </c>
      <c r="F2407" s="22">
        <v>31.532778</v>
      </c>
      <c r="G2407" s="22">
        <v>46.987777999999999</v>
      </c>
      <c r="H2407" s="21" t="s">
        <v>4647</v>
      </c>
      <c r="I2407" s="21" t="s">
        <v>4657</v>
      </c>
      <c r="J2407" s="21" t="s">
        <v>4660</v>
      </c>
      <c r="K2407" s="24">
        <v>1</v>
      </c>
      <c r="L2407" s="24">
        <v>6</v>
      </c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>
        <v>1</v>
      </c>
      <c r="Z2407" s="23"/>
      <c r="AA2407" s="23"/>
      <c r="AB2407" s="23"/>
      <c r="AC2407" s="23"/>
      <c r="AD2407" s="23"/>
      <c r="AE2407" s="23"/>
      <c r="AF2407" s="23">
        <v>1</v>
      </c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>
        <v>1</v>
      </c>
      <c r="AR2407" s="23"/>
      <c r="AS2407" s="23"/>
      <c r="AT2407" s="23"/>
      <c r="AU2407" s="14" t="str">
        <f>HYPERLINK("http://www.openstreetmap.org/?mlat=31.5328&amp;mlon=46.9878&amp;zoom=12#map=12/31.5328/46.9878","Maplink1")</f>
        <v>Maplink1</v>
      </c>
      <c r="AV2407" s="14" t="str">
        <f>HYPERLINK("https://www.google.iq/maps/search/+31.5328,46.9878/@31.5328,46.9878,14z?hl=en","Maplink2")</f>
        <v>Maplink2</v>
      </c>
      <c r="AW2407" s="14" t="str">
        <f>HYPERLINK("http://www.bing.com/maps/?lvl=14&amp;sty=h&amp;cp=31.5328~46.9878&amp;sp=point.31.5328_46.9878_Hay al markaz","Maplink3")</f>
        <v>Maplink3</v>
      </c>
    </row>
    <row r="2408" spans="1:49" ht="15" customHeight="1" x14ac:dyDescent="0.25">
      <c r="A2408" s="21">
        <v>27267</v>
      </c>
      <c r="B2408" s="22" t="s">
        <v>18</v>
      </c>
      <c r="C2408" s="22" t="s">
        <v>4655</v>
      </c>
      <c r="D2408" s="22" t="s">
        <v>4661</v>
      </c>
      <c r="E2408" s="22" t="s">
        <v>4662</v>
      </c>
      <c r="F2408" s="22">
        <v>31.680501</v>
      </c>
      <c r="G2408" s="22">
        <v>46.960417999999997</v>
      </c>
      <c r="H2408" s="21" t="s">
        <v>4647</v>
      </c>
      <c r="I2408" s="21" t="s">
        <v>4657</v>
      </c>
      <c r="J2408" s="21"/>
      <c r="K2408" s="24">
        <v>1</v>
      </c>
      <c r="L2408" s="24">
        <v>6</v>
      </c>
      <c r="M2408" s="23"/>
      <c r="N2408" s="23"/>
      <c r="O2408" s="23"/>
      <c r="P2408" s="23"/>
      <c r="Q2408" s="23"/>
      <c r="R2408" s="23">
        <v>1</v>
      </c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>
        <v>1</v>
      </c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>
        <v>1</v>
      </c>
      <c r="AR2408" s="23"/>
      <c r="AS2408" s="23"/>
      <c r="AT2408" s="23"/>
      <c r="AU2408" s="14" t="str">
        <f>HYPERLINK("http://www.openstreetmap.org/?mlat=31.6805&amp;mlon=46.9604&amp;zoom=12#map=12/31.6805/46.9604","Maplink1")</f>
        <v>Maplink1</v>
      </c>
      <c r="AV2408" s="14" t="str">
        <f>HYPERLINK("https://www.google.iq/maps/search/+31.6805,46.9604/@31.6805,46.9604,14z?hl=en","Maplink2")</f>
        <v>Maplink2</v>
      </c>
      <c r="AW2408" s="14" t="str">
        <f>HYPERLINK("http://www.bing.com/maps/?lvl=14&amp;sty=h&amp;cp=31.6805~46.9604&amp;sp=point.31.6805_46.9604_Hay Al-Qasim","Maplink3")</f>
        <v>Maplink3</v>
      </c>
    </row>
    <row r="2409" spans="1:49" ht="15" customHeight="1" x14ac:dyDescent="0.25">
      <c r="A2409" s="21">
        <v>24579</v>
      </c>
      <c r="B2409" s="22" t="s">
        <v>18</v>
      </c>
      <c r="C2409" s="22" t="s">
        <v>4655</v>
      </c>
      <c r="D2409" s="22" t="s">
        <v>7339</v>
      </c>
      <c r="E2409" s="22" t="s">
        <v>8052</v>
      </c>
      <c r="F2409" s="22">
        <v>31.723319</v>
      </c>
      <c r="G2409" s="22">
        <v>46.727401</v>
      </c>
      <c r="H2409" s="21" t="s">
        <v>4647</v>
      </c>
      <c r="I2409" s="21" t="s">
        <v>4657</v>
      </c>
      <c r="J2409" s="21"/>
      <c r="K2409" s="24">
        <v>1</v>
      </c>
      <c r="L2409" s="24">
        <v>6</v>
      </c>
      <c r="M2409" s="23"/>
      <c r="N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>
        <v>1</v>
      </c>
      <c r="Z2409" s="23"/>
      <c r="AA2409" s="23"/>
      <c r="AB2409" s="23"/>
      <c r="AC2409" s="23"/>
      <c r="AD2409" s="23"/>
      <c r="AE2409" s="23"/>
      <c r="AF2409" s="23">
        <v>1</v>
      </c>
      <c r="AG2409" s="23"/>
      <c r="AH2409" s="23"/>
      <c r="AI2409" s="23"/>
      <c r="AJ2409" s="23"/>
      <c r="AK2409" s="23"/>
      <c r="AL2409" s="23"/>
      <c r="AM2409" s="23"/>
      <c r="AN2409" s="23"/>
      <c r="AO2409" s="23"/>
      <c r="AP2409" s="23">
        <v>1</v>
      </c>
      <c r="AQ2409" s="23"/>
      <c r="AR2409" s="23"/>
      <c r="AS2409" s="23"/>
      <c r="AT2409" s="23"/>
      <c r="AU2409" s="14" t="str">
        <f>HYPERLINK("http://www.openstreetmap.org/?mlat=31.7233&amp;mlon=46.7274&amp;zoom=12#map=12/31.7233/46.7274","Maplink1")</f>
        <v>Maplink1</v>
      </c>
      <c r="AV2409" s="14" t="str">
        <f>HYPERLINK("https://www.google.iq/maps/search/+31.7233,46.7274/@31.7233,46.7274,14z?hl=en","Maplink2")</f>
        <v>Maplink2</v>
      </c>
      <c r="AW2409" s="14" t="str">
        <f>HYPERLINK("http://www.bing.com/maps/?lvl=14&amp;sty=h&amp;cp=31.7233~46.7274&amp;sp=point.31.7233_46.7274_Sayyed Ahmad Rifae - Um Ubaida Village","Maplink3")</f>
        <v>Maplink3</v>
      </c>
    </row>
    <row r="2410" spans="1:49" ht="15" customHeight="1" x14ac:dyDescent="0.25">
      <c r="A2410" s="21">
        <v>24537</v>
      </c>
      <c r="B2410" s="22" t="s">
        <v>18</v>
      </c>
      <c r="C2410" s="22" t="s">
        <v>4663</v>
      </c>
      <c r="D2410" s="22" t="s">
        <v>4664</v>
      </c>
      <c r="E2410" s="22" t="s">
        <v>4665</v>
      </c>
      <c r="F2410" s="22">
        <v>31.549762000000001</v>
      </c>
      <c r="G2410" s="22">
        <v>47.153041999999999</v>
      </c>
      <c r="H2410" s="21" t="s">
        <v>4647</v>
      </c>
      <c r="I2410" s="21" t="s">
        <v>4666</v>
      </c>
      <c r="J2410" s="21"/>
      <c r="K2410" s="24">
        <v>2</v>
      </c>
      <c r="L2410" s="24">
        <v>12</v>
      </c>
      <c r="M2410" s="23"/>
      <c r="N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>
        <v>2</v>
      </c>
      <c r="Z2410" s="23"/>
      <c r="AA2410" s="23"/>
      <c r="AB2410" s="23"/>
      <c r="AC2410" s="23"/>
      <c r="AD2410" s="23"/>
      <c r="AE2410" s="23"/>
      <c r="AF2410" s="23">
        <v>2</v>
      </c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  <c r="AQ2410" s="23">
        <v>2</v>
      </c>
      <c r="AR2410" s="23"/>
      <c r="AS2410" s="23"/>
      <c r="AT2410" s="23"/>
      <c r="AU2410" s="14" t="str">
        <f>HYPERLINK("http://www.openstreetmap.org/?mlat=31.5498&amp;mlon=47.153&amp;zoom=12#map=12/31.5498/47.153","Maplink1")</f>
        <v>Maplink1</v>
      </c>
      <c r="AV2410" s="14" t="str">
        <f>HYPERLINK("https://www.google.iq/maps/search/+31.5498,47.153/@31.5498,47.153,14z?hl=en","Maplink2")</f>
        <v>Maplink2</v>
      </c>
      <c r="AW2410" s="14" t="str">
        <f>HYPERLINK("http://www.bing.com/maps/?lvl=14&amp;sty=h&amp;cp=31.5498~47.153&amp;sp=point.31.5498_47.153_Abu AlAla Village","Maplink3")</f>
        <v>Maplink3</v>
      </c>
    </row>
    <row r="2411" spans="1:49" ht="15" customHeight="1" x14ac:dyDescent="0.25">
      <c r="A2411" s="21">
        <v>24551</v>
      </c>
      <c r="B2411" s="22" t="s">
        <v>18</v>
      </c>
      <c r="C2411" s="22" t="s">
        <v>4663</v>
      </c>
      <c r="D2411" s="22" t="s">
        <v>4667</v>
      </c>
      <c r="E2411" s="22" t="s">
        <v>4668</v>
      </c>
      <c r="F2411" s="22">
        <v>31.633590999999999</v>
      </c>
      <c r="G2411" s="22">
        <v>47.203845999999999</v>
      </c>
      <c r="H2411" s="21" t="s">
        <v>4647</v>
      </c>
      <c r="I2411" s="21" t="s">
        <v>4666</v>
      </c>
      <c r="J2411" s="21"/>
      <c r="K2411" s="24">
        <v>1</v>
      </c>
      <c r="L2411" s="24">
        <v>6</v>
      </c>
      <c r="M2411" s="23"/>
      <c r="N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>
        <v>1</v>
      </c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>
        <v>1</v>
      </c>
      <c r="AL2411" s="23"/>
      <c r="AM2411" s="23"/>
      <c r="AN2411" s="23"/>
      <c r="AO2411" s="23"/>
      <c r="AP2411" s="23"/>
      <c r="AQ2411" s="23">
        <v>1</v>
      </c>
      <c r="AR2411" s="23"/>
      <c r="AS2411" s="23"/>
      <c r="AT2411" s="23"/>
      <c r="AU2411" s="14" t="str">
        <f>HYPERLINK("http://www.openstreetmap.org/?mlat=31.6336&amp;mlon=47.2038&amp;zoom=12#map=12/31.6336/47.2038","Maplink1")</f>
        <v>Maplink1</v>
      </c>
      <c r="AV2411" s="14" t="str">
        <f>HYPERLINK("https://www.google.iq/maps/search/+31.6336,47.2038/@31.6336,47.2038,14z?hl=en","Maplink2")</f>
        <v>Maplink2</v>
      </c>
      <c r="AW2411" s="14" t="str">
        <f>HYPERLINK("http://www.bing.com/maps/?lvl=14&amp;sty=h&amp;cp=31.6336~47.2038&amp;sp=point.31.6336_47.2038_Al Mabrukah Village","Maplink3")</f>
        <v>Maplink3</v>
      </c>
    </row>
    <row r="2412" spans="1:49" ht="15" customHeight="1" x14ac:dyDescent="0.25">
      <c r="A2412" s="21">
        <v>24719</v>
      </c>
      <c r="B2412" s="22" t="s">
        <v>18</v>
      </c>
      <c r="C2412" s="22" t="s">
        <v>4663</v>
      </c>
      <c r="D2412" s="22" t="s">
        <v>8894</v>
      </c>
      <c r="E2412" s="22" t="s">
        <v>8895</v>
      </c>
      <c r="F2412" s="22">
        <v>31.569801999999999</v>
      </c>
      <c r="G2412" s="22">
        <v>47.194242000000003</v>
      </c>
      <c r="H2412" s="21" t="s">
        <v>4647</v>
      </c>
      <c r="I2412" s="21" t="s">
        <v>4666</v>
      </c>
      <c r="J2412" s="21"/>
      <c r="K2412" s="24">
        <v>1</v>
      </c>
      <c r="L2412" s="24">
        <v>6</v>
      </c>
      <c r="M2412" s="23"/>
      <c r="N2412" s="23"/>
      <c r="O2412" s="23"/>
      <c r="P2412" s="23"/>
      <c r="Q2412" s="23"/>
      <c r="R2412" s="23"/>
      <c r="S2412" s="23"/>
      <c r="T2412" s="23"/>
      <c r="U2412" s="23">
        <v>1</v>
      </c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>
        <v>1</v>
      </c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>
        <v>1</v>
      </c>
      <c r="AR2412" s="23"/>
      <c r="AS2412" s="23"/>
      <c r="AT2412" s="23"/>
      <c r="AU2412" s="14" t="str">
        <f>HYPERLINK("http://www.openstreetmap.org/?mlat=31.5698&amp;mlon=47.1942&amp;zoom=12#map=12/31.5698/47.1942","Maplink1")</f>
        <v>Maplink1</v>
      </c>
      <c r="AV2412" s="14" t="str">
        <f>HYPERLINK("https://www.google.iq/maps/search/+31.5698,47.1942/@31.5698,47.1942,14z?hl=en","Maplink2")</f>
        <v>Maplink2</v>
      </c>
      <c r="AW2412" s="14" t="str">
        <f>HYPERLINK("http://www.bing.com/maps/?lvl=14&amp;sty=h&amp;cp=31.5698~47.1942&amp;sp=point.31.5698_47.1942_Al Dawaya Village","Maplink3")</f>
        <v>Maplink3</v>
      </c>
    </row>
    <row r="2413" spans="1:49" ht="15" customHeight="1" x14ac:dyDescent="0.25">
      <c r="A2413" s="21">
        <v>25276</v>
      </c>
      <c r="B2413" s="22" t="s">
        <v>18</v>
      </c>
      <c r="C2413" s="22" t="s">
        <v>4663</v>
      </c>
      <c r="D2413" s="22" t="s">
        <v>4669</v>
      </c>
      <c r="E2413" s="22" t="s">
        <v>2196</v>
      </c>
      <c r="F2413" s="22">
        <v>31.574321999999999</v>
      </c>
      <c r="G2413" s="22">
        <v>47.163079000000003</v>
      </c>
      <c r="H2413" s="21" t="s">
        <v>4647</v>
      </c>
      <c r="I2413" s="21" t="s">
        <v>4666</v>
      </c>
      <c r="J2413" s="21"/>
      <c r="K2413" s="24">
        <v>7</v>
      </c>
      <c r="L2413" s="24">
        <v>42</v>
      </c>
      <c r="M2413" s="23"/>
      <c r="N2413" s="23"/>
      <c r="O2413" s="23">
        <v>3</v>
      </c>
      <c r="P2413" s="23"/>
      <c r="Q2413" s="23"/>
      <c r="R2413" s="23"/>
      <c r="S2413" s="23"/>
      <c r="T2413" s="23"/>
      <c r="U2413" s="23">
        <v>4</v>
      </c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>
        <v>3</v>
      </c>
      <c r="AG2413" s="23"/>
      <c r="AH2413" s="23"/>
      <c r="AI2413" s="23"/>
      <c r="AJ2413" s="23"/>
      <c r="AK2413" s="23">
        <v>4</v>
      </c>
      <c r="AL2413" s="23"/>
      <c r="AM2413" s="23"/>
      <c r="AN2413" s="23"/>
      <c r="AO2413" s="23"/>
      <c r="AP2413" s="23">
        <v>6</v>
      </c>
      <c r="AQ2413" s="23">
        <v>1</v>
      </c>
      <c r="AR2413" s="23"/>
      <c r="AS2413" s="23"/>
      <c r="AT2413" s="23"/>
      <c r="AU2413" s="14" t="str">
        <f>HYPERLINK("http://www.openstreetmap.org/?mlat=31.5743&amp;mlon=47.1631&amp;zoom=12#map=12/31.5743/47.1631","Maplink1")</f>
        <v>Maplink1</v>
      </c>
      <c r="AV2413" s="14" t="str">
        <f>HYPERLINK("https://www.google.iq/maps/search/+31.5743,47.1631/@31.5743,47.1631,14z?hl=en","Maplink2")</f>
        <v>Maplink2</v>
      </c>
      <c r="AW2413" s="14" t="str">
        <f>HYPERLINK("http://www.bing.com/maps/?lvl=14&amp;sty=h&amp;cp=31.5743~47.1631&amp;sp=point.31.5743_47.1631_Al-Mejar Al-Kabir-Hay Al Zahra","Maplink3")</f>
        <v>Maplink3</v>
      </c>
    </row>
    <row r="2414" spans="1:49" ht="15" customHeight="1" x14ac:dyDescent="0.25">
      <c r="A2414" s="21">
        <v>16214</v>
      </c>
      <c r="B2414" s="22" t="s">
        <v>18</v>
      </c>
      <c r="C2414" s="22" t="s">
        <v>4663</v>
      </c>
      <c r="D2414" s="22" t="s">
        <v>4670</v>
      </c>
      <c r="E2414" s="22" t="s">
        <v>4671</v>
      </c>
      <c r="F2414" s="22">
        <v>31.573056000000001</v>
      </c>
      <c r="G2414" s="22">
        <v>47.168332999999997</v>
      </c>
      <c r="H2414" s="21" t="s">
        <v>4647</v>
      </c>
      <c r="I2414" s="21" t="s">
        <v>4666</v>
      </c>
      <c r="J2414" s="21" t="s">
        <v>4672</v>
      </c>
      <c r="K2414" s="24">
        <v>5</v>
      </c>
      <c r="L2414" s="24">
        <v>30</v>
      </c>
      <c r="M2414" s="23"/>
      <c r="N2414" s="23"/>
      <c r="O2414" s="23"/>
      <c r="P2414" s="23"/>
      <c r="Q2414" s="23"/>
      <c r="R2414" s="23"/>
      <c r="S2414" s="23"/>
      <c r="T2414" s="23"/>
      <c r="U2414" s="23">
        <v>3</v>
      </c>
      <c r="V2414" s="23"/>
      <c r="W2414" s="23"/>
      <c r="X2414" s="23"/>
      <c r="Y2414" s="23"/>
      <c r="Z2414" s="23"/>
      <c r="AA2414" s="23">
        <v>2</v>
      </c>
      <c r="AB2414" s="23"/>
      <c r="AC2414" s="23"/>
      <c r="AD2414" s="23"/>
      <c r="AE2414" s="23"/>
      <c r="AF2414" s="23">
        <v>3</v>
      </c>
      <c r="AG2414" s="23"/>
      <c r="AH2414" s="23"/>
      <c r="AI2414" s="23"/>
      <c r="AJ2414" s="23"/>
      <c r="AK2414" s="23">
        <v>2</v>
      </c>
      <c r="AL2414" s="23"/>
      <c r="AM2414" s="23"/>
      <c r="AN2414" s="23"/>
      <c r="AO2414" s="23"/>
      <c r="AP2414" s="23">
        <v>1</v>
      </c>
      <c r="AQ2414" s="23">
        <v>2</v>
      </c>
      <c r="AR2414" s="23">
        <v>2</v>
      </c>
      <c r="AS2414" s="23"/>
      <c r="AT2414" s="23"/>
      <c r="AU2414" s="14" t="str">
        <f>HYPERLINK("http://www.openstreetmap.org/?mlat=31.5731&amp;mlon=47.1683&amp;zoom=12#map=12/31.5731/47.1683","Maplink1")</f>
        <v>Maplink1</v>
      </c>
      <c r="AV2414" s="14" t="str">
        <f>HYPERLINK("https://www.google.iq/maps/search/+31.5731,47.1683/@31.5731,47.1683,14z?hl=en","Maplink2")</f>
        <v>Maplink2</v>
      </c>
      <c r="AW2414" s="14" t="str">
        <f>HYPERLINK("http://www.bing.com/maps/?lvl=14&amp;sty=h&amp;cp=31.5731~47.1683&amp;sp=point.31.5731_47.1683_Hay al badrawi 1","Maplink3")</f>
        <v>Maplink3</v>
      </c>
    </row>
    <row r="2415" spans="1:49" ht="15" customHeight="1" x14ac:dyDescent="0.25">
      <c r="A2415" s="21">
        <v>24533</v>
      </c>
      <c r="B2415" s="22" t="s">
        <v>18</v>
      </c>
      <c r="C2415" s="22" t="s">
        <v>4663</v>
      </c>
      <c r="D2415" s="22" t="s">
        <v>8223</v>
      </c>
      <c r="E2415" s="22" t="s">
        <v>8224</v>
      </c>
      <c r="F2415" s="22">
        <v>31.5808</v>
      </c>
      <c r="G2415" s="22">
        <v>47.180199999999999</v>
      </c>
      <c r="H2415" s="21" t="s">
        <v>4647</v>
      </c>
      <c r="I2415" s="21" t="s">
        <v>4666</v>
      </c>
      <c r="J2415" s="21"/>
      <c r="K2415" s="24">
        <v>2</v>
      </c>
      <c r="L2415" s="24">
        <v>12</v>
      </c>
      <c r="M2415" s="23"/>
      <c r="N2415" s="23"/>
      <c r="O2415" s="23"/>
      <c r="P2415" s="23"/>
      <c r="Q2415" s="23"/>
      <c r="R2415" s="23"/>
      <c r="S2415" s="23"/>
      <c r="T2415" s="23"/>
      <c r="U2415" s="23">
        <v>1</v>
      </c>
      <c r="V2415" s="23"/>
      <c r="W2415" s="23"/>
      <c r="X2415" s="23"/>
      <c r="Y2415" s="23">
        <v>1</v>
      </c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>
        <v>2</v>
      </c>
      <c r="AL2415" s="23"/>
      <c r="AM2415" s="23"/>
      <c r="AN2415" s="23"/>
      <c r="AO2415" s="23"/>
      <c r="AP2415" s="23"/>
      <c r="AQ2415" s="23">
        <v>1</v>
      </c>
      <c r="AR2415" s="23">
        <v>1</v>
      </c>
      <c r="AS2415" s="23"/>
      <c r="AT2415" s="23"/>
      <c r="AU2415" s="14" t="str">
        <f>HYPERLINK("http://www.openstreetmap.org/?mlat=31.5808&amp;mlon=47.1802&amp;zoom=12#map=12/31.5808/47.1802","Maplink1")</f>
        <v>Maplink1</v>
      </c>
      <c r="AV2415" s="14" t="str">
        <f>HYPERLINK("https://www.google.iq/maps/search/+31.5808,47.1802/@31.5808,47.1802,14z?hl=en","Maplink2")</f>
        <v>Maplink2</v>
      </c>
      <c r="AW2415" s="14" t="str">
        <f>HYPERLINK("http://www.bing.com/maps/?lvl=14&amp;sty=h&amp;cp=31.5808~47.1802&amp;sp=point.31.5808_47.1802_Hay Al Hassan","Maplink3")</f>
        <v>Maplink3</v>
      </c>
    </row>
    <row r="2416" spans="1:49" ht="15" customHeight="1" x14ac:dyDescent="0.25">
      <c r="A2416" s="21">
        <v>24372</v>
      </c>
      <c r="B2416" s="22" t="s">
        <v>18</v>
      </c>
      <c r="C2416" s="22" t="s">
        <v>4663</v>
      </c>
      <c r="D2416" s="22" t="s">
        <v>4673</v>
      </c>
      <c r="E2416" s="22" t="s">
        <v>4674</v>
      </c>
      <c r="F2416" s="22">
        <v>31.580731</v>
      </c>
      <c r="G2416" s="22">
        <v>47.162716000000003</v>
      </c>
      <c r="H2416" s="21" t="s">
        <v>4647</v>
      </c>
      <c r="I2416" s="21" t="s">
        <v>4666</v>
      </c>
      <c r="J2416" s="21"/>
      <c r="K2416" s="24">
        <v>4</v>
      </c>
      <c r="L2416" s="24">
        <v>24</v>
      </c>
      <c r="M2416" s="23"/>
      <c r="N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>
        <v>4</v>
      </c>
      <c r="Z2416" s="23"/>
      <c r="AA2416" s="23"/>
      <c r="AB2416" s="23"/>
      <c r="AC2416" s="23"/>
      <c r="AD2416" s="23"/>
      <c r="AE2416" s="23"/>
      <c r="AF2416" s="23">
        <v>1</v>
      </c>
      <c r="AG2416" s="23"/>
      <c r="AH2416" s="23"/>
      <c r="AI2416" s="23"/>
      <c r="AJ2416" s="23"/>
      <c r="AK2416" s="23"/>
      <c r="AL2416" s="23">
        <v>3</v>
      </c>
      <c r="AM2416" s="23"/>
      <c r="AN2416" s="23"/>
      <c r="AO2416" s="23"/>
      <c r="AP2416" s="23">
        <v>2</v>
      </c>
      <c r="AQ2416" s="23">
        <v>1</v>
      </c>
      <c r="AR2416" s="23">
        <v>1</v>
      </c>
      <c r="AS2416" s="23"/>
      <c r="AT2416" s="23"/>
      <c r="AU2416" s="14" t="str">
        <f>HYPERLINK("http://www.openstreetmap.org/?mlat=31.5807&amp;mlon=47.1627&amp;zoom=12#map=12/31.5807/47.1627","Maplink1")</f>
        <v>Maplink1</v>
      </c>
      <c r="AV2416" s="14" t="str">
        <f>HYPERLINK("https://www.google.iq/maps/search/+31.5807,47.1627/@31.5807,47.1627,14z?hl=en","Maplink2")</f>
        <v>Maplink2</v>
      </c>
      <c r="AW2416" s="14" t="str">
        <f>HYPERLINK("http://www.bing.com/maps/?lvl=14&amp;sty=h&amp;cp=31.5807~47.1627&amp;sp=point.31.5807_47.1627_Hay Al Mulmin Al Jadid","Maplink3")</f>
        <v>Maplink3</v>
      </c>
    </row>
    <row r="2417" spans="1:49" ht="15" customHeight="1" x14ac:dyDescent="0.25">
      <c r="A2417" s="21">
        <v>16870</v>
      </c>
      <c r="B2417" s="22" t="s">
        <v>18</v>
      </c>
      <c r="C2417" s="22" t="s">
        <v>4663</v>
      </c>
      <c r="D2417" s="22" t="s">
        <v>4675</v>
      </c>
      <c r="E2417" s="22" t="s">
        <v>4676</v>
      </c>
      <c r="F2417" s="22">
        <v>31.577222219999999</v>
      </c>
      <c r="G2417" s="22">
        <v>47.18</v>
      </c>
      <c r="H2417" s="21" t="s">
        <v>4647</v>
      </c>
      <c r="I2417" s="21" t="s">
        <v>4666</v>
      </c>
      <c r="J2417" s="21" t="s">
        <v>4677</v>
      </c>
      <c r="K2417" s="24">
        <v>7</v>
      </c>
      <c r="L2417" s="24">
        <v>42</v>
      </c>
      <c r="M2417" s="23"/>
      <c r="N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>
        <v>7</v>
      </c>
      <c r="Z2417" s="23"/>
      <c r="AA2417" s="23"/>
      <c r="AB2417" s="23"/>
      <c r="AC2417" s="23"/>
      <c r="AD2417" s="23"/>
      <c r="AE2417" s="23"/>
      <c r="AF2417" s="23">
        <v>4</v>
      </c>
      <c r="AG2417" s="23"/>
      <c r="AH2417" s="23"/>
      <c r="AI2417" s="23"/>
      <c r="AJ2417" s="23"/>
      <c r="AK2417" s="23">
        <v>3</v>
      </c>
      <c r="AL2417" s="23"/>
      <c r="AM2417" s="23"/>
      <c r="AN2417" s="23"/>
      <c r="AO2417" s="23"/>
      <c r="AP2417" s="23"/>
      <c r="AQ2417" s="23">
        <v>7</v>
      </c>
      <c r="AR2417" s="23"/>
      <c r="AS2417" s="23"/>
      <c r="AT2417" s="23"/>
      <c r="AU2417" s="14" t="str">
        <f>HYPERLINK("http://www.openstreetmap.org/?mlat=31.5772&amp;mlon=47.18&amp;zoom=12#map=12/31.5772/47.18","Maplink1")</f>
        <v>Maplink1</v>
      </c>
      <c r="AV2417" s="14" t="str">
        <f>HYPERLINK("https://www.google.iq/maps/search/+31.5772,47.18/@31.5772,47.18,14z?hl=en","Maplink2")</f>
        <v>Maplink2</v>
      </c>
      <c r="AW2417" s="14" t="str">
        <f>HYPERLINK("http://www.bing.com/maps/?lvl=14&amp;sty=h&amp;cp=31.5772~47.18&amp;sp=point.31.5772_47.18_Hay Al Qudis","Maplink3")</f>
        <v>Maplink3</v>
      </c>
    </row>
    <row r="2418" spans="1:49" ht="15" customHeight="1" x14ac:dyDescent="0.25">
      <c r="A2418" s="21">
        <v>16186</v>
      </c>
      <c r="B2418" s="22" t="s">
        <v>18</v>
      </c>
      <c r="C2418" s="22" t="s">
        <v>4663</v>
      </c>
      <c r="D2418" s="22" t="s">
        <v>4678</v>
      </c>
      <c r="E2418" s="22" t="s">
        <v>438</v>
      </c>
      <c r="F2418" s="22">
        <v>31.575555999999999</v>
      </c>
      <c r="G2418" s="22">
        <v>47.173333</v>
      </c>
      <c r="H2418" s="21" t="s">
        <v>4647</v>
      </c>
      <c r="I2418" s="21" t="s">
        <v>4666</v>
      </c>
      <c r="J2418" s="21" t="s">
        <v>4679</v>
      </c>
      <c r="K2418" s="24">
        <v>17</v>
      </c>
      <c r="L2418" s="24">
        <v>102</v>
      </c>
      <c r="M2418" s="23"/>
      <c r="N2418" s="23"/>
      <c r="O2418" s="23"/>
      <c r="P2418" s="23"/>
      <c r="Q2418" s="23"/>
      <c r="R2418" s="23"/>
      <c r="S2418" s="23"/>
      <c r="T2418" s="23"/>
      <c r="U2418" s="23">
        <v>2</v>
      </c>
      <c r="V2418" s="23"/>
      <c r="W2418" s="23"/>
      <c r="X2418" s="23"/>
      <c r="Y2418" s="23">
        <v>15</v>
      </c>
      <c r="Z2418" s="23"/>
      <c r="AA2418" s="23"/>
      <c r="AB2418" s="23"/>
      <c r="AC2418" s="23"/>
      <c r="AD2418" s="23"/>
      <c r="AE2418" s="23"/>
      <c r="AF2418" s="23">
        <v>15</v>
      </c>
      <c r="AG2418" s="23"/>
      <c r="AH2418" s="23"/>
      <c r="AI2418" s="23"/>
      <c r="AJ2418" s="23"/>
      <c r="AK2418" s="23">
        <v>2</v>
      </c>
      <c r="AL2418" s="23"/>
      <c r="AM2418" s="23"/>
      <c r="AN2418" s="23"/>
      <c r="AO2418" s="23"/>
      <c r="AP2418" s="23">
        <v>1</v>
      </c>
      <c r="AQ2418" s="23">
        <v>14</v>
      </c>
      <c r="AR2418" s="23">
        <v>2</v>
      </c>
      <c r="AS2418" s="23"/>
      <c r="AT2418" s="23"/>
      <c r="AU2418" s="14" t="str">
        <f>HYPERLINK("http://www.openstreetmap.org/?mlat=31.5756&amp;mlon=47.1733&amp;zoom=12#map=12/31.5756/47.1733","Maplink1")</f>
        <v>Maplink1</v>
      </c>
      <c r="AV2418" s="14" t="str">
        <f>HYPERLINK("https://www.google.iq/maps/search/+31.5756,47.1733/@31.5756,47.1733,14z?hl=en","Maplink2")</f>
        <v>Maplink2</v>
      </c>
      <c r="AW2418" s="14" t="str">
        <f>HYPERLINK("http://www.bing.com/maps/?lvl=14&amp;sty=h&amp;cp=31.5756~47.1733&amp;sp=point.31.5756_47.1733_Hay al saray","Maplink3")</f>
        <v>Maplink3</v>
      </c>
    </row>
    <row r="2419" spans="1:49" ht="15" customHeight="1" x14ac:dyDescent="0.25">
      <c r="A2419" s="21">
        <v>16864</v>
      </c>
      <c r="B2419" s="22" t="s">
        <v>18</v>
      </c>
      <c r="C2419" s="22" t="s">
        <v>4663</v>
      </c>
      <c r="D2419" s="22" t="s">
        <v>4682</v>
      </c>
      <c r="E2419" s="22" t="s">
        <v>1923</v>
      </c>
      <c r="F2419" s="22">
        <v>31.586388889999998</v>
      </c>
      <c r="G2419" s="22">
        <v>47.159166669999998</v>
      </c>
      <c r="H2419" s="21" t="s">
        <v>4647</v>
      </c>
      <c r="I2419" s="21" t="s">
        <v>4666</v>
      </c>
      <c r="J2419" s="21" t="s">
        <v>4683</v>
      </c>
      <c r="K2419" s="24">
        <v>1</v>
      </c>
      <c r="L2419" s="24">
        <v>6</v>
      </c>
      <c r="M2419" s="23"/>
      <c r="N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>
        <v>1</v>
      </c>
      <c r="Z2419" s="23"/>
      <c r="AA2419" s="23"/>
      <c r="AB2419" s="23"/>
      <c r="AC2419" s="23"/>
      <c r="AD2419" s="23"/>
      <c r="AE2419" s="23"/>
      <c r="AF2419" s="23">
        <v>1</v>
      </c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>
        <v>1</v>
      </c>
      <c r="AQ2419" s="23"/>
      <c r="AR2419" s="23"/>
      <c r="AS2419" s="23"/>
      <c r="AT2419" s="23"/>
      <c r="AU2419" s="14" t="str">
        <f>HYPERLINK("http://www.openstreetmap.org/?mlat=31.5864&amp;mlon=47.1592&amp;zoom=12#map=12/31.5864/47.1592","Maplink1")</f>
        <v>Maplink1</v>
      </c>
      <c r="AV2419" s="14" t="str">
        <f>HYPERLINK("https://www.google.iq/maps/search/+31.5864,47.1592/@31.5864,47.1592,14z?hl=en","Maplink2")</f>
        <v>Maplink2</v>
      </c>
      <c r="AW2419" s="14" t="str">
        <f>HYPERLINK("http://www.bing.com/maps/?lvl=14&amp;sty=h&amp;cp=31.5864~47.1592&amp;sp=point.31.5864_47.1592_Hay Al-Hasan Al-Askarey","Maplink3")</f>
        <v>Maplink3</v>
      </c>
    </row>
    <row r="2420" spans="1:49" ht="15" customHeight="1" x14ac:dyDescent="0.25">
      <c r="A2420" s="21">
        <v>15997</v>
      </c>
      <c r="B2420" s="22" t="s">
        <v>18</v>
      </c>
      <c r="C2420" s="22" t="s">
        <v>4663</v>
      </c>
      <c r="D2420" s="22" t="s">
        <v>4684</v>
      </c>
      <c r="E2420" s="22" t="s">
        <v>995</v>
      </c>
      <c r="F2420" s="22">
        <v>31.582056999999999</v>
      </c>
      <c r="G2420" s="22">
        <v>47.174095000000001</v>
      </c>
      <c r="H2420" s="21" t="s">
        <v>4647</v>
      </c>
      <c r="I2420" s="21" t="s">
        <v>4666</v>
      </c>
      <c r="J2420" s="21"/>
      <c r="K2420" s="24">
        <v>3</v>
      </c>
      <c r="L2420" s="24">
        <v>18</v>
      </c>
      <c r="M2420" s="23"/>
      <c r="N2420" s="23"/>
      <c r="O2420" s="23">
        <v>1</v>
      </c>
      <c r="P2420" s="23"/>
      <c r="Q2420" s="23"/>
      <c r="R2420" s="23"/>
      <c r="S2420" s="23"/>
      <c r="T2420" s="23"/>
      <c r="U2420" s="23">
        <v>2</v>
      </c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>
        <v>2</v>
      </c>
      <c r="AG2420" s="23"/>
      <c r="AH2420" s="23"/>
      <c r="AI2420" s="23"/>
      <c r="AJ2420" s="23"/>
      <c r="AK2420" s="23">
        <v>1</v>
      </c>
      <c r="AL2420" s="23"/>
      <c r="AM2420" s="23"/>
      <c r="AN2420" s="23"/>
      <c r="AO2420" s="23"/>
      <c r="AP2420" s="23"/>
      <c r="AQ2420" s="23">
        <v>3</v>
      </c>
      <c r="AR2420" s="23"/>
      <c r="AS2420" s="23"/>
      <c r="AT2420" s="23"/>
      <c r="AU2420" s="14" t="str">
        <f>HYPERLINK("http://www.openstreetmap.org/?mlat=31.5821&amp;mlon=47.1741&amp;zoom=12#map=12/31.5821/47.1741","Maplink1")</f>
        <v>Maplink1</v>
      </c>
      <c r="AV2420" s="14" t="str">
        <f>HYPERLINK("https://www.google.iq/maps/search/+31.5821,47.1741/@31.5821,47.1741,14z?hl=en","Maplink2")</f>
        <v>Maplink2</v>
      </c>
      <c r="AW2420" s="14" t="str">
        <f>HYPERLINK("http://www.bing.com/maps/?lvl=14&amp;sty=h&amp;cp=31.5821~47.1741&amp;sp=point.31.5821_47.1741_Hay Al-Hussain","Maplink3")</f>
        <v>Maplink3</v>
      </c>
    </row>
    <row r="2421" spans="1:49" ht="15" customHeight="1" x14ac:dyDescent="0.25">
      <c r="A2421" s="21">
        <v>24536</v>
      </c>
      <c r="B2421" s="22" t="s">
        <v>18</v>
      </c>
      <c r="C2421" s="22" t="s">
        <v>4663</v>
      </c>
      <c r="D2421" s="22" t="s">
        <v>4685</v>
      </c>
      <c r="E2421" s="22" t="s">
        <v>8053</v>
      </c>
      <c r="F2421" s="22">
        <v>31.486542</v>
      </c>
      <c r="G2421" s="22">
        <v>47.114393</v>
      </c>
      <c r="H2421" s="21" t="s">
        <v>4647</v>
      </c>
      <c r="I2421" s="21" t="s">
        <v>4666</v>
      </c>
      <c r="J2421" s="21"/>
      <c r="K2421" s="24">
        <v>6</v>
      </c>
      <c r="L2421" s="24">
        <v>36</v>
      </c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>
        <v>6</v>
      </c>
      <c r="Z2421" s="23"/>
      <c r="AA2421" s="23"/>
      <c r="AB2421" s="23"/>
      <c r="AC2421" s="23"/>
      <c r="AD2421" s="23"/>
      <c r="AE2421" s="23"/>
      <c r="AF2421" s="23">
        <v>2</v>
      </c>
      <c r="AG2421" s="23"/>
      <c r="AH2421" s="23"/>
      <c r="AI2421" s="23">
        <v>3</v>
      </c>
      <c r="AJ2421" s="23"/>
      <c r="AK2421" s="23">
        <v>1</v>
      </c>
      <c r="AL2421" s="23"/>
      <c r="AM2421" s="23"/>
      <c r="AN2421" s="23"/>
      <c r="AO2421" s="23"/>
      <c r="AP2421" s="23"/>
      <c r="AQ2421" s="23">
        <v>6</v>
      </c>
      <c r="AR2421" s="23"/>
      <c r="AS2421" s="23"/>
      <c r="AT2421" s="23"/>
      <c r="AU2421" s="14" t="str">
        <f>HYPERLINK("http://www.openstreetmap.org/?mlat=31.4865&amp;mlon=47.1144&amp;zoom=12#map=12/31.4865/47.1144","Maplink1")</f>
        <v>Maplink1</v>
      </c>
      <c r="AV2421" s="14" t="str">
        <f>HYPERLINK("https://www.google.iq/maps/search/+31.4865,47.1144/@31.4865,47.1144,14z?hl=en","Maplink2")</f>
        <v>Maplink2</v>
      </c>
      <c r="AW2421" s="14" t="str">
        <f>HYPERLINK("http://www.bing.com/maps/?lvl=14&amp;sty=h&amp;cp=31.4865~47.1144&amp;sp=point.31.4865_47.1144_Hay Al-Hussain-Al Adil","Maplink3")</f>
        <v>Maplink3</v>
      </c>
    </row>
    <row r="2422" spans="1:49" ht="15" customHeight="1" x14ac:dyDescent="0.25">
      <c r="A2422" s="21">
        <v>16210</v>
      </c>
      <c r="B2422" s="22" t="s">
        <v>18</v>
      </c>
      <c r="C2422" s="22" t="s">
        <v>4663</v>
      </c>
      <c r="D2422" s="22" t="s">
        <v>4686</v>
      </c>
      <c r="E2422" s="22" t="s">
        <v>4687</v>
      </c>
      <c r="F2422" s="22">
        <v>31.569167</v>
      </c>
      <c r="G2422" s="22">
        <v>47.158332999999999</v>
      </c>
      <c r="H2422" s="21" t="s">
        <v>4647</v>
      </c>
      <c r="I2422" s="21" t="s">
        <v>4666</v>
      </c>
      <c r="J2422" s="21" t="s">
        <v>4688</v>
      </c>
      <c r="K2422" s="24">
        <v>7</v>
      </c>
      <c r="L2422" s="24">
        <v>42</v>
      </c>
      <c r="M2422" s="23"/>
      <c r="N2422" s="23"/>
      <c r="O2422" s="23"/>
      <c r="P2422" s="23"/>
      <c r="Q2422" s="23"/>
      <c r="R2422" s="23"/>
      <c r="S2422" s="23"/>
      <c r="T2422" s="23"/>
      <c r="U2422" s="23">
        <v>3</v>
      </c>
      <c r="V2422" s="23"/>
      <c r="W2422" s="23"/>
      <c r="X2422" s="23"/>
      <c r="Y2422" s="23">
        <v>4</v>
      </c>
      <c r="Z2422" s="23"/>
      <c r="AA2422" s="23"/>
      <c r="AB2422" s="23"/>
      <c r="AC2422" s="23"/>
      <c r="AD2422" s="23"/>
      <c r="AE2422" s="23"/>
      <c r="AF2422" s="23">
        <v>3</v>
      </c>
      <c r="AG2422" s="23"/>
      <c r="AH2422" s="23">
        <v>3</v>
      </c>
      <c r="AI2422" s="23"/>
      <c r="AJ2422" s="23"/>
      <c r="AK2422" s="23">
        <v>1</v>
      </c>
      <c r="AL2422" s="23"/>
      <c r="AM2422" s="23"/>
      <c r="AN2422" s="23"/>
      <c r="AO2422" s="23"/>
      <c r="AP2422" s="23"/>
      <c r="AQ2422" s="23">
        <v>3</v>
      </c>
      <c r="AR2422" s="23">
        <v>4</v>
      </c>
      <c r="AS2422" s="23"/>
      <c r="AT2422" s="23"/>
      <c r="AU2422" s="14" t="str">
        <f>HYPERLINK("http://www.openstreetmap.org/?mlat=31.5692&amp;mlon=47.1583&amp;zoom=12#map=12/31.5692/47.1583","Maplink1")</f>
        <v>Maplink1</v>
      </c>
      <c r="AV2422" s="14" t="str">
        <f>HYPERLINK("https://www.google.iq/maps/search/+31.5692,47.1583/@31.5692,47.1583,14z?hl=en","Maplink2")</f>
        <v>Maplink2</v>
      </c>
      <c r="AW2422" s="14" t="str">
        <f>HYPERLINK("http://www.bing.com/maps/?lvl=14&amp;sty=h&amp;cp=31.5692~47.1583&amp;sp=point.31.5692_47.1583_Hay al-sinaah","Maplink3")</f>
        <v>Maplink3</v>
      </c>
    </row>
    <row r="2423" spans="1:49" ht="15" customHeight="1" x14ac:dyDescent="0.25">
      <c r="A2423" s="21">
        <v>16198</v>
      </c>
      <c r="B2423" s="22" t="s">
        <v>18</v>
      </c>
      <c r="C2423" s="22" t="s">
        <v>4663</v>
      </c>
      <c r="D2423" s="22" t="s">
        <v>4689</v>
      </c>
      <c r="E2423" s="22" t="s">
        <v>153</v>
      </c>
      <c r="F2423" s="22">
        <v>31.583333</v>
      </c>
      <c r="G2423" s="22">
        <v>47.166944000000001</v>
      </c>
      <c r="H2423" s="21" t="s">
        <v>4647</v>
      </c>
      <c r="I2423" s="21" t="s">
        <v>4666</v>
      </c>
      <c r="J2423" s="21" t="s">
        <v>4690</v>
      </c>
      <c r="K2423" s="24">
        <v>1</v>
      </c>
      <c r="L2423" s="24">
        <v>6</v>
      </c>
      <c r="M2423" s="23">
        <v>1</v>
      </c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>
        <v>1</v>
      </c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23"/>
      <c r="AS2423" s="23">
        <v>1</v>
      </c>
      <c r="AT2423" s="23"/>
      <c r="AU2423" s="14" t="str">
        <f>HYPERLINK("http://www.openstreetmap.org/?mlat=31.5833&amp;mlon=47.1669&amp;zoom=12#map=12/31.5833/47.1669","Maplink1")</f>
        <v>Maplink1</v>
      </c>
      <c r="AV2423" s="14" t="str">
        <f>HYPERLINK("https://www.google.iq/maps/search/+31.5833,47.1669/@31.5833,47.1669,14z?hl=en","Maplink2")</f>
        <v>Maplink2</v>
      </c>
      <c r="AW2423" s="14" t="str">
        <f>HYPERLINK("http://www.bing.com/maps/?lvl=14&amp;sty=h&amp;cp=31.5833~47.1669&amp;sp=point.31.5833_47.1669_Hay alyarmouk","Maplink3")</f>
        <v>Maplink3</v>
      </c>
    </row>
    <row r="2424" spans="1:49" ht="15" customHeight="1" x14ac:dyDescent="0.25">
      <c r="A2424" s="21">
        <v>16202</v>
      </c>
      <c r="B2424" s="22" t="s">
        <v>18</v>
      </c>
      <c r="C2424" s="22" t="s">
        <v>4663</v>
      </c>
      <c r="D2424" s="22" t="s">
        <v>4691</v>
      </c>
      <c r="E2424" s="22" t="s">
        <v>180</v>
      </c>
      <c r="F2424" s="22">
        <v>31.563056</v>
      </c>
      <c r="G2424" s="22">
        <v>47.163333000000002</v>
      </c>
      <c r="H2424" s="21" t="s">
        <v>4647</v>
      </c>
      <c r="I2424" s="21" t="s">
        <v>4666</v>
      </c>
      <c r="J2424" s="21" t="s">
        <v>4692</v>
      </c>
      <c r="K2424" s="24">
        <v>1</v>
      </c>
      <c r="L2424" s="24">
        <v>6</v>
      </c>
      <c r="M2424" s="23"/>
      <c r="N2424" s="23"/>
      <c r="O2424" s="23"/>
      <c r="P2424" s="23"/>
      <c r="Q2424" s="23"/>
      <c r="R2424" s="23"/>
      <c r="S2424" s="23"/>
      <c r="T2424" s="23"/>
      <c r="U2424" s="23">
        <v>1</v>
      </c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>
        <v>1</v>
      </c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>
        <v>1</v>
      </c>
      <c r="AQ2424" s="23"/>
      <c r="AR2424" s="23"/>
      <c r="AS2424" s="23"/>
      <c r="AT2424" s="23"/>
      <c r="AU2424" s="14" t="str">
        <f>HYPERLINK("http://www.openstreetmap.org/?mlat=31.5631&amp;mlon=47.1633&amp;zoom=12#map=12/31.5631/47.1633","Maplink1")</f>
        <v>Maplink1</v>
      </c>
      <c r="AV2424" s="14" t="str">
        <f>HYPERLINK("https://www.google.iq/maps/search/+31.5631,47.1633/@31.5631,47.1633,14z?hl=en","Maplink2")</f>
        <v>Maplink2</v>
      </c>
      <c r="AW2424" s="14" t="str">
        <f>HYPERLINK("http://www.bing.com/maps/?lvl=14&amp;sty=h&amp;cp=31.5631~47.1633&amp;sp=point.31.5631_47.1633_Hay intesar","Maplink3")</f>
        <v>Maplink3</v>
      </c>
    </row>
    <row r="2425" spans="1:49" ht="15" customHeight="1" x14ac:dyDescent="0.25">
      <c r="A2425" s="21">
        <v>22555</v>
      </c>
      <c r="B2425" s="22" t="s">
        <v>18</v>
      </c>
      <c r="C2425" s="22" t="s">
        <v>4663</v>
      </c>
      <c r="D2425" s="22" t="s">
        <v>4693</v>
      </c>
      <c r="E2425" s="22" t="s">
        <v>4694</v>
      </c>
      <c r="F2425" s="22">
        <v>31.684927999999999</v>
      </c>
      <c r="G2425" s="22">
        <v>47.159042999999997</v>
      </c>
      <c r="H2425" s="21" t="s">
        <v>4647</v>
      </c>
      <c r="I2425" s="21" t="s">
        <v>4666</v>
      </c>
      <c r="J2425" s="21" t="s">
        <v>4695</v>
      </c>
      <c r="K2425" s="24">
        <v>2</v>
      </c>
      <c r="L2425" s="24">
        <v>12</v>
      </c>
      <c r="M2425" s="23"/>
      <c r="N2425" s="23"/>
      <c r="O2425" s="23"/>
      <c r="P2425" s="23"/>
      <c r="Q2425" s="23"/>
      <c r="R2425" s="23"/>
      <c r="S2425" s="23"/>
      <c r="T2425" s="23"/>
      <c r="U2425" s="23">
        <v>2</v>
      </c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>
        <v>1</v>
      </c>
      <c r="AG2425" s="23"/>
      <c r="AH2425" s="23"/>
      <c r="AI2425" s="23"/>
      <c r="AJ2425" s="23"/>
      <c r="AK2425" s="23">
        <v>1</v>
      </c>
      <c r="AL2425" s="23"/>
      <c r="AM2425" s="23"/>
      <c r="AN2425" s="23"/>
      <c r="AO2425" s="23"/>
      <c r="AP2425" s="23">
        <v>1</v>
      </c>
      <c r="AQ2425" s="23"/>
      <c r="AR2425" s="23">
        <v>1</v>
      </c>
      <c r="AS2425" s="23"/>
      <c r="AT2425" s="23"/>
      <c r="AU2425" s="14" t="str">
        <f>HYPERLINK("http://www.openstreetmap.org/?mlat=31.6849&amp;mlon=47.159&amp;zoom=12#map=12/31.6849/47.159","Maplink1")</f>
        <v>Maplink1</v>
      </c>
      <c r="AV2425" s="14" t="str">
        <f>HYPERLINK("https://www.google.iq/maps/search/+31.6849,47.159/@31.6849,47.159,14z?hl=en","Maplink2")</f>
        <v>Maplink2</v>
      </c>
      <c r="AW2425" s="14" t="str">
        <f>HYPERLINK("http://www.bing.com/maps/?lvl=14&amp;sty=h&amp;cp=31.6849~47.159&amp;sp=point.31.6849_47.159_Imam Al Hussin village","Maplink3")</f>
        <v>Maplink3</v>
      </c>
    </row>
    <row r="2426" spans="1:49" ht="15" customHeight="1" x14ac:dyDescent="0.25">
      <c r="A2426" s="21">
        <v>16773</v>
      </c>
      <c r="B2426" s="22" t="s">
        <v>18</v>
      </c>
      <c r="C2426" s="22" t="s">
        <v>4696</v>
      </c>
      <c r="D2426" s="22" t="s">
        <v>4697</v>
      </c>
      <c r="E2426" s="22" t="s">
        <v>4698</v>
      </c>
      <c r="F2426" s="22">
        <v>32.463056000000002</v>
      </c>
      <c r="G2426" s="22">
        <v>46.6875</v>
      </c>
      <c r="H2426" s="21" t="s">
        <v>4647</v>
      </c>
      <c r="I2426" s="21" t="s">
        <v>4699</v>
      </c>
      <c r="J2426" s="21" t="s">
        <v>4700</v>
      </c>
      <c r="K2426" s="24">
        <v>9</v>
      </c>
      <c r="L2426" s="24">
        <v>54</v>
      </c>
      <c r="M2426" s="23">
        <v>2</v>
      </c>
      <c r="N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>
        <v>6</v>
      </c>
      <c r="Z2426" s="23"/>
      <c r="AA2426" s="23">
        <v>1</v>
      </c>
      <c r="AB2426" s="23"/>
      <c r="AC2426" s="23"/>
      <c r="AD2426" s="23"/>
      <c r="AE2426" s="23"/>
      <c r="AF2426" s="23">
        <v>2</v>
      </c>
      <c r="AG2426" s="23"/>
      <c r="AH2426" s="23">
        <v>3</v>
      </c>
      <c r="AI2426" s="23"/>
      <c r="AJ2426" s="23"/>
      <c r="AK2426" s="23">
        <v>4</v>
      </c>
      <c r="AL2426" s="23"/>
      <c r="AM2426" s="23"/>
      <c r="AN2426" s="23"/>
      <c r="AO2426" s="23"/>
      <c r="AP2426" s="23">
        <v>1</v>
      </c>
      <c r="AQ2426" s="23">
        <v>5</v>
      </c>
      <c r="AR2426" s="23">
        <v>3</v>
      </c>
      <c r="AS2426" s="23"/>
      <c r="AT2426" s="23"/>
      <c r="AU2426" s="14" t="str">
        <f>HYPERLINK("http://www.openstreetmap.org/?mlat=32.4631&amp;mlon=46.6875&amp;zoom=12#map=12/32.4631/46.6875","Maplink1")</f>
        <v>Maplink1</v>
      </c>
      <c r="AV2426" s="14" t="str">
        <f>HYPERLINK("https://www.google.iq/maps/search/+32.4631,46.6875/@32.4631,46.6875,14z?hl=en","Maplink2")</f>
        <v>Maplink2</v>
      </c>
      <c r="AW2426" s="14" t="str">
        <f>HYPERLINK("http://www.bing.com/maps/?lvl=14&amp;sty=h&amp;cp=32.4631~46.6875&amp;sp=point.32.4631_46.6875_Al-fakhriyah","Maplink3")</f>
        <v>Maplink3</v>
      </c>
    </row>
    <row r="2427" spans="1:49" ht="15" customHeight="1" x14ac:dyDescent="0.25">
      <c r="A2427" s="21">
        <v>16881</v>
      </c>
      <c r="B2427" s="22" t="s">
        <v>18</v>
      </c>
      <c r="C2427" s="22" t="s">
        <v>4696</v>
      </c>
      <c r="D2427" s="22" t="s">
        <v>4701</v>
      </c>
      <c r="E2427" s="22" t="s">
        <v>2696</v>
      </c>
      <c r="F2427" s="22">
        <v>32.472222219999999</v>
      </c>
      <c r="G2427" s="22">
        <v>46.69722222</v>
      </c>
      <c r="H2427" s="21" t="s">
        <v>4647</v>
      </c>
      <c r="I2427" s="21" t="s">
        <v>4699</v>
      </c>
      <c r="J2427" s="21" t="s">
        <v>4702</v>
      </c>
      <c r="K2427" s="24">
        <v>5</v>
      </c>
      <c r="L2427" s="24">
        <v>30</v>
      </c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>
        <v>5</v>
      </c>
      <c r="Z2427" s="23"/>
      <c r="AA2427" s="23"/>
      <c r="AB2427" s="23"/>
      <c r="AC2427" s="23"/>
      <c r="AD2427" s="23"/>
      <c r="AE2427" s="23"/>
      <c r="AF2427" s="23">
        <v>2</v>
      </c>
      <c r="AG2427" s="23"/>
      <c r="AH2427" s="23"/>
      <c r="AI2427" s="23"/>
      <c r="AJ2427" s="23"/>
      <c r="AK2427" s="23">
        <v>3</v>
      </c>
      <c r="AL2427" s="23"/>
      <c r="AM2427" s="23"/>
      <c r="AN2427" s="23"/>
      <c r="AO2427" s="23"/>
      <c r="AP2427" s="23"/>
      <c r="AQ2427" s="23">
        <v>4</v>
      </c>
      <c r="AR2427" s="23">
        <v>1</v>
      </c>
      <c r="AS2427" s="23"/>
      <c r="AT2427" s="23"/>
      <c r="AU2427" s="14" t="str">
        <f>HYPERLINK("http://www.openstreetmap.org/?mlat=32.4722&amp;mlon=46.6972&amp;zoom=12#map=12/32.4722/46.6972","Maplink1")</f>
        <v>Maplink1</v>
      </c>
      <c r="AV2427" s="14" t="str">
        <f>HYPERLINK("https://www.google.iq/maps/search/+32.4722,46.6972/@32.4722,46.6972,14z?hl=en","Maplink2")</f>
        <v>Maplink2</v>
      </c>
      <c r="AW2427" s="14" t="str">
        <f>HYPERLINK("http://www.bing.com/maps/?lvl=14&amp;sty=h&amp;cp=32.4722~46.6972&amp;sp=point.32.4722_46.6972_Hay Al Batool","Maplink3")</f>
        <v>Maplink3</v>
      </c>
    </row>
    <row r="2428" spans="1:49" ht="15" customHeight="1" x14ac:dyDescent="0.25">
      <c r="A2428" s="21">
        <v>22047</v>
      </c>
      <c r="B2428" s="22" t="s">
        <v>18</v>
      </c>
      <c r="C2428" s="22" t="s">
        <v>4696</v>
      </c>
      <c r="D2428" s="22" t="s">
        <v>4703</v>
      </c>
      <c r="E2428" s="22" t="s">
        <v>8054</v>
      </c>
      <c r="F2428" s="22">
        <v>32.117660000000001</v>
      </c>
      <c r="G2428" s="22">
        <v>46.731920000000002</v>
      </c>
      <c r="H2428" s="21" t="s">
        <v>4647</v>
      </c>
      <c r="I2428" s="21" t="s">
        <v>4699</v>
      </c>
      <c r="J2428" s="21" t="s">
        <v>4704</v>
      </c>
      <c r="K2428" s="24">
        <v>1</v>
      </c>
      <c r="L2428" s="24">
        <v>6</v>
      </c>
      <c r="M2428" s="23"/>
      <c r="N2428" s="23"/>
      <c r="O2428" s="23"/>
      <c r="P2428" s="23"/>
      <c r="Q2428" s="23"/>
      <c r="R2428" s="23"/>
      <c r="S2428" s="23"/>
      <c r="T2428" s="23"/>
      <c r="U2428" s="23">
        <v>1</v>
      </c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>
        <v>1</v>
      </c>
      <c r="AG2428" s="23"/>
      <c r="AH2428" s="23"/>
      <c r="AI2428" s="23"/>
      <c r="AJ2428" s="23"/>
      <c r="AK2428" s="23"/>
      <c r="AL2428" s="23"/>
      <c r="AM2428" s="23"/>
      <c r="AN2428" s="23"/>
      <c r="AO2428" s="23"/>
      <c r="AP2428" s="23"/>
      <c r="AQ2428" s="23">
        <v>1</v>
      </c>
      <c r="AR2428" s="23"/>
      <c r="AS2428" s="23"/>
      <c r="AT2428" s="23"/>
      <c r="AU2428" s="14" t="str">
        <f>HYPERLINK("http://www.openstreetmap.org/?mlat=32.1177&amp;mlon=46.7319&amp;zoom=12#map=12/32.1177/46.7319","Maplink1")</f>
        <v>Maplink1</v>
      </c>
      <c r="AV2428" s="14" t="str">
        <f>HYPERLINK("https://www.google.iq/maps/search/+32.1177,46.7319/@32.1177,46.7319,14z?hl=en","Maplink2")</f>
        <v>Maplink2</v>
      </c>
      <c r="AW2428" s="14" t="str">
        <f>HYPERLINK("http://www.bing.com/maps/?lvl=14&amp;sty=h&amp;cp=32.1177~46.7319&amp;sp=point.32.1177_46.7319_Hay Al Hurria-Ali Al Sharqi","Maplink3")</f>
        <v>Maplink3</v>
      </c>
    </row>
    <row r="2429" spans="1:49" ht="15" customHeight="1" x14ac:dyDescent="0.25">
      <c r="A2429" s="21">
        <v>16883</v>
      </c>
      <c r="B2429" s="22" t="s">
        <v>18</v>
      </c>
      <c r="C2429" s="22" t="s">
        <v>4696</v>
      </c>
      <c r="D2429" s="22" t="s">
        <v>4705</v>
      </c>
      <c r="E2429" s="22" t="s">
        <v>2774</v>
      </c>
      <c r="F2429" s="22">
        <v>32.470555560000001</v>
      </c>
      <c r="G2429" s="22">
        <v>46.681388890000001</v>
      </c>
      <c r="H2429" s="21" t="s">
        <v>4647</v>
      </c>
      <c r="I2429" s="21" t="s">
        <v>4699</v>
      </c>
      <c r="J2429" s="21" t="s">
        <v>4706</v>
      </c>
      <c r="K2429" s="24">
        <v>2</v>
      </c>
      <c r="L2429" s="24">
        <v>12</v>
      </c>
      <c r="M2429" s="23"/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>
        <v>2</v>
      </c>
      <c r="Z2429" s="23"/>
      <c r="AA2429" s="23"/>
      <c r="AB2429" s="23"/>
      <c r="AC2429" s="23"/>
      <c r="AD2429" s="23"/>
      <c r="AE2429" s="23"/>
      <c r="AF2429" s="23">
        <v>1</v>
      </c>
      <c r="AG2429" s="23"/>
      <c r="AH2429" s="23">
        <v>1</v>
      </c>
      <c r="AI2429" s="23"/>
      <c r="AJ2429" s="23"/>
      <c r="AK2429" s="23"/>
      <c r="AL2429" s="23"/>
      <c r="AM2429" s="23"/>
      <c r="AN2429" s="23"/>
      <c r="AO2429" s="23"/>
      <c r="AP2429" s="23"/>
      <c r="AQ2429" s="23">
        <v>1</v>
      </c>
      <c r="AR2429" s="23">
        <v>1</v>
      </c>
      <c r="AS2429" s="23"/>
      <c r="AT2429" s="23"/>
      <c r="AU2429" s="14" t="str">
        <f>HYPERLINK("http://www.openstreetmap.org/?mlat=32.4706&amp;mlon=46.6814&amp;zoom=12#map=12/32.4706/46.6814","Maplink1")</f>
        <v>Maplink1</v>
      </c>
      <c r="AV2429" s="14" t="str">
        <f>HYPERLINK("https://www.google.iq/maps/search/+32.4706,46.6814/@32.4706,46.6814,14z?hl=en","Maplink2")</f>
        <v>Maplink2</v>
      </c>
      <c r="AW2429" s="14" t="str">
        <f>HYPERLINK("http://www.bing.com/maps/?lvl=14&amp;sty=h&amp;cp=32.4706~46.6814&amp;sp=point.32.4706_46.6814_Hay Al Sadir","Maplink3")</f>
        <v>Maplink3</v>
      </c>
    </row>
    <row r="2430" spans="1:49" ht="15" customHeight="1" x14ac:dyDescent="0.25">
      <c r="A2430" s="21">
        <v>22504</v>
      </c>
      <c r="B2430" s="22" t="s">
        <v>18</v>
      </c>
      <c r="C2430" s="22" t="s">
        <v>4696</v>
      </c>
      <c r="D2430" s="22" t="s">
        <v>227</v>
      </c>
      <c r="E2430" s="22" t="s">
        <v>8055</v>
      </c>
      <c r="F2430" s="22">
        <v>32.120519999999999</v>
      </c>
      <c r="G2430" s="22">
        <v>46.731340000000003</v>
      </c>
      <c r="H2430" s="21" t="s">
        <v>4647</v>
      </c>
      <c r="I2430" s="21" t="s">
        <v>4699</v>
      </c>
      <c r="J2430" s="21" t="s">
        <v>4707</v>
      </c>
      <c r="K2430" s="24">
        <v>1</v>
      </c>
      <c r="L2430" s="24">
        <v>6</v>
      </c>
      <c r="M2430" s="23"/>
      <c r="N2430" s="23"/>
      <c r="O2430" s="23">
        <v>1</v>
      </c>
      <c r="P2430" s="23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>
        <v>1</v>
      </c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>
        <v>1</v>
      </c>
      <c r="AQ2430" s="23"/>
      <c r="AR2430" s="23"/>
      <c r="AS2430" s="23"/>
      <c r="AT2430" s="23"/>
      <c r="AU2430" s="14" t="str">
        <f>HYPERLINK("http://www.openstreetmap.org/?mlat=32.1205&amp;mlon=46.7313&amp;zoom=12#map=12/32.1205/46.7313","Maplink1")</f>
        <v>Maplink1</v>
      </c>
      <c r="AV2430" s="14" t="str">
        <f>HYPERLINK("https://www.google.iq/maps/search/+32.1205,46.7313/@32.1205,46.7313,14z?hl=en","Maplink2")</f>
        <v>Maplink2</v>
      </c>
      <c r="AW2430" s="14" t="str">
        <f>HYPERLINK("http://www.bing.com/maps/?lvl=14&amp;sty=h&amp;cp=32.1205~46.7313&amp;sp=point.32.1205_46.7313_Hay Al Salam","Maplink3")</f>
        <v>Maplink3</v>
      </c>
    </row>
    <row r="2431" spans="1:49" ht="15" customHeight="1" x14ac:dyDescent="0.25">
      <c r="A2431" s="21">
        <v>16833</v>
      </c>
      <c r="B2431" s="22" t="s">
        <v>18</v>
      </c>
      <c r="C2431" s="22" t="s">
        <v>4696</v>
      </c>
      <c r="D2431" s="22" t="s">
        <v>4708</v>
      </c>
      <c r="E2431" s="22" t="s">
        <v>8056</v>
      </c>
      <c r="F2431" s="22">
        <v>32.116888000000003</v>
      </c>
      <c r="G2431" s="22">
        <v>46.733387999999998</v>
      </c>
      <c r="H2431" s="21" t="s">
        <v>4647</v>
      </c>
      <c r="I2431" s="21" t="s">
        <v>4699</v>
      </c>
      <c r="J2431" s="21" t="s">
        <v>4709</v>
      </c>
      <c r="K2431" s="24">
        <v>1</v>
      </c>
      <c r="L2431" s="24">
        <v>6</v>
      </c>
      <c r="M2431" s="23"/>
      <c r="N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>
        <v>1</v>
      </c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1</v>
      </c>
      <c r="AL2431" s="23"/>
      <c r="AM2431" s="23"/>
      <c r="AN2431" s="23"/>
      <c r="AO2431" s="23"/>
      <c r="AP2431" s="23">
        <v>1</v>
      </c>
      <c r="AQ2431" s="23"/>
      <c r="AR2431" s="23"/>
      <c r="AS2431" s="23"/>
      <c r="AT2431" s="23"/>
      <c r="AU2431" s="14" t="str">
        <f>HYPERLINK("http://www.openstreetmap.org/?mlat=32.1169&amp;mlon=46.7334&amp;zoom=12#map=12/32.1169/46.7334","Maplink1")</f>
        <v>Maplink1</v>
      </c>
      <c r="AV2431" s="14" t="str">
        <f>HYPERLINK("https://www.google.iq/maps/search/+32.1169,46.7334/@32.1169,46.7334,14z?hl=en","Maplink2")</f>
        <v>Maplink2</v>
      </c>
      <c r="AW2431" s="14" t="str">
        <f>HYPERLINK("http://www.bing.com/maps/?lvl=14&amp;sty=h&amp;cp=32.1169~46.7334&amp;sp=point.32.1169_46.7334_Hay Al-Mualmin-Ali Al Sharqi","Maplink3")</f>
        <v>Maplink3</v>
      </c>
    </row>
    <row r="2432" spans="1:49" ht="15" customHeight="1" x14ac:dyDescent="0.25">
      <c r="A2432" s="21">
        <v>16772</v>
      </c>
      <c r="B2432" s="22" t="s">
        <v>18</v>
      </c>
      <c r="C2432" s="22" t="s">
        <v>4696</v>
      </c>
      <c r="D2432" s="22" t="s">
        <v>4710</v>
      </c>
      <c r="E2432" s="22" t="s">
        <v>4711</v>
      </c>
      <c r="F2432" s="22">
        <v>32.460278000000002</v>
      </c>
      <c r="G2432" s="22">
        <v>46.688333</v>
      </c>
      <c r="H2432" s="21" t="s">
        <v>4647</v>
      </c>
      <c r="I2432" s="21" t="s">
        <v>4699</v>
      </c>
      <c r="J2432" s="21" t="s">
        <v>4712</v>
      </c>
      <c r="K2432" s="24">
        <v>1</v>
      </c>
      <c r="L2432" s="24">
        <v>6</v>
      </c>
      <c r="M2432" s="23"/>
      <c r="N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>
        <v>1</v>
      </c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1</v>
      </c>
      <c r="AL2432" s="23"/>
      <c r="AM2432" s="23"/>
      <c r="AN2432" s="23"/>
      <c r="AO2432" s="23"/>
      <c r="AP2432" s="23"/>
      <c r="AQ2432" s="23">
        <v>1</v>
      </c>
      <c r="AR2432" s="23"/>
      <c r="AS2432" s="23"/>
      <c r="AT2432" s="23"/>
      <c r="AU2432" s="14" t="str">
        <f>HYPERLINK("http://www.openstreetmap.org/?mlat=32.4603&amp;mlon=46.6883&amp;zoom=12#map=12/32.4603/46.6883","Maplink1")</f>
        <v>Maplink1</v>
      </c>
      <c r="AV2432" s="14" t="str">
        <f>HYPERLINK("https://www.google.iq/maps/search/+32.4603,46.6883/@32.4603,46.6883,14z?hl=en","Maplink2")</f>
        <v>Maplink2</v>
      </c>
      <c r="AW2432" s="14" t="str">
        <f>HYPERLINK("http://www.bing.com/maps/?lvl=14&amp;sty=h&amp;cp=32.4603~46.6883&amp;sp=point.32.4603_46.6883_Hay al-qalah","Maplink3")</f>
        <v>Maplink3</v>
      </c>
    </row>
    <row r="2433" spans="1:49" ht="15" customHeight="1" x14ac:dyDescent="0.25">
      <c r="A2433" s="21">
        <v>24239</v>
      </c>
      <c r="B2433" s="22" t="s">
        <v>18</v>
      </c>
      <c r="C2433" s="22" t="s">
        <v>4696</v>
      </c>
      <c r="D2433" s="22" t="s">
        <v>644</v>
      </c>
      <c r="E2433" s="22" t="s">
        <v>8057</v>
      </c>
      <c r="F2433" s="22">
        <v>32.121493000000001</v>
      </c>
      <c r="G2433" s="22">
        <v>46.738545999999999</v>
      </c>
      <c r="H2433" s="21" t="s">
        <v>4647</v>
      </c>
      <c r="I2433" s="21" t="s">
        <v>4699</v>
      </c>
      <c r="J2433" s="21" t="s">
        <v>4713</v>
      </c>
      <c r="K2433" s="24">
        <v>4</v>
      </c>
      <c r="L2433" s="24">
        <v>24</v>
      </c>
      <c r="M2433" s="23"/>
      <c r="N2433" s="23"/>
      <c r="O2433" s="23">
        <v>1</v>
      </c>
      <c r="P2433" s="23"/>
      <c r="Q2433" s="23"/>
      <c r="R2433" s="23"/>
      <c r="S2433" s="23"/>
      <c r="T2433" s="23"/>
      <c r="U2433" s="23"/>
      <c r="V2433" s="23"/>
      <c r="W2433" s="23"/>
      <c r="X2433" s="23"/>
      <c r="Y2433" s="23">
        <v>3</v>
      </c>
      <c r="Z2433" s="23"/>
      <c r="AA2433" s="23"/>
      <c r="AB2433" s="23"/>
      <c r="AC2433" s="23"/>
      <c r="AD2433" s="23"/>
      <c r="AE2433" s="23"/>
      <c r="AF2433" s="23"/>
      <c r="AG2433" s="23"/>
      <c r="AH2433" s="23">
        <v>1</v>
      </c>
      <c r="AI2433" s="23"/>
      <c r="AJ2433" s="23"/>
      <c r="AK2433" s="23">
        <v>3</v>
      </c>
      <c r="AL2433" s="23"/>
      <c r="AM2433" s="23"/>
      <c r="AN2433" s="23"/>
      <c r="AO2433" s="23"/>
      <c r="AP2433" s="23">
        <v>1</v>
      </c>
      <c r="AQ2433" s="23">
        <v>3</v>
      </c>
      <c r="AR2433" s="23"/>
      <c r="AS2433" s="23"/>
      <c r="AT2433" s="23"/>
      <c r="AU2433" s="14" t="str">
        <f>HYPERLINK("http://www.openstreetmap.org/?mlat=32.1215&amp;mlon=46.7385&amp;zoom=12#map=12/32.1215/46.7385","Maplink1")</f>
        <v>Maplink1</v>
      </c>
      <c r="AV2433" s="14" t="str">
        <f>HYPERLINK("https://www.google.iq/maps/search/+32.1215,46.7385/@32.1215,46.7385,14z?hl=en","Maplink2")</f>
        <v>Maplink2</v>
      </c>
      <c r="AW2433" s="14" t="str">
        <f>HYPERLINK("http://www.bing.com/maps/?lvl=14&amp;sty=h&amp;cp=32.1215~46.7385&amp;sp=point.32.1215_46.7385_Hay Al-Quds","Maplink3")</f>
        <v>Maplink3</v>
      </c>
    </row>
    <row r="2434" spans="1:49" ht="15" customHeight="1" x14ac:dyDescent="0.25">
      <c r="A2434" s="21">
        <v>16779</v>
      </c>
      <c r="B2434" s="22" t="s">
        <v>18</v>
      </c>
      <c r="C2434" s="22" t="s">
        <v>4696</v>
      </c>
      <c r="D2434" s="22" t="s">
        <v>1156</v>
      </c>
      <c r="E2434" s="22" t="s">
        <v>2196</v>
      </c>
      <c r="F2434" s="22">
        <v>32.468333000000001</v>
      </c>
      <c r="G2434" s="22">
        <v>46.693055999999999</v>
      </c>
      <c r="H2434" s="21" t="s">
        <v>4647</v>
      </c>
      <c r="I2434" s="21" t="s">
        <v>4699</v>
      </c>
      <c r="J2434" s="21" t="s">
        <v>4715</v>
      </c>
      <c r="K2434" s="24">
        <v>2</v>
      </c>
      <c r="L2434" s="24">
        <v>12</v>
      </c>
      <c r="M2434" s="23"/>
      <c r="N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>
        <v>2</v>
      </c>
      <c r="Z2434" s="23"/>
      <c r="AA2434" s="23"/>
      <c r="AB2434" s="23"/>
      <c r="AC2434" s="23"/>
      <c r="AD2434" s="23"/>
      <c r="AE2434" s="23"/>
      <c r="AF2434" s="23">
        <v>2</v>
      </c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23">
        <v>2</v>
      </c>
      <c r="AS2434" s="23"/>
      <c r="AT2434" s="23"/>
      <c r="AU2434" s="14" t="str">
        <f>HYPERLINK("http://www.openstreetmap.org/?mlat=32.4683&amp;mlon=46.6931&amp;zoom=12#map=12/32.4683/46.6931","Maplink1")</f>
        <v>Maplink1</v>
      </c>
      <c r="AV2434" s="14" t="str">
        <f>HYPERLINK("https://www.google.iq/maps/search/+32.4683,46.6931/@32.4683,46.6931,14z?hl=en","Maplink2")</f>
        <v>Maplink2</v>
      </c>
      <c r="AW2434" s="14" t="str">
        <f>HYPERLINK("http://www.bing.com/maps/?lvl=14&amp;sty=h&amp;cp=32.4683~46.6931&amp;sp=point.32.4683_46.6931_Hay al-zahraa","Maplink3")</f>
        <v>Maplink3</v>
      </c>
    </row>
    <row r="2435" spans="1:49" ht="15" customHeight="1" x14ac:dyDescent="0.25">
      <c r="A2435" s="21">
        <v>15808</v>
      </c>
      <c r="B2435" s="22" t="s">
        <v>18</v>
      </c>
      <c r="C2435" s="22" t="s">
        <v>4696</v>
      </c>
      <c r="D2435" s="22" t="s">
        <v>4716</v>
      </c>
      <c r="E2435" s="22" t="s">
        <v>4717</v>
      </c>
      <c r="F2435" s="22">
        <v>32.46</v>
      </c>
      <c r="G2435" s="22">
        <v>46.68</v>
      </c>
      <c r="H2435" s="21" t="s">
        <v>4647</v>
      </c>
      <c r="I2435" s="21" t="s">
        <v>4699</v>
      </c>
      <c r="J2435" s="21" t="s">
        <v>4718</v>
      </c>
      <c r="K2435" s="24">
        <v>3</v>
      </c>
      <c r="L2435" s="24">
        <v>18</v>
      </c>
      <c r="M2435" s="23"/>
      <c r="N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>
        <v>1</v>
      </c>
      <c r="Z2435" s="23"/>
      <c r="AA2435" s="23">
        <v>2</v>
      </c>
      <c r="AB2435" s="23"/>
      <c r="AC2435" s="23"/>
      <c r="AD2435" s="23"/>
      <c r="AE2435" s="23"/>
      <c r="AF2435" s="23">
        <v>2</v>
      </c>
      <c r="AG2435" s="23"/>
      <c r="AH2435" s="23"/>
      <c r="AI2435" s="23"/>
      <c r="AJ2435" s="23"/>
      <c r="AK2435" s="23">
        <v>1</v>
      </c>
      <c r="AL2435" s="23"/>
      <c r="AM2435" s="23"/>
      <c r="AN2435" s="23"/>
      <c r="AO2435" s="23"/>
      <c r="AP2435" s="23">
        <v>2</v>
      </c>
      <c r="AQ2435" s="23"/>
      <c r="AR2435" s="23"/>
      <c r="AS2435" s="23">
        <v>1</v>
      </c>
      <c r="AT2435" s="23"/>
      <c r="AU2435" s="14" t="str">
        <f>HYPERLINK("http://www.openstreetmap.org/?mlat=32.46&amp;mlon=46.68&amp;zoom=12#map=12/32.46/46.68","Maplink1")</f>
        <v>Maplink1</v>
      </c>
      <c r="AV2435" s="14" t="str">
        <f>HYPERLINK("https://www.google.iq/maps/search/+32.46,46.68/@32.46,46.68,14z?hl=en","Maplink2")</f>
        <v>Maplink2</v>
      </c>
      <c r="AW2435" s="14" t="str">
        <f>HYPERLINK("http://www.bing.com/maps/?lvl=14&amp;sty=h&amp;cp=32.46~46.68&amp;sp=point.32.46_46.68_Najadiya","Maplink3")</f>
        <v>Maplink3</v>
      </c>
    </row>
    <row r="2436" spans="1:49" ht="15" customHeight="1" x14ac:dyDescent="0.25">
      <c r="A2436" s="21">
        <v>24532</v>
      </c>
      <c r="B2436" s="22" t="s">
        <v>18</v>
      </c>
      <c r="C2436" s="22" t="s">
        <v>4719</v>
      </c>
      <c r="D2436" s="22" t="s">
        <v>4722</v>
      </c>
      <c r="E2436" s="22" t="s">
        <v>4723</v>
      </c>
      <c r="F2436" s="22">
        <v>31.812215999999999</v>
      </c>
      <c r="G2436" s="22">
        <v>47.168014999999997</v>
      </c>
      <c r="H2436" s="21" t="s">
        <v>4647</v>
      </c>
      <c r="I2436" s="21" t="s">
        <v>4721</v>
      </c>
      <c r="J2436" s="21"/>
      <c r="K2436" s="24">
        <v>316</v>
      </c>
      <c r="L2436" s="24">
        <v>1896</v>
      </c>
      <c r="M2436" s="23">
        <v>46</v>
      </c>
      <c r="N2436" s="23">
        <v>2</v>
      </c>
      <c r="O2436" s="23"/>
      <c r="P2436" s="23"/>
      <c r="Q2436" s="23"/>
      <c r="R2436" s="23">
        <v>1</v>
      </c>
      <c r="S2436" s="23"/>
      <c r="T2436" s="23"/>
      <c r="U2436" s="23">
        <v>12</v>
      </c>
      <c r="V2436" s="23"/>
      <c r="W2436" s="23"/>
      <c r="X2436" s="23"/>
      <c r="Y2436" s="23">
        <v>233</v>
      </c>
      <c r="Z2436" s="23"/>
      <c r="AA2436" s="23">
        <v>22</v>
      </c>
      <c r="AB2436" s="23"/>
      <c r="AC2436" s="23"/>
      <c r="AD2436" s="23"/>
      <c r="AE2436" s="23"/>
      <c r="AF2436" s="23">
        <v>106</v>
      </c>
      <c r="AG2436" s="23"/>
      <c r="AH2436" s="23"/>
      <c r="AI2436" s="23"/>
      <c r="AJ2436" s="23"/>
      <c r="AK2436" s="23">
        <v>189</v>
      </c>
      <c r="AL2436" s="23">
        <v>21</v>
      </c>
      <c r="AM2436" s="23"/>
      <c r="AN2436" s="23"/>
      <c r="AO2436" s="23">
        <v>1</v>
      </c>
      <c r="AP2436" s="23">
        <v>66</v>
      </c>
      <c r="AQ2436" s="23">
        <v>145</v>
      </c>
      <c r="AR2436" s="23">
        <v>78</v>
      </c>
      <c r="AS2436" s="23">
        <v>26</v>
      </c>
      <c r="AT2436" s="23"/>
      <c r="AU2436" s="14" t="str">
        <f>HYPERLINK("http://www.openstreetmap.org/?mlat=31.8122&amp;mlon=47.168&amp;zoom=12#map=12/31.8122/47.168","Maplink1")</f>
        <v>Maplink1</v>
      </c>
      <c r="AV2436" s="14" t="str">
        <f>HYPERLINK("https://www.google.iq/maps/search/+31.8122,47.168/@31.8122,47.168,14z?hl=en","Maplink2")</f>
        <v>Maplink2</v>
      </c>
      <c r="AW2436" s="14" t="str">
        <f>HYPERLINK("http://www.bing.com/maps/?lvl=14&amp;sty=h&amp;cp=31.8122~47.168&amp;sp=point.31.8122_47.168_Al Hay Al JameI","Maplink3")</f>
        <v>Maplink3</v>
      </c>
    </row>
    <row r="2437" spans="1:49" ht="15" customHeight="1" x14ac:dyDescent="0.25">
      <c r="A2437" s="21">
        <v>16681</v>
      </c>
      <c r="B2437" s="22" t="s">
        <v>18</v>
      </c>
      <c r="C2437" s="22" t="s">
        <v>4719</v>
      </c>
      <c r="D2437" s="22" t="s">
        <v>8225</v>
      </c>
      <c r="E2437" s="22" t="s">
        <v>8226</v>
      </c>
      <c r="F2437" s="22">
        <v>32.045096000000001</v>
      </c>
      <c r="G2437" s="22">
        <v>46.886029999999998</v>
      </c>
      <c r="H2437" s="21" t="s">
        <v>4647</v>
      </c>
      <c r="I2437" s="21" t="s">
        <v>4721</v>
      </c>
      <c r="J2437" s="21" t="s">
        <v>8227</v>
      </c>
      <c r="K2437" s="24">
        <v>1</v>
      </c>
      <c r="L2437" s="24">
        <v>6</v>
      </c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>
        <v>1</v>
      </c>
      <c r="Z2437" s="23"/>
      <c r="AA2437" s="23"/>
      <c r="AB2437" s="23"/>
      <c r="AC2437" s="23"/>
      <c r="AD2437" s="23"/>
      <c r="AE2437" s="23"/>
      <c r="AF2437" s="23">
        <v>1</v>
      </c>
      <c r="AG2437" s="23"/>
      <c r="AH2437" s="23"/>
      <c r="AI2437" s="23"/>
      <c r="AJ2437" s="23"/>
      <c r="AK2437" s="23"/>
      <c r="AL2437" s="23"/>
      <c r="AM2437" s="23"/>
      <c r="AN2437" s="23"/>
      <c r="AO2437" s="23"/>
      <c r="AP2437" s="23"/>
      <c r="AQ2437" s="23">
        <v>1</v>
      </c>
      <c r="AR2437" s="23"/>
      <c r="AS2437" s="23"/>
      <c r="AT2437" s="23"/>
      <c r="AU2437" s="14" t="str">
        <f>HYPERLINK("http://www.openstreetmap.org/?mlat=32.0451&amp;mlon=46.886&amp;zoom=12#map=12/32.0451/46.886","Maplink1")</f>
        <v>Maplink1</v>
      </c>
      <c r="AV2437" s="14" t="str">
        <f>HYPERLINK("https://www.google.iq/maps/search/+32.0451,46.886/@32.0451,46.886,14z?hl=en","Maplink2")</f>
        <v>Maplink2</v>
      </c>
      <c r="AW2437" s="14" t="str">
        <f>HYPERLINK("http://www.bing.com/maps/?lvl=14&amp;sty=h&amp;cp=32.0451~46.886&amp;sp=point.32.0451_46.886","Maplink3")</f>
        <v>Maplink3</v>
      </c>
    </row>
    <row r="2438" spans="1:49" ht="15" customHeight="1" x14ac:dyDescent="0.25">
      <c r="A2438" s="21">
        <v>21620</v>
      </c>
      <c r="B2438" s="22" t="s">
        <v>18</v>
      </c>
      <c r="C2438" s="22" t="s">
        <v>4719</v>
      </c>
      <c r="D2438" s="22" t="s">
        <v>4724</v>
      </c>
      <c r="E2438" s="22" t="s">
        <v>4725</v>
      </c>
      <c r="F2438" s="22">
        <v>31.786318999999999</v>
      </c>
      <c r="G2438" s="22">
        <v>47.185656000000002</v>
      </c>
      <c r="H2438" s="21" t="s">
        <v>4647</v>
      </c>
      <c r="I2438" s="21" t="s">
        <v>4721</v>
      </c>
      <c r="J2438" s="21" t="s">
        <v>4726</v>
      </c>
      <c r="K2438" s="24">
        <v>2</v>
      </c>
      <c r="L2438" s="24">
        <v>12</v>
      </c>
      <c r="M2438" s="23"/>
      <c r="N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>
        <v>2</v>
      </c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>
        <v>2</v>
      </c>
      <c r="AL2438" s="23"/>
      <c r="AM2438" s="23"/>
      <c r="AN2438" s="23"/>
      <c r="AO2438" s="23"/>
      <c r="AP2438" s="23">
        <v>1</v>
      </c>
      <c r="AQ2438" s="23">
        <v>1</v>
      </c>
      <c r="AR2438" s="23"/>
      <c r="AS2438" s="23"/>
      <c r="AT2438" s="23"/>
      <c r="AU2438" s="14" t="str">
        <f>HYPERLINK("http://www.openstreetmap.org/?mlat=31.7863&amp;mlon=47.1857&amp;zoom=12#map=12/31.7863/47.1857","Maplink1")</f>
        <v>Maplink1</v>
      </c>
      <c r="AV2438" s="14" t="str">
        <f>HYPERLINK("https://www.google.iq/maps/search/+31.7863,47.1857/@31.7863,47.1857,14z?hl=en","Maplink2")</f>
        <v>Maplink2</v>
      </c>
      <c r="AW2438" s="14" t="str">
        <f>HYPERLINK("http://www.bing.com/maps/?lvl=14&amp;sty=h&amp;cp=31.7863~47.1857&amp;sp=point.31.7863_47.1857_Al Mudathra","Maplink3")</f>
        <v>Maplink3</v>
      </c>
    </row>
    <row r="2439" spans="1:49" ht="15" customHeight="1" x14ac:dyDescent="0.25">
      <c r="A2439" s="21">
        <v>24291</v>
      </c>
      <c r="B2439" s="22" t="s">
        <v>18</v>
      </c>
      <c r="C2439" s="22" t="s">
        <v>4719</v>
      </c>
      <c r="D2439" s="22" t="s">
        <v>4727</v>
      </c>
      <c r="E2439" s="22" t="s">
        <v>4728</v>
      </c>
      <c r="F2439" s="22">
        <v>31.871386000000001</v>
      </c>
      <c r="G2439" s="22">
        <v>47.157048000000003</v>
      </c>
      <c r="H2439" s="21" t="s">
        <v>4647</v>
      </c>
      <c r="I2439" s="21" t="s">
        <v>4721</v>
      </c>
      <c r="J2439" s="21" t="s">
        <v>4729</v>
      </c>
      <c r="K2439" s="24">
        <v>3</v>
      </c>
      <c r="L2439" s="24">
        <v>18</v>
      </c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>
        <v>2</v>
      </c>
      <c r="Z2439" s="23"/>
      <c r="AA2439" s="23">
        <v>1</v>
      </c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>
        <v>3</v>
      </c>
      <c r="AL2439" s="23"/>
      <c r="AM2439" s="23"/>
      <c r="AN2439" s="23"/>
      <c r="AO2439" s="23"/>
      <c r="AP2439" s="23">
        <v>2</v>
      </c>
      <c r="AQ2439" s="23"/>
      <c r="AR2439" s="23">
        <v>1</v>
      </c>
      <c r="AS2439" s="23"/>
      <c r="AT2439" s="23"/>
      <c r="AU2439" s="14" t="str">
        <f>HYPERLINK("http://www.openstreetmap.org/?mlat=31.8714&amp;mlon=47.157&amp;zoom=12#map=12/31.8714/47.157","Maplink1")</f>
        <v>Maplink1</v>
      </c>
      <c r="AV2439" s="14" t="str">
        <f>HYPERLINK("https://www.google.iq/maps/search/+31.8714,47.157/@31.8714,47.157,14z?hl=en","Maplink2")</f>
        <v>Maplink2</v>
      </c>
      <c r="AW2439" s="14" t="str">
        <f>HYPERLINK("http://www.bing.com/maps/?lvl=14&amp;sty=h&amp;cp=31.8714~47.157&amp;sp=point.31.8714_47.157_Al Rahma 2","Maplink3")</f>
        <v>Maplink3</v>
      </c>
    </row>
    <row r="2440" spans="1:49" ht="15" customHeight="1" x14ac:dyDescent="0.25">
      <c r="A2440" s="21">
        <v>22208</v>
      </c>
      <c r="B2440" s="22" t="s">
        <v>18</v>
      </c>
      <c r="C2440" s="22" t="s">
        <v>4719</v>
      </c>
      <c r="D2440" s="22" t="s">
        <v>1643</v>
      </c>
      <c r="E2440" s="22" t="s">
        <v>150</v>
      </c>
      <c r="F2440" s="22">
        <v>31.87509</v>
      </c>
      <c r="G2440" s="22">
        <v>47.150790000000001</v>
      </c>
      <c r="H2440" s="21" t="s">
        <v>4647</v>
      </c>
      <c r="I2440" s="21" t="s">
        <v>4721</v>
      </c>
      <c r="J2440" s="21" t="s">
        <v>4730</v>
      </c>
      <c r="K2440" s="24">
        <v>24</v>
      </c>
      <c r="L2440" s="24">
        <v>144</v>
      </c>
      <c r="M2440" s="23"/>
      <c r="N2440" s="23"/>
      <c r="O2440" s="23">
        <v>1</v>
      </c>
      <c r="P2440" s="23"/>
      <c r="Q2440" s="23"/>
      <c r="R2440" s="23"/>
      <c r="S2440" s="23"/>
      <c r="T2440" s="23"/>
      <c r="U2440" s="23">
        <v>19</v>
      </c>
      <c r="V2440" s="23"/>
      <c r="W2440" s="23"/>
      <c r="X2440" s="23"/>
      <c r="Y2440" s="23">
        <v>4</v>
      </c>
      <c r="Z2440" s="23"/>
      <c r="AA2440" s="23"/>
      <c r="AB2440" s="23"/>
      <c r="AC2440" s="23"/>
      <c r="AD2440" s="23"/>
      <c r="AE2440" s="23"/>
      <c r="AF2440" s="23">
        <v>14</v>
      </c>
      <c r="AG2440" s="23"/>
      <c r="AH2440" s="23">
        <v>1</v>
      </c>
      <c r="AI2440" s="23"/>
      <c r="AJ2440" s="23"/>
      <c r="AK2440" s="23">
        <v>9</v>
      </c>
      <c r="AL2440" s="23"/>
      <c r="AM2440" s="23"/>
      <c r="AN2440" s="23"/>
      <c r="AO2440" s="23">
        <v>1</v>
      </c>
      <c r="AP2440" s="23">
        <v>6</v>
      </c>
      <c r="AQ2440" s="23">
        <v>9</v>
      </c>
      <c r="AR2440" s="23">
        <v>8</v>
      </c>
      <c r="AS2440" s="23"/>
      <c r="AT2440" s="23"/>
      <c r="AU2440" s="14" t="str">
        <f>HYPERLINK("http://www.openstreetmap.org/?mlat=31.8751&amp;mlon=47.1508&amp;zoom=12#map=12/31.8751/47.1508","Maplink1")</f>
        <v>Maplink1</v>
      </c>
      <c r="AV2440" s="14" t="str">
        <f>HYPERLINK("https://www.google.iq/maps/search/+31.8751,47.1508/@31.8751,47.1508,14z?hl=en","Maplink2")</f>
        <v>Maplink2</v>
      </c>
      <c r="AW2440" s="14" t="str">
        <f>HYPERLINK("http://www.bing.com/maps/?lvl=14&amp;sty=h&amp;cp=31.8751~47.1508&amp;sp=point.31.8751_47.1508_Al Salam","Maplink3")</f>
        <v>Maplink3</v>
      </c>
    </row>
    <row r="2441" spans="1:49" ht="15" customHeight="1" x14ac:dyDescent="0.25">
      <c r="A2441" s="21">
        <v>22740</v>
      </c>
      <c r="B2441" s="22" t="s">
        <v>18</v>
      </c>
      <c r="C2441" s="22" t="s">
        <v>4719</v>
      </c>
      <c r="D2441" s="22" t="s">
        <v>4731</v>
      </c>
      <c r="E2441" s="22" t="s">
        <v>8058</v>
      </c>
      <c r="F2441" s="22">
        <v>31.930112000000001</v>
      </c>
      <c r="G2441" s="22">
        <v>46.912325000000003</v>
      </c>
      <c r="H2441" s="21" t="s">
        <v>4647</v>
      </c>
      <c r="I2441" s="21" t="s">
        <v>4721</v>
      </c>
      <c r="J2441" s="21" t="s">
        <v>4732</v>
      </c>
      <c r="K2441" s="24">
        <v>2</v>
      </c>
      <c r="L2441" s="24">
        <v>12</v>
      </c>
      <c r="M2441" s="23"/>
      <c r="N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>
        <v>2</v>
      </c>
      <c r="Z2441" s="23"/>
      <c r="AA2441" s="23"/>
      <c r="AB2441" s="23"/>
      <c r="AC2441" s="23"/>
      <c r="AD2441" s="23"/>
      <c r="AE2441" s="23"/>
      <c r="AF2441" s="23">
        <v>2</v>
      </c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/>
      <c r="AQ2441" s="23"/>
      <c r="AR2441" s="23">
        <v>2</v>
      </c>
      <c r="AS2441" s="23"/>
      <c r="AT2441" s="23"/>
      <c r="AU2441" s="14" t="str">
        <f>HYPERLINK("http://www.openstreetmap.org/?mlat=31.9301&amp;mlon=46.9123&amp;zoom=12#map=12/31.9301/46.9123","Maplink1")</f>
        <v>Maplink1</v>
      </c>
      <c r="AV2441" s="14" t="str">
        <f>HYPERLINK("https://www.google.iq/maps/search/+31.9301,46.9123/@31.9301,46.9123,14z?hl=en","Maplink2")</f>
        <v>Maplink2</v>
      </c>
      <c r="AW2441" s="14" t="str">
        <f>HYPERLINK("http://www.bing.com/maps/?lvl=14&amp;sty=h&amp;cp=31.9301~46.9123&amp;sp=point.31.9301_46.9123_Al-Amara-Albu Ali","Maplink3")</f>
        <v>Maplink3</v>
      </c>
    </row>
    <row r="2442" spans="1:49" ht="15" customHeight="1" x14ac:dyDescent="0.25">
      <c r="A2442" s="21">
        <v>24416</v>
      </c>
      <c r="B2442" s="22" t="s">
        <v>18</v>
      </c>
      <c r="C2442" s="22" t="s">
        <v>4719</v>
      </c>
      <c r="D2442" s="22" t="s">
        <v>4733</v>
      </c>
      <c r="E2442" s="22" t="s">
        <v>4734</v>
      </c>
      <c r="F2442" s="22">
        <v>31.846819</v>
      </c>
      <c r="G2442" s="22">
        <v>47.126249000000001</v>
      </c>
      <c r="H2442" s="21" t="s">
        <v>4647</v>
      </c>
      <c r="I2442" s="21" t="s">
        <v>4721</v>
      </c>
      <c r="J2442" s="21"/>
      <c r="K2442" s="24">
        <v>7</v>
      </c>
      <c r="L2442" s="24">
        <v>42</v>
      </c>
      <c r="M2442" s="23">
        <v>4</v>
      </c>
      <c r="N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>
        <v>1</v>
      </c>
      <c r="Z2442" s="23"/>
      <c r="AA2442" s="23">
        <v>2</v>
      </c>
      <c r="AB2442" s="23"/>
      <c r="AC2442" s="23"/>
      <c r="AD2442" s="23"/>
      <c r="AE2442" s="23"/>
      <c r="AF2442" s="23">
        <v>1</v>
      </c>
      <c r="AG2442" s="23"/>
      <c r="AH2442" s="23">
        <v>1</v>
      </c>
      <c r="AI2442" s="23"/>
      <c r="AJ2442" s="23"/>
      <c r="AK2442" s="23">
        <v>5</v>
      </c>
      <c r="AL2442" s="23"/>
      <c r="AM2442" s="23"/>
      <c r="AN2442" s="23"/>
      <c r="AO2442" s="23"/>
      <c r="AP2442" s="23">
        <v>2</v>
      </c>
      <c r="AQ2442" s="23">
        <v>1</v>
      </c>
      <c r="AR2442" s="23">
        <v>1</v>
      </c>
      <c r="AS2442" s="23">
        <v>3</v>
      </c>
      <c r="AT2442" s="23"/>
      <c r="AU2442" s="14" t="str">
        <f>HYPERLINK("http://www.openstreetmap.org/?mlat=31.8468&amp;mlon=47.1262&amp;zoom=12#map=12/31.8468/47.1262","Maplink1")</f>
        <v>Maplink1</v>
      </c>
      <c r="AV2442" s="14" t="str">
        <f>HYPERLINK("https://www.google.iq/maps/search/+31.8468,47.1262/@31.8468,47.1262,14z?hl=en","Maplink2")</f>
        <v>Maplink2</v>
      </c>
      <c r="AW2442" s="14" t="str">
        <f>HYPERLINK("http://www.bing.com/maps/?lvl=14&amp;sty=h&amp;cp=31.8468~47.1262&amp;sp=point.31.8468_47.1262_Al-Imarat Al Jadeda","Maplink3")</f>
        <v>Maplink3</v>
      </c>
    </row>
    <row r="2443" spans="1:49" ht="15" customHeight="1" x14ac:dyDescent="0.25">
      <c r="A2443" s="21">
        <v>24290</v>
      </c>
      <c r="B2443" s="22" t="s">
        <v>18</v>
      </c>
      <c r="C2443" s="22" t="s">
        <v>4719</v>
      </c>
      <c r="D2443" s="22" t="s">
        <v>4735</v>
      </c>
      <c r="E2443" s="22" t="s">
        <v>4736</v>
      </c>
      <c r="F2443" s="22">
        <v>31.8934</v>
      </c>
      <c r="G2443" s="22">
        <v>47.124630000000003</v>
      </c>
      <c r="H2443" s="21" t="s">
        <v>4647</v>
      </c>
      <c r="I2443" s="21" t="s">
        <v>4721</v>
      </c>
      <c r="J2443" s="21" t="s">
        <v>4737</v>
      </c>
      <c r="K2443" s="24">
        <v>4</v>
      </c>
      <c r="L2443" s="24">
        <v>24</v>
      </c>
      <c r="M2443" s="23"/>
      <c r="N2443" s="23"/>
      <c r="O2443" s="23">
        <v>1</v>
      </c>
      <c r="P2443" s="23"/>
      <c r="Q2443" s="23"/>
      <c r="R2443" s="23"/>
      <c r="S2443" s="23"/>
      <c r="T2443" s="23"/>
      <c r="U2443" s="23"/>
      <c r="V2443" s="23"/>
      <c r="W2443" s="23"/>
      <c r="X2443" s="23"/>
      <c r="Y2443" s="23">
        <v>2</v>
      </c>
      <c r="Z2443" s="23"/>
      <c r="AA2443" s="23">
        <v>1</v>
      </c>
      <c r="AB2443" s="23"/>
      <c r="AC2443" s="23"/>
      <c r="AD2443" s="23"/>
      <c r="AE2443" s="23"/>
      <c r="AF2443" s="23">
        <v>1</v>
      </c>
      <c r="AG2443" s="23"/>
      <c r="AH2443" s="23"/>
      <c r="AI2443" s="23"/>
      <c r="AJ2443" s="23"/>
      <c r="AK2443" s="23">
        <v>3</v>
      </c>
      <c r="AL2443" s="23"/>
      <c r="AM2443" s="23"/>
      <c r="AN2443" s="23"/>
      <c r="AO2443" s="23"/>
      <c r="AP2443" s="23"/>
      <c r="AQ2443" s="23">
        <v>1</v>
      </c>
      <c r="AR2443" s="23">
        <v>3</v>
      </c>
      <c r="AS2443" s="23"/>
      <c r="AT2443" s="23"/>
      <c r="AU2443" s="14" t="str">
        <f>HYPERLINK("http://www.openstreetmap.org/?mlat=31.8934&amp;mlon=47.1246&amp;zoom=12#map=12/31.8934/47.1246","Maplink1")</f>
        <v>Maplink1</v>
      </c>
      <c r="AV2443" s="14" t="str">
        <f>HYPERLINK("https://www.google.iq/maps/search/+31.8934,47.1246/@31.8934,47.1246,14z?hl=en","Maplink2")</f>
        <v>Maplink2</v>
      </c>
      <c r="AW2443" s="14" t="str">
        <f>HYPERLINK("http://www.bing.com/maps/?lvl=14&amp;sty=h&amp;cp=31.8934~47.1246&amp;sp=point.31.8934_47.1246_Al-Rahma 1","Maplink3")</f>
        <v>Maplink3</v>
      </c>
    </row>
    <row r="2444" spans="1:49" ht="15" customHeight="1" x14ac:dyDescent="0.25">
      <c r="A2444" s="21">
        <v>24808</v>
      </c>
      <c r="B2444" s="22" t="s">
        <v>18</v>
      </c>
      <c r="C2444" s="22" t="s">
        <v>4719</v>
      </c>
      <c r="D2444" s="22" t="s">
        <v>8896</v>
      </c>
      <c r="E2444" s="22" t="s">
        <v>4720</v>
      </c>
      <c r="F2444" s="22">
        <v>31.885981000000001</v>
      </c>
      <c r="G2444" s="22">
        <v>47.180872999999998</v>
      </c>
      <c r="H2444" s="21" t="s">
        <v>4647</v>
      </c>
      <c r="I2444" s="21" t="s">
        <v>4721</v>
      </c>
      <c r="J2444" s="21"/>
      <c r="K2444" s="24">
        <v>104</v>
      </c>
      <c r="L2444" s="24">
        <v>624</v>
      </c>
      <c r="M2444" s="23"/>
      <c r="N2444" s="23"/>
      <c r="O2444" s="23">
        <v>1</v>
      </c>
      <c r="P2444" s="23"/>
      <c r="Q2444" s="23"/>
      <c r="R2444" s="23">
        <v>1</v>
      </c>
      <c r="S2444" s="23"/>
      <c r="T2444" s="23"/>
      <c r="U2444" s="23">
        <v>1</v>
      </c>
      <c r="V2444" s="23"/>
      <c r="W2444" s="23"/>
      <c r="X2444" s="23"/>
      <c r="Y2444" s="23">
        <v>100</v>
      </c>
      <c r="Z2444" s="23"/>
      <c r="AA2444" s="23">
        <v>1</v>
      </c>
      <c r="AB2444" s="23"/>
      <c r="AC2444" s="23"/>
      <c r="AD2444" s="23"/>
      <c r="AE2444" s="23">
        <v>104</v>
      </c>
      <c r="AF2444" s="23"/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>
        <v>24</v>
      </c>
      <c r="AQ2444" s="23">
        <v>69</v>
      </c>
      <c r="AR2444" s="23">
        <v>10</v>
      </c>
      <c r="AS2444" s="23">
        <v>1</v>
      </c>
      <c r="AT2444" s="23"/>
      <c r="AU2444" s="14" t="str">
        <f>HYPERLINK("http://www.openstreetmap.org/?mlat=31.886&amp;mlon=47.1809&amp;zoom=12#map=12/31.886/47.1809","Maplink1")</f>
        <v>Maplink1</v>
      </c>
      <c r="AV2444" s="14" t="str">
        <f>HYPERLINK("https://www.google.iq/maps/search/+31.886,47.1809/@31.886,47.1809,14z?hl=en","Maplink2")</f>
        <v>Maplink2</v>
      </c>
      <c r="AW2444" s="14" t="str">
        <f>HYPERLINK("http://www.bing.com/maps/?lvl=14&amp;sty=h&amp;cp=31.886~47.1809&amp;sp=point.31.886_47.1809_Aiun Missan Camp","Maplink3")</f>
        <v>Maplink3</v>
      </c>
    </row>
    <row r="2445" spans="1:49" ht="15" customHeight="1" x14ac:dyDescent="0.25">
      <c r="A2445" s="21">
        <v>27422</v>
      </c>
      <c r="B2445" s="22" t="s">
        <v>18</v>
      </c>
      <c r="C2445" s="22" t="s">
        <v>4719</v>
      </c>
      <c r="D2445" s="22" t="s">
        <v>4738</v>
      </c>
      <c r="E2445" s="22" t="s">
        <v>4739</v>
      </c>
      <c r="F2445" s="22">
        <v>31.856656999999998</v>
      </c>
      <c r="G2445" s="22">
        <v>47.170369000000001</v>
      </c>
      <c r="H2445" s="21" t="s">
        <v>4647</v>
      </c>
      <c r="I2445" s="21" t="s">
        <v>4721</v>
      </c>
      <c r="J2445" s="21"/>
      <c r="K2445" s="24">
        <v>4</v>
      </c>
      <c r="L2445" s="24">
        <v>24</v>
      </c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>
        <v>4</v>
      </c>
      <c r="Z2445" s="23"/>
      <c r="AA2445" s="23"/>
      <c r="AB2445" s="23"/>
      <c r="AC2445" s="23"/>
      <c r="AD2445" s="23"/>
      <c r="AE2445" s="23"/>
      <c r="AF2445" s="23">
        <v>1</v>
      </c>
      <c r="AG2445" s="23"/>
      <c r="AH2445" s="23"/>
      <c r="AI2445" s="23"/>
      <c r="AJ2445" s="23">
        <v>2</v>
      </c>
      <c r="AK2445" s="23">
        <v>1</v>
      </c>
      <c r="AL2445" s="23"/>
      <c r="AM2445" s="23"/>
      <c r="AN2445" s="23"/>
      <c r="AO2445" s="23"/>
      <c r="AP2445" s="23">
        <v>2</v>
      </c>
      <c r="AQ2445" s="23">
        <v>2</v>
      </c>
      <c r="AR2445" s="23"/>
      <c r="AS2445" s="23"/>
      <c r="AT2445" s="23"/>
      <c r="AU2445" s="14" t="str">
        <f>HYPERLINK("http://www.openstreetmap.org/?mlat=31.8567&amp;mlon=47.1704&amp;zoom=12#map=12/31.8567/47.1704","Maplink1")</f>
        <v>Maplink1</v>
      </c>
      <c r="AV2445" s="14" t="str">
        <f>HYPERLINK("https://www.google.iq/maps/search/+31.8567,47.1704/@31.8567,47.1704,14z?hl=en","Maplink2")</f>
        <v>Maplink2</v>
      </c>
      <c r="AW2445" s="14" t="str">
        <f>HYPERLINK("http://www.bing.com/maps/?lvl=14&amp;sty=h&amp;cp=31.8567~47.1704&amp;sp=point.31.8567_47.1704_Great Al Sharqi Village","Maplink3")</f>
        <v>Maplink3</v>
      </c>
    </row>
    <row r="2446" spans="1:49" ht="15" customHeight="1" x14ac:dyDescent="0.25">
      <c r="A2446" s="21">
        <v>16835</v>
      </c>
      <c r="B2446" s="22" t="s">
        <v>18</v>
      </c>
      <c r="C2446" s="22" t="s">
        <v>4719</v>
      </c>
      <c r="D2446" s="22" t="s">
        <v>4740</v>
      </c>
      <c r="E2446" s="22" t="s">
        <v>4651</v>
      </c>
      <c r="F2446" s="22">
        <v>31.833583000000001</v>
      </c>
      <c r="G2446" s="22">
        <v>47.133583000000002</v>
      </c>
      <c r="H2446" s="21" t="s">
        <v>4647</v>
      </c>
      <c r="I2446" s="21" t="s">
        <v>4721</v>
      </c>
      <c r="J2446" s="21" t="s">
        <v>4741</v>
      </c>
      <c r="K2446" s="24">
        <v>28</v>
      </c>
      <c r="L2446" s="24">
        <v>168</v>
      </c>
      <c r="M2446" s="23">
        <v>1</v>
      </c>
      <c r="N2446" s="23">
        <v>3</v>
      </c>
      <c r="O2446" s="23"/>
      <c r="P2446" s="23"/>
      <c r="Q2446" s="23"/>
      <c r="R2446" s="23"/>
      <c r="S2446" s="23"/>
      <c r="T2446" s="23"/>
      <c r="U2446" s="23">
        <v>1</v>
      </c>
      <c r="V2446" s="23"/>
      <c r="W2446" s="23"/>
      <c r="X2446" s="23"/>
      <c r="Y2446" s="23">
        <v>17</v>
      </c>
      <c r="Z2446" s="23"/>
      <c r="AA2446" s="23">
        <v>6</v>
      </c>
      <c r="AB2446" s="23"/>
      <c r="AC2446" s="23"/>
      <c r="AD2446" s="23"/>
      <c r="AE2446" s="23"/>
      <c r="AF2446" s="23">
        <v>19</v>
      </c>
      <c r="AG2446" s="23"/>
      <c r="AH2446" s="23"/>
      <c r="AI2446" s="23"/>
      <c r="AJ2446" s="23"/>
      <c r="AK2446" s="23">
        <v>9</v>
      </c>
      <c r="AL2446" s="23"/>
      <c r="AM2446" s="23"/>
      <c r="AN2446" s="23"/>
      <c r="AO2446" s="23">
        <v>4</v>
      </c>
      <c r="AP2446" s="23">
        <v>10</v>
      </c>
      <c r="AQ2446" s="23">
        <v>12</v>
      </c>
      <c r="AR2446" s="23">
        <v>1</v>
      </c>
      <c r="AS2446" s="23">
        <v>1</v>
      </c>
      <c r="AT2446" s="23"/>
      <c r="AU2446" s="14" t="str">
        <f>HYPERLINK("http://www.openstreetmap.org/?mlat=31.8336&amp;mlon=47.1336&amp;zoom=12#map=12/31.8336/47.1336","Maplink1")</f>
        <v>Maplink1</v>
      </c>
      <c r="AV2446" s="14" t="str">
        <f>HYPERLINK("https://www.google.iq/maps/search/+31.8336,47.1336/@31.8336,47.1336,14z?hl=en","Maplink2")</f>
        <v>Maplink2</v>
      </c>
      <c r="AW2446" s="14" t="str">
        <f>HYPERLINK("http://www.bing.com/maps/?lvl=14&amp;sty=h&amp;cp=31.8336~47.1336&amp;sp=point.31.8336_47.1336_Hay 15 Sahaban","Maplink3")</f>
        <v>Maplink3</v>
      </c>
    </row>
    <row r="2447" spans="1:49" ht="15" customHeight="1" x14ac:dyDescent="0.25">
      <c r="A2447" s="21">
        <v>24289</v>
      </c>
      <c r="B2447" s="22" t="s">
        <v>18</v>
      </c>
      <c r="C2447" s="22" t="s">
        <v>4719</v>
      </c>
      <c r="D2447" s="22" t="s">
        <v>4742</v>
      </c>
      <c r="E2447" s="22" t="s">
        <v>4743</v>
      </c>
      <c r="F2447" s="22">
        <v>31.840917000000001</v>
      </c>
      <c r="G2447" s="22">
        <v>47.139442000000003</v>
      </c>
      <c r="H2447" s="21" t="s">
        <v>4647</v>
      </c>
      <c r="I2447" s="21" t="s">
        <v>4721</v>
      </c>
      <c r="J2447" s="21" t="s">
        <v>4744</v>
      </c>
      <c r="K2447" s="24">
        <v>4</v>
      </c>
      <c r="L2447" s="24">
        <v>24</v>
      </c>
      <c r="M2447" s="23"/>
      <c r="N2447" s="23"/>
      <c r="O2447" s="23"/>
      <c r="P2447" s="23"/>
      <c r="Q2447" s="23"/>
      <c r="R2447" s="23">
        <v>1</v>
      </c>
      <c r="S2447" s="23"/>
      <c r="T2447" s="23"/>
      <c r="U2447" s="23"/>
      <c r="V2447" s="23"/>
      <c r="W2447" s="23"/>
      <c r="X2447" s="23"/>
      <c r="Y2447" s="23">
        <v>2</v>
      </c>
      <c r="Z2447" s="23"/>
      <c r="AA2447" s="23">
        <v>1</v>
      </c>
      <c r="AB2447" s="23"/>
      <c r="AC2447" s="23"/>
      <c r="AD2447" s="23"/>
      <c r="AE2447" s="23"/>
      <c r="AF2447" s="23">
        <v>2</v>
      </c>
      <c r="AG2447" s="23"/>
      <c r="AH2447" s="23"/>
      <c r="AI2447" s="23"/>
      <c r="AJ2447" s="23"/>
      <c r="AK2447" s="23">
        <v>2</v>
      </c>
      <c r="AL2447" s="23"/>
      <c r="AM2447" s="23"/>
      <c r="AN2447" s="23"/>
      <c r="AO2447" s="23">
        <v>1</v>
      </c>
      <c r="AP2447" s="23">
        <v>2</v>
      </c>
      <c r="AQ2447" s="23"/>
      <c r="AR2447" s="23">
        <v>1</v>
      </c>
      <c r="AS2447" s="23"/>
      <c r="AT2447" s="23"/>
      <c r="AU2447" s="14" t="str">
        <f>HYPERLINK("http://www.openstreetmap.org/?mlat=31.8409&amp;mlon=47.1394&amp;zoom=12#map=12/31.8409/47.1394","Maplink1")</f>
        <v>Maplink1</v>
      </c>
      <c r="AV2447" s="14" t="str">
        <f>HYPERLINK("https://www.google.iq/maps/search/+31.8409,47.1394/@31.8409,47.1394,14z?hl=en","Maplink2")</f>
        <v>Maplink2</v>
      </c>
      <c r="AW2447" s="14" t="str">
        <f>HYPERLINK("http://www.bing.com/maps/?lvl=14&amp;sty=h&amp;cp=31.8409~47.1394&amp;sp=point.31.8409_47.1394_Hay 17 Rabe Al Awal","Maplink3")</f>
        <v>Maplink3</v>
      </c>
    </row>
    <row r="2448" spans="1:49" ht="15" customHeight="1" x14ac:dyDescent="0.25">
      <c r="A2448" s="21">
        <v>24370</v>
      </c>
      <c r="B2448" s="22" t="s">
        <v>18</v>
      </c>
      <c r="C2448" s="22" t="s">
        <v>4719</v>
      </c>
      <c r="D2448" s="22" t="s">
        <v>4749</v>
      </c>
      <c r="E2448" s="22" t="s">
        <v>4750</v>
      </c>
      <c r="F2448" s="22">
        <v>31.820678999999998</v>
      </c>
      <c r="G2448" s="22">
        <v>47.115900000000003</v>
      </c>
      <c r="H2448" s="21" t="s">
        <v>4647</v>
      </c>
      <c r="I2448" s="21" t="s">
        <v>4721</v>
      </c>
      <c r="J2448" s="21"/>
      <c r="K2448" s="24">
        <v>11</v>
      </c>
      <c r="L2448" s="24">
        <v>66</v>
      </c>
      <c r="M2448" s="23">
        <v>3</v>
      </c>
      <c r="N2448" s="23"/>
      <c r="O2448" s="23"/>
      <c r="P2448" s="23"/>
      <c r="Q2448" s="23"/>
      <c r="R2448" s="23">
        <v>2</v>
      </c>
      <c r="S2448" s="23"/>
      <c r="T2448" s="23"/>
      <c r="U2448" s="23">
        <v>2</v>
      </c>
      <c r="V2448" s="23"/>
      <c r="W2448" s="23"/>
      <c r="X2448" s="23"/>
      <c r="Y2448" s="23">
        <v>4</v>
      </c>
      <c r="Z2448" s="23"/>
      <c r="AA2448" s="23"/>
      <c r="AB2448" s="23"/>
      <c r="AC2448" s="23"/>
      <c r="AD2448" s="23"/>
      <c r="AE2448" s="23"/>
      <c r="AF2448" s="23">
        <v>5</v>
      </c>
      <c r="AG2448" s="23"/>
      <c r="AH2448" s="23">
        <v>2</v>
      </c>
      <c r="AI2448" s="23"/>
      <c r="AJ2448" s="23"/>
      <c r="AK2448" s="23">
        <v>4</v>
      </c>
      <c r="AL2448" s="23"/>
      <c r="AM2448" s="23"/>
      <c r="AN2448" s="23"/>
      <c r="AO2448" s="23">
        <v>2</v>
      </c>
      <c r="AP2448" s="23">
        <v>2</v>
      </c>
      <c r="AQ2448" s="23">
        <v>6</v>
      </c>
      <c r="AR2448" s="23">
        <v>1</v>
      </c>
      <c r="AS2448" s="23"/>
      <c r="AT2448" s="23"/>
      <c r="AU2448" s="14" t="str">
        <f>HYPERLINK("http://www.openstreetmap.org/?mlat=31.8207&amp;mlon=47.1159&amp;zoom=12#map=12/31.8207/47.1159","Maplink1")</f>
        <v>Maplink1</v>
      </c>
      <c r="AV2448" s="14" t="str">
        <f>HYPERLINK("https://www.google.iq/maps/search/+31.8207,47.1159/@31.8207,47.1159,14z?hl=en","Maplink2")</f>
        <v>Maplink2</v>
      </c>
      <c r="AW2448" s="14" t="str">
        <f>HYPERLINK("http://www.bing.com/maps/?lvl=14&amp;sty=h&amp;cp=31.8207~47.1159&amp;sp=point.31.8207_47.1159_Hay Al Baqer","Maplink3")</f>
        <v>Maplink3</v>
      </c>
    </row>
    <row r="2449" spans="1:49" ht="15" customHeight="1" x14ac:dyDescent="0.25">
      <c r="A2449" s="21">
        <v>16889</v>
      </c>
      <c r="B2449" s="22" t="s">
        <v>18</v>
      </c>
      <c r="C2449" s="22" t="s">
        <v>4719</v>
      </c>
      <c r="D2449" s="22" t="s">
        <v>4751</v>
      </c>
      <c r="E2449" s="22" t="s">
        <v>8059</v>
      </c>
      <c r="F2449" s="22">
        <v>32.035277780000001</v>
      </c>
      <c r="G2449" s="22">
        <v>46.876666669999999</v>
      </c>
      <c r="H2449" s="21" t="s">
        <v>4647</v>
      </c>
      <c r="I2449" s="21" t="s">
        <v>4721</v>
      </c>
      <c r="J2449" s="21" t="s">
        <v>4752</v>
      </c>
      <c r="K2449" s="24">
        <v>16</v>
      </c>
      <c r="L2449" s="24">
        <v>96</v>
      </c>
      <c r="M2449" s="23"/>
      <c r="N2449" s="23"/>
      <c r="O2449" s="23"/>
      <c r="P2449" s="23"/>
      <c r="Q2449" s="23"/>
      <c r="R2449" s="23"/>
      <c r="S2449" s="23"/>
      <c r="T2449" s="23"/>
      <c r="U2449" s="23">
        <v>1</v>
      </c>
      <c r="V2449" s="23"/>
      <c r="W2449" s="23"/>
      <c r="X2449" s="23"/>
      <c r="Y2449" s="23">
        <v>15</v>
      </c>
      <c r="Z2449" s="23"/>
      <c r="AA2449" s="23"/>
      <c r="AB2449" s="23"/>
      <c r="AC2449" s="23"/>
      <c r="AD2449" s="23"/>
      <c r="AE2449" s="23"/>
      <c r="AF2449" s="23">
        <v>1</v>
      </c>
      <c r="AG2449" s="23"/>
      <c r="AH2449" s="23"/>
      <c r="AI2449" s="23"/>
      <c r="AJ2449" s="23"/>
      <c r="AK2449" s="23">
        <v>3</v>
      </c>
      <c r="AL2449" s="23">
        <v>12</v>
      </c>
      <c r="AM2449" s="23"/>
      <c r="AN2449" s="23"/>
      <c r="AO2449" s="23"/>
      <c r="AP2449" s="23">
        <v>1</v>
      </c>
      <c r="AQ2449" s="23">
        <v>15</v>
      </c>
      <c r="AR2449" s="23"/>
      <c r="AS2449" s="23"/>
      <c r="AT2449" s="23"/>
      <c r="AU2449" s="14" t="str">
        <f>HYPERLINK("http://www.openstreetmap.org/?mlat=32.0353&amp;mlon=46.8767&amp;zoom=12#map=12/32.0353/46.8767","Maplink1")</f>
        <v>Maplink1</v>
      </c>
      <c r="AV2449" s="14" t="str">
        <f>HYPERLINK("https://www.google.iq/maps/search/+32.0353,46.8767/@32.0353,46.8767,14z?hl=en","Maplink2")</f>
        <v>Maplink2</v>
      </c>
      <c r="AW2449" s="14" t="str">
        <f>HYPERLINK("http://www.bing.com/maps/?lvl=14&amp;sty=h&amp;cp=32.0353~46.8767&amp;sp=point.32.0353_46.8767_Hay Al Hussain-Al Kumayt","Maplink3")</f>
        <v>Maplink3</v>
      </c>
    </row>
    <row r="2450" spans="1:49" ht="15" customHeight="1" x14ac:dyDescent="0.25">
      <c r="A2450" s="21">
        <v>24369</v>
      </c>
      <c r="B2450" s="22" t="s">
        <v>18</v>
      </c>
      <c r="C2450" s="22" t="s">
        <v>4719</v>
      </c>
      <c r="D2450" s="22" t="s">
        <v>4753</v>
      </c>
      <c r="E2450" s="22" t="s">
        <v>4754</v>
      </c>
      <c r="F2450" s="22">
        <v>31.876228999999999</v>
      </c>
      <c r="G2450" s="22">
        <v>47.122306000000002</v>
      </c>
      <c r="H2450" s="21" t="s">
        <v>4647</v>
      </c>
      <c r="I2450" s="21" t="s">
        <v>4721</v>
      </c>
      <c r="J2450" s="21"/>
      <c r="K2450" s="24">
        <v>1</v>
      </c>
      <c r="L2450" s="24">
        <v>6</v>
      </c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>
        <v>1</v>
      </c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>
        <v>1</v>
      </c>
      <c r="AL2450" s="23"/>
      <c r="AM2450" s="23"/>
      <c r="AN2450" s="23"/>
      <c r="AO2450" s="23"/>
      <c r="AP2450" s="23"/>
      <c r="AQ2450" s="23">
        <v>1</v>
      </c>
      <c r="AR2450" s="23"/>
      <c r="AS2450" s="23"/>
      <c r="AT2450" s="23"/>
      <c r="AU2450" s="14" t="str">
        <f>HYPERLINK("http://www.openstreetmap.org/?mlat=31.8762&amp;mlon=47.1223&amp;zoom=12#map=12/31.8762/47.1223","Maplink1")</f>
        <v>Maplink1</v>
      </c>
      <c r="AV2450" s="14" t="str">
        <f>HYPERLINK("https://www.google.iq/maps/search/+31.8762,47.1223/@31.8762,47.1223,14z?hl=en","Maplink2")</f>
        <v>Maplink2</v>
      </c>
      <c r="AW2450" s="14" t="str">
        <f>HYPERLINK("http://www.bing.com/maps/?lvl=14&amp;sty=h&amp;cp=31.8762~47.1223&amp;sp=point.31.8762_47.1223_Hay Al Jamaiat","Maplink3")</f>
        <v>Maplink3</v>
      </c>
    </row>
    <row r="2451" spans="1:49" ht="15" customHeight="1" x14ac:dyDescent="0.25">
      <c r="A2451" s="21">
        <v>20842</v>
      </c>
      <c r="B2451" s="22" t="s">
        <v>18</v>
      </c>
      <c r="C2451" s="22" t="s">
        <v>4719</v>
      </c>
      <c r="D2451" s="22" t="s">
        <v>1121</v>
      </c>
      <c r="E2451" s="22" t="s">
        <v>881</v>
      </c>
      <c r="F2451" s="22">
        <v>31.826414</v>
      </c>
      <c r="G2451" s="22">
        <v>47.166102000000002</v>
      </c>
      <c r="H2451" s="21" t="s">
        <v>4647</v>
      </c>
      <c r="I2451" s="21" t="s">
        <v>4721</v>
      </c>
      <c r="J2451" s="21" t="s">
        <v>4755</v>
      </c>
      <c r="K2451" s="24">
        <v>1</v>
      </c>
      <c r="L2451" s="24">
        <v>6</v>
      </c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>
        <v>1</v>
      </c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>
        <v>1</v>
      </c>
      <c r="AL2451" s="23"/>
      <c r="AM2451" s="23"/>
      <c r="AN2451" s="23"/>
      <c r="AO2451" s="23"/>
      <c r="AP2451" s="23"/>
      <c r="AQ2451" s="23">
        <v>1</v>
      </c>
      <c r="AR2451" s="23"/>
      <c r="AS2451" s="23"/>
      <c r="AT2451" s="23"/>
      <c r="AU2451" s="14" t="str">
        <f>HYPERLINK("http://www.openstreetmap.org/?mlat=31.8264&amp;mlon=47.1661&amp;zoom=12#map=12/31.8264/47.1661","Maplink1")</f>
        <v>Maplink1</v>
      </c>
      <c r="AV2451" s="14" t="str">
        <f>HYPERLINK("https://www.google.iq/maps/search/+31.8264,47.1661/@31.8264,47.1661,14z?hl=en","Maplink2")</f>
        <v>Maplink2</v>
      </c>
      <c r="AW2451" s="14" t="str">
        <f>HYPERLINK("http://www.bing.com/maps/?lvl=14&amp;sty=h&amp;cp=31.8264~47.1661&amp;sp=point.31.8264_47.1661_Hay Al Jawadain","Maplink3")</f>
        <v>Maplink3</v>
      </c>
    </row>
    <row r="2452" spans="1:49" ht="15" customHeight="1" x14ac:dyDescent="0.25">
      <c r="A2452" s="21">
        <v>16505</v>
      </c>
      <c r="B2452" s="22" t="s">
        <v>18</v>
      </c>
      <c r="C2452" s="22" t="s">
        <v>4719</v>
      </c>
      <c r="D2452" s="22" t="s">
        <v>4756</v>
      </c>
      <c r="E2452" s="22" t="s">
        <v>4757</v>
      </c>
      <c r="F2452" s="22">
        <v>31.841388999999999</v>
      </c>
      <c r="G2452" s="22">
        <v>47.151944</v>
      </c>
      <c r="H2452" s="21" t="s">
        <v>4647</v>
      </c>
      <c r="I2452" s="21" t="s">
        <v>4721</v>
      </c>
      <c r="J2452" s="21" t="s">
        <v>4758</v>
      </c>
      <c r="K2452" s="24">
        <v>1</v>
      </c>
      <c r="L2452" s="24">
        <v>6</v>
      </c>
      <c r="M2452" s="23"/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/>
      <c r="Z2452" s="23"/>
      <c r="AA2452" s="23">
        <v>1</v>
      </c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>
        <v>1</v>
      </c>
      <c r="AL2452" s="23"/>
      <c r="AM2452" s="23"/>
      <c r="AN2452" s="23"/>
      <c r="AO2452" s="23"/>
      <c r="AP2452" s="23"/>
      <c r="AQ2452" s="23"/>
      <c r="AR2452" s="23">
        <v>1</v>
      </c>
      <c r="AS2452" s="23"/>
      <c r="AT2452" s="23"/>
      <c r="AU2452" s="14" t="str">
        <f>HYPERLINK("http://www.openstreetmap.org/?mlat=31.8414&amp;mlon=47.1519&amp;zoom=12#map=12/31.8414/47.1519","Maplink1")</f>
        <v>Maplink1</v>
      </c>
      <c r="AV2452" s="14" t="str">
        <f>HYPERLINK("https://www.google.iq/maps/search/+31.8414,47.1519/@31.8414,47.1519,14z?hl=en","Maplink2")</f>
        <v>Maplink2</v>
      </c>
      <c r="AW2452" s="14" t="str">
        <f>HYPERLINK("http://www.bing.com/maps/?lvl=14&amp;sty=h&amp;cp=31.8414~47.1519&amp;sp=point.31.8414_47.1519_Hay al jidedah","Maplink3")</f>
        <v>Maplink3</v>
      </c>
    </row>
    <row r="2453" spans="1:49" ht="15" customHeight="1" x14ac:dyDescent="0.25">
      <c r="A2453" s="21">
        <v>24371</v>
      </c>
      <c r="B2453" s="22" t="s">
        <v>18</v>
      </c>
      <c r="C2453" s="22" t="s">
        <v>4719</v>
      </c>
      <c r="D2453" s="22" t="s">
        <v>8897</v>
      </c>
      <c r="E2453" s="22" t="s">
        <v>3881</v>
      </c>
      <c r="F2453" s="22">
        <v>31.865200000000002</v>
      </c>
      <c r="G2453" s="22">
        <v>47.176400000000001</v>
      </c>
      <c r="H2453" s="21" t="s">
        <v>4647</v>
      </c>
      <c r="I2453" s="21" t="s">
        <v>4721</v>
      </c>
      <c r="J2453" s="21"/>
      <c r="K2453" s="24">
        <v>1</v>
      </c>
      <c r="L2453" s="24">
        <v>6</v>
      </c>
      <c r="M2453" s="23"/>
      <c r="N2453" s="23"/>
      <c r="O2453" s="23"/>
      <c r="P2453" s="23"/>
      <c r="Q2453" s="23"/>
      <c r="R2453" s="23"/>
      <c r="S2453" s="23"/>
      <c r="T2453" s="23"/>
      <c r="U2453" s="23">
        <v>1</v>
      </c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>
        <v>1</v>
      </c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>
        <v>1</v>
      </c>
      <c r="AR2453" s="23"/>
      <c r="AS2453" s="23"/>
      <c r="AT2453" s="23"/>
      <c r="AU2453" s="14" t="str">
        <f>HYPERLINK("http://www.openstreetmap.org/?mlat=31.8652&amp;mlon=47.1764&amp;zoom=12#map=12/31.8652/47.1764","Maplink1")</f>
        <v>Maplink1</v>
      </c>
      <c r="AV2453" s="14" t="str">
        <f>HYPERLINK("https://www.google.iq/maps/search/+31.8652,47.1764/@31.8652,47.1764,14z?hl=en","Maplink2")</f>
        <v>Maplink2</v>
      </c>
      <c r="AW2453" s="14" t="str">
        <f>HYPERLINK("http://www.bing.com/maps/?lvl=14&amp;sty=h&amp;cp=31.8652~47.1764&amp;sp=point.31.8652_47.1764_Hay Al Jihad","Maplink3")</f>
        <v>Maplink3</v>
      </c>
    </row>
    <row r="2454" spans="1:49" ht="15" customHeight="1" x14ac:dyDescent="0.25">
      <c r="A2454" s="21">
        <v>16568</v>
      </c>
      <c r="B2454" s="22" t="s">
        <v>18</v>
      </c>
      <c r="C2454" s="22" t="s">
        <v>4719</v>
      </c>
      <c r="D2454" s="22" t="s">
        <v>4759</v>
      </c>
      <c r="E2454" s="22" t="s">
        <v>4760</v>
      </c>
      <c r="F2454" s="22">
        <v>31.859166999999999</v>
      </c>
      <c r="G2454" s="22">
        <v>47.158332999999999</v>
      </c>
      <c r="H2454" s="21" t="s">
        <v>4647</v>
      </c>
      <c r="I2454" s="21" t="s">
        <v>4721</v>
      </c>
      <c r="J2454" s="21" t="s">
        <v>4761</v>
      </c>
      <c r="K2454" s="24">
        <v>4</v>
      </c>
      <c r="L2454" s="24">
        <v>24</v>
      </c>
      <c r="M2454" s="23">
        <v>3</v>
      </c>
      <c r="N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>
        <v>1</v>
      </c>
      <c r="Z2454" s="23"/>
      <c r="AA2454" s="23"/>
      <c r="AB2454" s="23"/>
      <c r="AC2454" s="23"/>
      <c r="AD2454" s="23"/>
      <c r="AE2454" s="23"/>
      <c r="AF2454" s="23">
        <v>2</v>
      </c>
      <c r="AG2454" s="23"/>
      <c r="AH2454" s="23"/>
      <c r="AI2454" s="23"/>
      <c r="AJ2454" s="23"/>
      <c r="AK2454" s="23">
        <v>1</v>
      </c>
      <c r="AL2454" s="23"/>
      <c r="AM2454" s="23">
        <v>1</v>
      </c>
      <c r="AN2454" s="23"/>
      <c r="AO2454" s="23">
        <v>1</v>
      </c>
      <c r="AP2454" s="23"/>
      <c r="AQ2454" s="23"/>
      <c r="AR2454" s="23">
        <v>1</v>
      </c>
      <c r="AS2454" s="23">
        <v>2</v>
      </c>
      <c r="AT2454" s="23"/>
      <c r="AU2454" s="14" t="str">
        <f>HYPERLINK("http://www.openstreetmap.org/?mlat=31.8592&amp;mlon=47.1583&amp;zoom=12#map=12/31.8592/47.1583","Maplink1")</f>
        <v>Maplink1</v>
      </c>
      <c r="AV2454" s="14" t="str">
        <f>HYPERLINK("https://www.google.iq/maps/search/+31.8592,47.1583/@31.8592,47.1583,14z?hl=en","Maplink2")</f>
        <v>Maplink2</v>
      </c>
      <c r="AW2454" s="14" t="str">
        <f>HYPERLINK("http://www.bing.com/maps/?lvl=14&amp;sty=h&amp;cp=31.8592~47.1583&amp;sp=point.31.8592_47.1583_Hay al karamah","Maplink3")</f>
        <v>Maplink3</v>
      </c>
    </row>
    <row r="2455" spans="1:49" ht="15" customHeight="1" x14ac:dyDescent="0.25">
      <c r="A2455" s="21">
        <v>20844</v>
      </c>
      <c r="B2455" s="22" t="s">
        <v>18</v>
      </c>
      <c r="C2455" s="22" t="s">
        <v>4719</v>
      </c>
      <c r="D2455" s="22" t="s">
        <v>4762</v>
      </c>
      <c r="E2455" s="22" t="s">
        <v>2781</v>
      </c>
      <c r="F2455" s="22">
        <v>31.851388889999999</v>
      </c>
      <c r="G2455" s="22">
        <v>47.121666670000003</v>
      </c>
      <c r="H2455" s="21" t="s">
        <v>4647</v>
      </c>
      <c r="I2455" s="21" t="s">
        <v>4721</v>
      </c>
      <c r="J2455" s="21" t="s">
        <v>4763</v>
      </c>
      <c r="K2455" s="24">
        <v>14</v>
      </c>
      <c r="L2455" s="24">
        <v>84</v>
      </c>
      <c r="M2455" s="23">
        <v>1</v>
      </c>
      <c r="N2455" s="23"/>
      <c r="O2455" s="23">
        <v>2</v>
      </c>
      <c r="P2455" s="23"/>
      <c r="Q2455" s="23"/>
      <c r="R2455" s="23"/>
      <c r="S2455" s="23"/>
      <c r="T2455" s="23"/>
      <c r="U2455" s="23">
        <v>6</v>
      </c>
      <c r="V2455" s="23"/>
      <c r="W2455" s="23"/>
      <c r="X2455" s="23"/>
      <c r="Y2455" s="23">
        <v>5</v>
      </c>
      <c r="Z2455" s="23"/>
      <c r="AA2455" s="23"/>
      <c r="AB2455" s="23"/>
      <c r="AC2455" s="23"/>
      <c r="AD2455" s="23"/>
      <c r="AE2455" s="23"/>
      <c r="AF2455" s="23">
        <v>6</v>
      </c>
      <c r="AG2455" s="23"/>
      <c r="AH2455" s="23">
        <v>2</v>
      </c>
      <c r="AI2455" s="23"/>
      <c r="AJ2455" s="23"/>
      <c r="AK2455" s="23">
        <v>6</v>
      </c>
      <c r="AL2455" s="23"/>
      <c r="AM2455" s="23"/>
      <c r="AN2455" s="23"/>
      <c r="AO2455" s="23">
        <v>1</v>
      </c>
      <c r="AP2455" s="23">
        <v>8</v>
      </c>
      <c r="AQ2455" s="23">
        <v>3</v>
      </c>
      <c r="AR2455" s="23">
        <v>2</v>
      </c>
      <c r="AS2455" s="23"/>
      <c r="AT2455" s="23"/>
      <c r="AU2455" s="14" t="str">
        <f>HYPERLINK("http://www.openstreetmap.org/?mlat=31.8514&amp;mlon=47.1217&amp;zoom=12#map=12/31.8514/47.1217","Maplink1")</f>
        <v>Maplink1</v>
      </c>
      <c r="AV2455" s="14" t="str">
        <f>HYPERLINK("https://www.google.iq/maps/search/+31.8514,47.1217/@31.8514,47.1217,14z?hl=en","Maplink2")</f>
        <v>Maplink2</v>
      </c>
      <c r="AW2455" s="14" t="str">
        <f>HYPERLINK("http://www.bing.com/maps/?lvl=14&amp;sty=h&amp;cp=31.8514~47.1217&amp;sp=point.31.8514_47.1217_Hay Al Karar","Maplink3")</f>
        <v>Maplink3</v>
      </c>
    </row>
    <row r="2456" spans="1:49" ht="15" customHeight="1" x14ac:dyDescent="0.25">
      <c r="A2456" s="21">
        <v>24781</v>
      </c>
      <c r="B2456" s="22" t="s">
        <v>18</v>
      </c>
      <c r="C2456" s="22" t="s">
        <v>4719</v>
      </c>
      <c r="D2456" s="22" t="s">
        <v>4764</v>
      </c>
      <c r="E2456" s="22" t="s">
        <v>4765</v>
      </c>
      <c r="F2456" s="22">
        <v>31.834681</v>
      </c>
      <c r="G2456" s="22">
        <v>47.122084000000001</v>
      </c>
      <c r="H2456" s="21" t="s">
        <v>4647</v>
      </c>
      <c r="I2456" s="21" t="s">
        <v>4721</v>
      </c>
      <c r="J2456" s="21"/>
      <c r="K2456" s="24">
        <v>5</v>
      </c>
      <c r="L2456" s="24">
        <v>30</v>
      </c>
      <c r="M2456" s="23"/>
      <c r="N2456" s="23"/>
      <c r="O2456" s="23"/>
      <c r="P2456" s="23"/>
      <c r="Q2456" s="23"/>
      <c r="R2456" s="23"/>
      <c r="S2456" s="23"/>
      <c r="T2456" s="23"/>
      <c r="U2456" s="23">
        <v>1</v>
      </c>
      <c r="V2456" s="23"/>
      <c r="W2456" s="23"/>
      <c r="X2456" s="23"/>
      <c r="Y2456" s="23">
        <v>4</v>
      </c>
      <c r="Z2456" s="23"/>
      <c r="AA2456" s="23"/>
      <c r="AB2456" s="23"/>
      <c r="AC2456" s="23"/>
      <c r="AD2456" s="23"/>
      <c r="AE2456" s="23"/>
      <c r="AF2456" s="23">
        <v>3</v>
      </c>
      <c r="AG2456" s="23"/>
      <c r="AH2456" s="23"/>
      <c r="AI2456" s="23"/>
      <c r="AJ2456" s="23"/>
      <c r="AK2456" s="23">
        <v>2</v>
      </c>
      <c r="AL2456" s="23"/>
      <c r="AM2456" s="23"/>
      <c r="AN2456" s="23"/>
      <c r="AO2456" s="23">
        <v>1</v>
      </c>
      <c r="AP2456" s="23">
        <v>2</v>
      </c>
      <c r="AQ2456" s="23">
        <v>2</v>
      </c>
      <c r="AR2456" s="23"/>
      <c r="AS2456" s="23"/>
      <c r="AT2456" s="23"/>
      <c r="AU2456" s="14" t="str">
        <f>HYPERLINK("http://www.openstreetmap.org/?mlat=31.8347&amp;mlon=47.1221&amp;zoom=12#map=12/31.8347/47.1221","Maplink1")</f>
        <v>Maplink1</v>
      </c>
      <c r="AV2456" s="14" t="str">
        <f>HYPERLINK("https://www.google.iq/maps/search/+31.8347,47.1221/@31.8347,47.1221,14z?hl=en","Maplink2")</f>
        <v>Maplink2</v>
      </c>
      <c r="AW2456" s="14" t="str">
        <f>HYPERLINK("http://www.bing.com/maps/?lvl=14&amp;sty=h&amp;cp=31.8347~47.1221&amp;sp=point.31.8347_47.1221_Hay Al Khalij","Maplink3")</f>
        <v>Maplink3</v>
      </c>
    </row>
    <row r="2457" spans="1:49" ht="15" customHeight="1" x14ac:dyDescent="0.25">
      <c r="A2457" s="21">
        <v>16499</v>
      </c>
      <c r="B2457" s="22" t="s">
        <v>18</v>
      </c>
      <c r="C2457" s="22" t="s">
        <v>4719</v>
      </c>
      <c r="D2457" s="22" t="s">
        <v>4766</v>
      </c>
      <c r="E2457" s="22" t="s">
        <v>4767</v>
      </c>
      <c r="F2457" s="22">
        <v>31.832222000000002</v>
      </c>
      <c r="G2457" s="22">
        <v>47.141111000000002</v>
      </c>
      <c r="H2457" s="21" t="s">
        <v>4647</v>
      </c>
      <c r="I2457" s="21" t="s">
        <v>4721</v>
      </c>
      <c r="J2457" s="21" t="s">
        <v>4768</v>
      </c>
      <c r="K2457" s="24">
        <v>3</v>
      </c>
      <c r="L2457" s="24">
        <v>18</v>
      </c>
      <c r="M2457" s="23">
        <v>1</v>
      </c>
      <c r="N2457" s="23"/>
      <c r="O2457" s="23"/>
      <c r="P2457" s="23"/>
      <c r="Q2457" s="23"/>
      <c r="R2457" s="23">
        <v>1</v>
      </c>
      <c r="S2457" s="23"/>
      <c r="T2457" s="23"/>
      <c r="U2457" s="23"/>
      <c r="V2457" s="23"/>
      <c r="W2457" s="23"/>
      <c r="X2457" s="23"/>
      <c r="Y2457" s="23">
        <v>1</v>
      </c>
      <c r="Z2457" s="23"/>
      <c r="AA2457" s="23"/>
      <c r="AB2457" s="23"/>
      <c r="AC2457" s="23"/>
      <c r="AD2457" s="23"/>
      <c r="AE2457" s="23"/>
      <c r="AF2457" s="23">
        <v>1</v>
      </c>
      <c r="AG2457" s="23"/>
      <c r="AH2457" s="23"/>
      <c r="AI2457" s="23"/>
      <c r="AJ2457" s="23"/>
      <c r="AK2457" s="23">
        <v>2</v>
      </c>
      <c r="AL2457" s="23"/>
      <c r="AM2457" s="23"/>
      <c r="AN2457" s="23"/>
      <c r="AO2457" s="23"/>
      <c r="AP2457" s="23">
        <v>1</v>
      </c>
      <c r="AQ2457" s="23">
        <v>1</v>
      </c>
      <c r="AR2457" s="23">
        <v>1</v>
      </c>
      <c r="AS2457" s="23"/>
      <c r="AT2457" s="23"/>
      <c r="AU2457" s="14" t="str">
        <f>HYPERLINK("http://www.openstreetmap.org/?mlat=31.8322&amp;mlon=47.1411&amp;zoom=12#map=12/31.8322/47.1411","Maplink1")</f>
        <v>Maplink1</v>
      </c>
      <c r="AV2457" s="14" t="str">
        <f>HYPERLINK("https://www.google.iq/maps/search/+31.8322,47.1411/@31.8322,47.1411,14z?hl=en","Maplink2")</f>
        <v>Maplink2</v>
      </c>
      <c r="AW2457" s="14" t="str">
        <f>HYPERLINK("http://www.bing.com/maps/?lvl=14&amp;sty=h&amp;cp=31.8322~47.1411&amp;sp=point.31.8322_47.1411_Hay al moaalimen al-qadem","Maplink3")</f>
        <v>Maplink3</v>
      </c>
    </row>
    <row r="2458" spans="1:49" ht="15" customHeight="1" x14ac:dyDescent="0.25">
      <c r="A2458" s="21">
        <v>24292</v>
      </c>
      <c r="B2458" s="22" t="s">
        <v>18</v>
      </c>
      <c r="C2458" s="22" t="s">
        <v>4719</v>
      </c>
      <c r="D2458" s="22" t="s">
        <v>4673</v>
      </c>
      <c r="E2458" s="22" t="s">
        <v>4674</v>
      </c>
      <c r="F2458" s="22">
        <v>31.865666999999998</v>
      </c>
      <c r="G2458" s="22">
        <v>47.139094999999998</v>
      </c>
      <c r="H2458" s="21" t="s">
        <v>4647</v>
      </c>
      <c r="I2458" s="21" t="s">
        <v>4721</v>
      </c>
      <c r="J2458" s="21" t="s">
        <v>4769</v>
      </c>
      <c r="K2458" s="24">
        <v>3</v>
      </c>
      <c r="L2458" s="24">
        <v>18</v>
      </c>
      <c r="M2458" s="23">
        <v>1</v>
      </c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>
        <v>2</v>
      </c>
      <c r="AB2458" s="23"/>
      <c r="AC2458" s="23"/>
      <c r="AD2458" s="23"/>
      <c r="AE2458" s="23"/>
      <c r="AF2458" s="23">
        <v>1</v>
      </c>
      <c r="AG2458" s="23"/>
      <c r="AH2458" s="23">
        <v>2</v>
      </c>
      <c r="AI2458" s="23"/>
      <c r="AJ2458" s="23"/>
      <c r="AK2458" s="23"/>
      <c r="AL2458" s="23"/>
      <c r="AM2458" s="23"/>
      <c r="AN2458" s="23"/>
      <c r="AO2458" s="23"/>
      <c r="AP2458" s="23">
        <v>2</v>
      </c>
      <c r="AQ2458" s="23"/>
      <c r="AR2458" s="23">
        <v>1</v>
      </c>
      <c r="AS2458" s="23"/>
      <c r="AT2458" s="23"/>
      <c r="AU2458" s="14" t="str">
        <f>HYPERLINK("http://www.openstreetmap.org/?mlat=31.8657&amp;mlon=47.1391&amp;zoom=12#map=12/31.8657/47.1391","Maplink1")</f>
        <v>Maplink1</v>
      </c>
      <c r="AV2458" s="14" t="str">
        <f>HYPERLINK("https://www.google.iq/maps/search/+31.8657,47.1391/@31.8657,47.1391,14z?hl=en","Maplink2")</f>
        <v>Maplink2</v>
      </c>
      <c r="AW2458" s="14" t="str">
        <f>HYPERLINK("http://www.bing.com/maps/?lvl=14&amp;sty=h&amp;cp=31.8657~47.1391&amp;sp=point.31.8657_47.1391_Hay Al Mulmin Al Jadid","Maplink3")</f>
        <v>Maplink3</v>
      </c>
    </row>
    <row r="2459" spans="1:49" ht="15" customHeight="1" x14ac:dyDescent="0.25">
      <c r="A2459" s="21">
        <v>24633</v>
      </c>
      <c r="B2459" s="22" t="s">
        <v>18</v>
      </c>
      <c r="C2459" s="22" t="s">
        <v>4719</v>
      </c>
      <c r="D2459" s="22" t="s">
        <v>4770</v>
      </c>
      <c r="E2459" s="22" t="s">
        <v>8060</v>
      </c>
      <c r="F2459" s="22">
        <v>32.030059000000001</v>
      </c>
      <c r="G2459" s="22">
        <v>46.875318</v>
      </c>
      <c r="H2459" s="21" t="s">
        <v>4647</v>
      </c>
      <c r="I2459" s="21" t="s">
        <v>4721</v>
      </c>
      <c r="J2459" s="21"/>
      <c r="K2459" s="24">
        <v>8</v>
      </c>
      <c r="L2459" s="24">
        <v>48</v>
      </c>
      <c r="M2459" s="23"/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>
        <v>8</v>
      </c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>
        <v>8</v>
      </c>
      <c r="AM2459" s="23"/>
      <c r="AN2459" s="23"/>
      <c r="AO2459" s="23"/>
      <c r="AP2459" s="23"/>
      <c r="AQ2459" s="23">
        <v>8</v>
      </c>
      <c r="AR2459" s="23"/>
      <c r="AS2459" s="23"/>
      <c r="AT2459" s="23"/>
      <c r="AU2459" s="14" t="str">
        <f>HYPERLINK("http://www.openstreetmap.org/?mlat=32.0301&amp;mlon=46.8753&amp;zoom=12#map=12/32.0301/46.8753","Maplink1")</f>
        <v>Maplink1</v>
      </c>
      <c r="AV2459" s="14" t="str">
        <f>HYPERLINK("https://www.google.iq/maps/search/+32.0301,46.8753/@32.0301,46.8753,14z?hl=en","Maplink2")</f>
        <v>Maplink2</v>
      </c>
      <c r="AW2459" s="14" t="str">
        <f>HYPERLINK("http://www.bing.com/maps/?lvl=14&amp;sty=h&amp;cp=32.0301~46.8753&amp;sp=point.32.0301_46.8753_Hay Al Nour-Kamit area","Maplink3")</f>
        <v>Maplink3</v>
      </c>
    </row>
    <row r="2460" spans="1:49" ht="15" customHeight="1" x14ac:dyDescent="0.25">
      <c r="A2460" s="21">
        <v>15991</v>
      </c>
      <c r="B2460" s="22" t="s">
        <v>18</v>
      </c>
      <c r="C2460" s="22" t="s">
        <v>4719</v>
      </c>
      <c r="D2460" s="22" t="s">
        <v>868</v>
      </c>
      <c r="E2460" s="22" t="s">
        <v>869</v>
      </c>
      <c r="F2460" s="22">
        <v>31.819312</v>
      </c>
      <c r="G2460" s="22">
        <v>47.123505000000002</v>
      </c>
      <c r="H2460" s="21" t="s">
        <v>4647</v>
      </c>
      <c r="I2460" s="21" t="s">
        <v>4721</v>
      </c>
      <c r="J2460" s="21" t="s">
        <v>4771</v>
      </c>
      <c r="K2460" s="24">
        <v>19</v>
      </c>
      <c r="L2460" s="24">
        <v>114</v>
      </c>
      <c r="M2460" s="23"/>
      <c r="N2460" s="23"/>
      <c r="O2460" s="23"/>
      <c r="P2460" s="23"/>
      <c r="Q2460" s="23"/>
      <c r="R2460" s="23"/>
      <c r="S2460" s="23"/>
      <c r="T2460" s="23"/>
      <c r="U2460" s="23">
        <v>2</v>
      </c>
      <c r="V2460" s="23"/>
      <c r="W2460" s="23"/>
      <c r="X2460" s="23"/>
      <c r="Y2460" s="23">
        <v>17</v>
      </c>
      <c r="Z2460" s="23"/>
      <c r="AA2460" s="23"/>
      <c r="AB2460" s="23"/>
      <c r="AC2460" s="23"/>
      <c r="AD2460" s="23"/>
      <c r="AE2460" s="23"/>
      <c r="AF2460" s="23">
        <v>9</v>
      </c>
      <c r="AG2460" s="23"/>
      <c r="AH2460" s="23"/>
      <c r="AI2460" s="23"/>
      <c r="AJ2460" s="23"/>
      <c r="AK2460" s="23">
        <v>10</v>
      </c>
      <c r="AL2460" s="23"/>
      <c r="AM2460" s="23"/>
      <c r="AN2460" s="23"/>
      <c r="AO2460" s="23"/>
      <c r="AP2460" s="23">
        <v>4</v>
      </c>
      <c r="AQ2460" s="23">
        <v>8</v>
      </c>
      <c r="AR2460" s="23">
        <v>7</v>
      </c>
      <c r="AS2460" s="23"/>
      <c r="AT2460" s="23"/>
      <c r="AU2460" s="14" t="str">
        <f>HYPERLINK("http://www.openstreetmap.org/?mlat=31.8193&amp;mlon=47.1235&amp;zoom=12#map=12/31.8193/47.1235","Maplink1")</f>
        <v>Maplink1</v>
      </c>
      <c r="AV2460" s="14" t="str">
        <f>HYPERLINK("https://www.google.iq/maps/search/+31.8193,47.1235/@31.8193,47.1235,14z?hl=en","Maplink2")</f>
        <v>Maplink2</v>
      </c>
      <c r="AW2460" s="14" t="str">
        <f>HYPERLINK("http://www.bing.com/maps/?lvl=14&amp;sty=h&amp;cp=31.8193~47.1235&amp;sp=point.31.8193_47.1235_Hay Al Rasool","Maplink3")</f>
        <v>Maplink3</v>
      </c>
    </row>
    <row r="2461" spans="1:49" ht="15" customHeight="1" x14ac:dyDescent="0.25">
      <c r="A2461" s="21">
        <v>22897</v>
      </c>
      <c r="B2461" s="22" t="s">
        <v>18</v>
      </c>
      <c r="C2461" s="22" t="s">
        <v>4719</v>
      </c>
      <c r="D2461" s="22" t="s">
        <v>4772</v>
      </c>
      <c r="E2461" s="22" t="s">
        <v>8061</v>
      </c>
      <c r="F2461" s="22">
        <v>32.030830000000002</v>
      </c>
      <c r="G2461" s="22">
        <v>46.875770000000003</v>
      </c>
      <c r="H2461" s="21" t="s">
        <v>4647</v>
      </c>
      <c r="I2461" s="21" t="s">
        <v>4721</v>
      </c>
      <c r="J2461" s="21" t="s">
        <v>4773</v>
      </c>
      <c r="K2461" s="24">
        <v>1</v>
      </c>
      <c r="L2461" s="24">
        <v>6</v>
      </c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>
        <v>1</v>
      </c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>
        <v>1</v>
      </c>
      <c r="AL2461" s="23"/>
      <c r="AM2461" s="23"/>
      <c r="AN2461" s="23"/>
      <c r="AO2461" s="23"/>
      <c r="AP2461" s="23"/>
      <c r="AQ2461" s="23">
        <v>1</v>
      </c>
      <c r="AR2461" s="23"/>
      <c r="AS2461" s="23"/>
      <c r="AT2461" s="23"/>
      <c r="AU2461" s="14" t="str">
        <f>HYPERLINK("http://www.openstreetmap.org/?mlat=32.0308&amp;mlon=46.8758&amp;zoom=12#map=12/32.0308/46.8758","Maplink1")</f>
        <v>Maplink1</v>
      </c>
      <c r="AV2461" s="14" t="str">
        <f>HYPERLINK("https://www.google.iq/maps/search/+32.0308,46.8758/@32.0308,46.8758,14z?hl=en","Maplink2")</f>
        <v>Maplink2</v>
      </c>
      <c r="AW2461" s="14" t="str">
        <f>HYPERLINK("http://www.bing.com/maps/?lvl=14&amp;sty=h&amp;cp=32.0308~46.8758&amp;sp=point.32.0308_46.8758_Hay Al Shuhada-Al Komait","Maplink3")</f>
        <v>Maplink3</v>
      </c>
    </row>
    <row r="2462" spans="1:49" ht="15" customHeight="1" x14ac:dyDescent="0.25">
      <c r="A2462" s="21">
        <v>22887</v>
      </c>
      <c r="B2462" s="22" t="s">
        <v>18</v>
      </c>
      <c r="C2462" s="22" t="s">
        <v>4719</v>
      </c>
      <c r="D2462" s="22" t="s">
        <v>444</v>
      </c>
      <c r="E2462" s="22" t="s">
        <v>1181</v>
      </c>
      <c r="F2462" s="22">
        <v>31.840568000000001</v>
      </c>
      <c r="G2462" s="22">
        <v>47.110111000000003</v>
      </c>
      <c r="H2462" s="21" t="s">
        <v>4647</v>
      </c>
      <c r="I2462" s="21" t="s">
        <v>4721</v>
      </c>
      <c r="J2462" s="21" t="s">
        <v>4774</v>
      </c>
      <c r="K2462" s="24">
        <v>1</v>
      </c>
      <c r="L2462" s="24">
        <v>6</v>
      </c>
      <c r="M2462" s="23">
        <v>1</v>
      </c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>
        <v>1</v>
      </c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23">
        <v>1</v>
      </c>
      <c r="AS2462" s="23"/>
      <c r="AT2462" s="23"/>
      <c r="AU2462" s="14" t="str">
        <f>HYPERLINK("http://www.openstreetmap.org/?mlat=31.8406&amp;mlon=47.1101&amp;zoom=12#map=12/31.8406/47.1101","Maplink1")</f>
        <v>Maplink1</v>
      </c>
      <c r="AV2462" s="14" t="str">
        <f>HYPERLINK("https://www.google.iq/maps/search/+31.8406,47.1101/@31.8406,47.1101,14z?hl=en","Maplink2")</f>
        <v>Maplink2</v>
      </c>
      <c r="AW2462" s="14" t="str">
        <f>HYPERLINK("http://www.bing.com/maps/?lvl=14&amp;sty=h&amp;cp=31.8406~47.1101&amp;sp=point.31.8406_47.1101_Hay Al Shurta","Maplink3")</f>
        <v>Maplink3</v>
      </c>
    </row>
    <row r="2463" spans="1:49" ht="15" customHeight="1" x14ac:dyDescent="0.25">
      <c r="A2463" s="21">
        <v>16859</v>
      </c>
      <c r="B2463" s="22" t="s">
        <v>18</v>
      </c>
      <c r="C2463" s="22" t="s">
        <v>4719</v>
      </c>
      <c r="D2463" s="22" t="s">
        <v>4775</v>
      </c>
      <c r="E2463" s="22" t="s">
        <v>4776</v>
      </c>
      <c r="F2463" s="22">
        <v>31.853611109999999</v>
      </c>
      <c r="G2463" s="22">
        <v>47.153888889999998</v>
      </c>
      <c r="H2463" s="21" t="s">
        <v>4647</v>
      </c>
      <c r="I2463" s="21" t="s">
        <v>4721</v>
      </c>
      <c r="J2463" s="21" t="s">
        <v>4777</v>
      </c>
      <c r="K2463" s="24">
        <v>10</v>
      </c>
      <c r="L2463" s="24">
        <v>60</v>
      </c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>
        <v>10</v>
      </c>
      <c r="Z2463" s="23"/>
      <c r="AA2463" s="23"/>
      <c r="AB2463" s="23"/>
      <c r="AC2463" s="23"/>
      <c r="AD2463" s="23"/>
      <c r="AE2463" s="23"/>
      <c r="AF2463" s="23">
        <v>5</v>
      </c>
      <c r="AG2463" s="23"/>
      <c r="AH2463" s="23"/>
      <c r="AI2463" s="23"/>
      <c r="AJ2463" s="23">
        <v>3</v>
      </c>
      <c r="AK2463" s="23">
        <v>2</v>
      </c>
      <c r="AL2463" s="23"/>
      <c r="AM2463" s="23"/>
      <c r="AN2463" s="23"/>
      <c r="AO2463" s="23"/>
      <c r="AP2463" s="23">
        <v>1</v>
      </c>
      <c r="AQ2463" s="23">
        <v>9</v>
      </c>
      <c r="AR2463" s="23"/>
      <c r="AS2463" s="23"/>
      <c r="AT2463" s="23"/>
      <c r="AU2463" s="14" t="str">
        <f>HYPERLINK("http://www.openstreetmap.org/?mlat=31.8536&amp;mlon=47.1539&amp;zoom=12#map=12/31.8536/47.1539","Maplink1")</f>
        <v>Maplink1</v>
      </c>
      <c r="AV2463" s="14" t="str">
        <f>HYPERLINK("https://www.google.iq/maps/search/+31.8536,47.1539/@31.8536,47.1539,14z?hl=en","Maplink2")</f>
        <v>Maplink2</v>
      </c>
      <c r="AW2463" s="14" t="str">
        <f>HYPERLINK("http://www.bing.com/maps/?lvl=14&amp;sty=h&amp;cp=31.8536~47.1539&amp;sp=point.31.8536_47.1539_Hay Al Urooba","Maplink3")</f>
        <v>Maplink3</v>
      </c>
    </row>
    <row r="2464" spans="1:49" ht="15" customHeight="1" x14ac:dyDescent="0.25">
      <c r="A2464" s="21">
        <v>16825</v>
      </c>
      <c r="B2464" s="22" t="s">
        <v>18</v>
      </c>
      <c r="C2464" s="22" t="s">
        <v>4719</v>
      </c>
      <c r="D2464" s="22" t="s">
        <v>4778</v>
      </c>
      <c r="E2464" s="22" t="s">
        <v>967</v>
      </c>
      <c r="F2464" s="22">
        <v>31.816721999999999</v>
      </c>
      <c r="G2464" s="22">
        <v>47.116694000000003</v>
      </c>
      <c r="H2464" s="21" t="s">
        <v>4647</v>
      </c>
      <c r="I2464" s="21" t="s">
        <v>4721</v>
      </c>
      <c r="J2464" s="21" t="s">
        <v>4779</v>
      </c>
      <c r="K2464" s="24">
        <v>15</v>
      </c>
      <c r="L2464" s="24">
        <v>90</v>
      </c>
      <c r="M2464" s="23">
        <v>3</v>
      </c>
      <c r="N2464" s="23"/>
      <c r="O2464" s="23">
        <v>5</v>
      </c>
      <c r="P2464" s="23"/>
      <c r="Q2464" s="23"/>
      <c r="R2464" s="23"/>
      <c r="S2464" s="23"/>
      <c r="T2464" s="23"/>
      <c r="U2464" s="23">
        <v>2</v>
      </c>
      <c r="V2464" s="23"/>
      <c r="W2464" s="23"/>
      <c r="X2464" s="23"/>
      <c r="Y2464" s="23">
        <v>4</v>
      </c>
      <c r="Z2464" s="23"/>
      <c r="AA2464" s="23">
        <v>1</v>
      </c>
      <c r="AB2464" s="23"/>
      <c r="AC2464" s="23"/>
      <c r="AD2464" s="23"/>
      <c r="AE2464" s="23"/>
      <c r="AF2464" s="23">
        <v>8</v>
      </c>
      <c r="AG2464" s="23"/>
      <c r="AH2464" s="23">
        <v>1</v>
      </c>
      <c r="AI2464" s="23"/>
      <c r="AJ2464" s="23"/>
      <c r="AK2464" s="23">
        <v>6</v>
      </c>
      <c r="AL2464" s="23"/>
      <c r="AM2464" s="23"/>
      <c r="AN2464" s="23"/>
      <c r="AO2464" s="23"/>
      <c r="AP2464" s="23">
        <v>4</v>
      </c>
      <c r="AQ2464" s="23">
        <v>5</v>
      </c>
      <c r="AR2464" s="23">
        <v>4</v>
      </c>
      <c r="AS2464" s="23">
        <v>2</v>
      </c>
      <c r="AT2464" s="23"/>
      <c r="AU2464" s="14" t="str">
        <f>HYPERLINK("http://www.openstreetmap.org/?mlat=31.8167&amp;mlon=47.1167&amp;zoom=12#map=12/31.8167/47.1167","Maplink1")</f>
        <v>Maplink1</v>
      </c>
      <c r="AV2464" s="14" t="str">
        <f>HYPERLINK("https://www.google.iq/maps/search/+31.8167,47.1167/@31.8167,47.1167,14z?hl=en","Maplink2")</f>
        <v>Maplink2</v>
      </c>
      <c r="AW2464" s="14" t="str">
        <f>HYPERLINK("http://www.bing.com/maps/?lvl=14&amp;sty=h&amp;cp=31.8167~47.1167&amp;sp=point.31.8167_47.1167_Hay Al-Ameer","Maplink3")</f>
        <v>Maplink3</v>
      </c>
    </row>
    <row r="2465" spans="1:49" ht="15" customHeight="1" x14ac:dyDescent="0.25">
      <c r="A2465" s="21">
        <v>16830</v>
      </c>
      <c r="B2465" s="22" t="s">
        <v>18</v>
      </c>
      <c r="C2465" s="22" t="s">
        <v>4719</v>
      </c>
      <c r="D2465" s="22" t="s">
        <v>8276</v>
      </c>
      <c r="E2465" s="22" t="s">
        <v>102</v>
      </c>
      <c r="F2465" s="22">
        <v>31.816887999999999</v>
      </c>
      <c r="G2465" s="22">
        <v>47.133583000000002</v>
      </c>
      <c r="H2465" s="21" t="s">
        <v>4647</v>
      </c>
      <c r="I2465" s="21" t="s">
        <v>4721</v>
      </c>
      <c r="J2465" s="21" t="s">
        <v>8277</v>
      </c>
      <c r="K2465" s="24">
        <v>1</v>
      </c>
      <c r="L2465" s="24">
        <v>6</v>
      </c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>
        <v>1</v>
      </c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>
        <v>1</v>
      </c>
      <c r="AL2465" s="23"/>
      <c r="AM2465" s="23"/>
      <c r="AN2465" s="23"/>
      <c r="AO2465" s="23"/>
      <c r="AP2465" s="23"/>
      <c r="AQ2465" s="23">
        <v>1</v>
      </c>
      <c r="AR2465" s="23"/>
      <c r="AS2465" s="23"/>
      <c r="AT2465" s="23"/>
      <c r="AU2465" s="14" t="str">
        <f>HYPERLINK("http://www.openstreetmap.org/?mlat=31.8169&amp;mlon=47.1336&amp;zoom=12#map=12/31.8169/47.1336","Maplink1")</f>
        <v>Maplink1</v>
      </c>
      <c r="AV2465" s="14" t="str">
        <f>HYPERLINK("https://www.google.iq/maps/search/+31.8169,47.1336/@31.8169,47.1336,14z?hl=en","Maplink2")</f>
        <v>Maplink2</v>
      </c>
      <c r="AW2465" s="14" t="str">
        <f>HYPERLINK("http://www.bing.com/maps/?lvl=14&amp;sty=h&amp;cp=31.8169~47.1336&amp;sp=point.31.8169_47.1336_Hay Al-Amen","Maplink3")</f>
        <v>Maplink3</v>
      </c>
    </row>
    <row r="2466" spans="1:49" ht="15" customHeight="1" x14ac:dyDescent="0.25">
      <c r="A2466" s="21">
        <v>16846</v>
      </c>
      <c r="B2466" s="22" t="s">
        <v>18</v>
      </c>
      <c r="C2466" s="22" t="s">
        <v>4719</v>
      </c>
      <c r="D2466" s="22" t="s">
        <v>4780</v>
      </c>
      <c r="E2466" s="22" t="s">
        <v>3922</v>
      </c>
      <c r="F2466" s="22">
        <v>31.816721999999999</v>
      </c>
      <c r="G2466" s="22">
        <v>47.166777000000003</v>
      </c>
      <c r="H2466" s="21" t="s">
        <v>4647</v>
      </c>
      <c r="I2466" s="21" t="s">
        <v>4721</v>
      </c>
      <c r="J2466" s="21" t="s">
        <v>4781</v>
      </c>
      <c r="K2466" s="24">
        <v>2</v>
      </c>
      <c r="L2466" s="24">
        <v>12</v>
      </c>
      <c r="M2466" s="23">
        <v>1</v>
      </c>
      <c r="N2466" s="23">
        <v>1</v>
      </c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>
        <v>2</v>
      </c>
      <c r="AL2466" s="23"/>
      <c r="AM2466" s="23"/>
      <c r="AN2466" s="23"/>
      <c r="AO2466" s="23"/>
      <c r="AP2466" s="23"/>
      <c r="AQ2466" s="23">
        <v>1</v>
      </c>
      <c r="AR2466" s="23"/>
      <c r="AS2466" s="23">
        <v>1</v>
      </c>
      <c r="AT2466" s="23"/>
      <c r="AU2466" s="14" t="str">
        <f>HYPERLINK("http://www.openstreetmap.org/?mlat=31.8167&amp;mlon=47.1668&amp;zoom=12#map=12/31.8167/47.1668","Maplink1")</f>
        <v>Maplink1</v>
      </c>
      <c r="AV2466" s="14" t="str">
        <f>HYPERLINK("https://www.google.iq/maps/search/+31.8167,47.1668/@31.8167,47.1668,14z?hl=en","Maplink2")</f>
        <v>Maplink2</v>
      </c>
      <c r="AW2466" s="14" t="str">
        <f>HYPERLINK("http://www.bing.com/maps/?lvl=14&amp;sty=h&amp;cp=31.8167~47.1668&amp;sp=point.31.8167_47.1668_Hay Al-Amil","Maplink3")</f>
        <v>Maplink3</v>
      </c>
    </row>
    <row r="2467" spans="1:49" ht="15" customHeight="1" x14ac:dyDescent="0.25">
      <c r="A2467" s="21">
        <v>16822</v>
      </c>
      <c r="B2467" s="22" t="s">
        <v>18</v>
      </c>
      <c r="C2467" s="22" t="s">
        <v>4719</v>
      </c>
      <c r="D2467" s="22" t="s">
        <v>4782</v>
      </c>
      <c r="E2467" s="22" t="s">
        <v>4783</v>
      </c>
      <c r="F2467" s="22">
        <v>31.850166000000002</v>
      </c>
      <c r="G2467" s="22">
        <v>47.116804999999999</v>
      </c>
      <c r="H2467" s="21" t="s">
        <v>4647</v>
      </c>
      <c r="I2467" s="21" t="s">
        <v>4721</v>
      </c>
      <c r="J2467" s="21" t="s">
        <v>4784</v>
      </c>
      <c r="K2467" s="24">
        <v>5</v>
      </c>
      <c r="L2467" s="24">
        <v>30</v>
      </c>
      <c r="M2467" s="23"/>
      <c r="N2467" s="23"/>
      <c r="O2467" s="23">
        <v>5</v>
      </c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>
        <v>5</v>
      </c>
      <c r="AI2467" s="23"/>
      <c r="AJ2467" s="23"/>
      <c r="AK2467" s="23"/>
      <c r="AL2467" s="23"/>
      <c r="AM2467" s="23"/>
      <c r="AN2467" s="23"/>
      <c r="AO2467" s="23"/>
      <c r="AP2467" s="23">
        <v>5</v>
      </c>
      <c r="AQ2467" s="23"/>
      <c r="AR2467" s="23"/>
      <c r="AS2467" s="23"/>
      <c r="AT2467" s="23"/>
      <c r="AU2467" s="14" t="str">
        <f>HYPERLINK("http://www.openstreetmap.org/?mlat=31.8502&amp;mlon=47.1168&amp;zoom=12#map=12/31.8502/47.1168","Maplink1")</f>
        <v>Maplink1</v>
      </c>
      <c r="AV2467" s="14" t="str">
        <f>HYPERLINK("https://www.google.iq/maps/search/+31.8502,47.1168/@31.8502,47.1168,14z?hl=en","Maplink2")</f>
        <v>Maplink2</v>
      </c>
      <c r="AW2467" s="14" t="str">
        <f>HYPERLINK("http://www.bing.com/maps/?lvl=14&amp;sty=h&amp;cp=31.8502~47.1168&amp;sp=point.31.8502_47.1168_Hay Al-Dafas","Maplink3")</f>
        <v>Maplink3</v>
      </c>
    </row>
    <row r="2468" spans="1:49" ht="15" customHeight="1" x14ac:dyDescent="0.25">
      <c r="A2468" s="21">
        <v>23872</v>
      </c>
      <c r="B2468" s="22" t="s">
        <v>18</v>
      </c>
      <c r="C2468" s="22" t="s">
        <v>4719</v>
      </c>
      <c r="D2468" s="22" t="s">
        <v>4785</v>
      </c>
      <c r="E2468" s="22" t="s">
        <v>4786</v>
      </c>
      <c r="F2468" s="22">
        <v>31.841591999999999</v>
      </c>
      <c r="G2468" s="22">
        <v>47.100247000000003</v>
      </c>
      <c r="H2468" s="21" t="s">
        <v>4647</v>
      </c>
      <c r="I2468" s="21" t="s">
        <v>4721</v>
      </c>
      <c r="J2468" s="21" t="s">
        <v>4787</v>
      </c>
      <c r="K2468" s="24">
        <v>8</v>
      </c>
      <c r="L2468" s="24">
        <v>48</v>
      </c>
      <c r="M2468" s="23"/>
      <c r="N2468" s="23">
        <v>1</v>
      </c>
      <c r="O2468" s="23"/>
      <c r="P2468" s="23"/>
      <c r="Q2468" s="23"/>
      <c r="R2468" s="23">
        <v>1</v>
      </c>
      <c r="S2468" s="23"/>
      <c r="T2468" s="23"/>
      <c r="U2468" s="23">
        <v>1</v>
      </c>
      <c r="V2468" s="23"/>
      <c r="W2468" s="23"/>
      <c r="X2468" s="23"/>
      <c r="Y2468" s="23">
        <v>5</v>
      </c>
      <c r="Z2468" s="23"/>
      <c r="AA2468" s="23"/>
      <c r="AB2468" s="23"/>
      <c r="AC2468" s="23"/>
      <c r="AD2468" s="23"/>
      <c r="AE2468" s="23"/>
      <c r="AF2468" s="23">
        <v>4</v>
      </c>
      <c r="AG2468" s="23"/>
      <c r="AH2468" s="23"/>
      <c r="AI2468" s="23"/>
      <c r="AJ2468" s="23"/>
      <c r="AK2468" s="23">
        <v>4</v>
      </c>
      <c r="AL2468" s="23"/>
      <c r="AM2468" s="23"/>
      <c r="AN2468" s="23"/>
      <c r="AO2468" s="23"/>
      <c r="AP2468" s="23">
        <v>1</v>
      </c>
      <c r="AQ2468" s="23">
        <v>3</v>
      </c>
      <c r="AR2468" s="23">
        <v>4</v>
      </c>
      <c r="AS2468" s="23"/>
      <c r="AT2468" s="23"/>
      <c r="AU2468" s="14" t="str">
        <f>HYPERLINK("http://www.openstreetmap.org/?mlat=31.8416&amp;mlon=47.1002&amp;zoom=12#map=12/31.8416/47.1002","Maplink1")</f>
        <v>Maplink1</v>
      </c>
      <c r="AV2468" s="14" t="str">
        <f>HYPERLINK("https://www.google.iq/maps/search/+31.8416,47.1002/@31.8416,47.1002,14z?hl=en","Maplink2")</f>
        <v>Maplink2</v>
      </c>
      <c r="AW2468" s="14" t="str">
        <f>HYPERLINK("http://www.bing.com/maps/?lvl=14&amp;sty=h&amp;cp=31.8416~47.1002&amp;sp=point.31.8416_47.1002_Hay Al-Dawanim","Maplink3")</f>
        <v>Maplink3</v>
      </c>
    </row>
    <row r="2469" spans="1:49" ht="15" customHeight="1" x14ac:dyDescent="0.25">
      <c r="A2469" s="21">
        <v>16816</v>
      </c>
      <c r="B2469" s="22" t="s">
        <v>18</v>
      </c>
      <c r="C2469" s="22" t="s">
        <v>4719</v>
      </c>
      <c r="D2469" s="22" t="s">
        <v>4788</v>
      </c>
      <c r="E2469" s="22" t="s">
        <v>1098</v>
      </c>
      <c r="F2469" s="22">
        <v>31.850055000000001</v>
      </c>
      <c r="G2469" s="22">
        <v>47.150083000000002</v>
      </c>
      <c r="H2469" s="21" t="s">
        <v>4647</v>
      </c>
      <c r="I2469" s="21" t="s">
        <v>4721</v>
      </c>
      <c r="J2469" s="21" t="s">
        <v>4789</v>
      </c>
      <c r="K2469" s="24">
        <v>13</v>
      </c>
      <c r="L2469" s="24">
        <v>78</v>
      </c>
      <c r="M2469" s="23">
        <v>4</v>
      </c>
      <c r="N2469" s="23"/>
      <c r="O2469" s="23">
        <v>1</v>
      </c>
      <c r="P2469" s="23"/>
      <c r="Q2469" s="23"/>
      <c r="R2469" s="23">
        <v>1</v>
      </c>
      <c r="S2469" s="23"/>
      <c r="T2469" s="23"/>
      <c r="U2469" s="23">
        <v>5</v>
      </c>
      <c r="V2469" s="23"/>
      <c r="W2469" s="23"/>
      <c r="X2469" s="23"/>
      <c r="Y2469" s="23">
        <v>1</v>
      </c>
      <c r="Z2469" s="23"/>
      <c r="AA2469" s="23">
        <v>1</v>
      </c>
      <c r="AB2469" s="23"/>
      <c r="AC2469" s="23"/>
      <c r="AD2469" s="23"/>
      <c r="AE2469" s="23"/>
      <c r="AF2469" s="23">
        <v>7</v>
      </c>
      <c r="AG2469" s="23"/>
      <c r="AH2469" s="23">
        <v>2</v>
      </c>
      <c r="AI2469" s="23"/>
      <c r="AJ2469" s="23"/>
      <c r="AK2469" s="23">
        <v>4</v>
      </c>
      <c r="AL2469" s="23"/>
      <c r="AM2469" s="23"/>
      <c r="AN2469" s="23"/>
      <c r="AO2469" s="23">
        <v>4</v>
      </c>
      <c r="AP2469" s="23">
        <v>2</v>
      </c>
      <c r="AQ2469" s="23">
        <v>4</v>
      </c>
      <c r="AR2469" s="23">
        <v>3</v>
      </c>
      <c r="AS2469" s="23"/>
      <c r="AT2469" s="23"/>
      <c r="AU2469" s="14" t="str">
        <f>HYPERLINK("http://www.openstreetmap.org/?mlat=31.8501&amp;mlon=47.1501&amp;zoom=12#map=12/31.8501/47.1501","Maplink1")</f>
        <v>Maplink1</v>
      </c>
      <c r="AV2469" s="14" t="str">
        <f>HYPERLINK("https://www.google.iq/maps/search/+31.8501,47.1501/@31.8501,47.1501,14z?hl=en","Maplink2")</f>
        <v>Maplink2</v>
      </c>
      <c r="AW2469" s="14" t="str">
        <f>HYPERLINK("http://www.bing.com/maps/?lvl=14&amp;sty=h&amp;cp=31.8501~47.1501&amp;sp=point.31.8501_47.1501_Hay Al-Ghader","Maplink3")</f>
        <v>Maplink3</v>
      </c>
    </row>
    <row r="2470" spans="1:49" ht="15" customHeight="1" x14ac:dyDescent="0.25">
      <c r="A2470" s="21">
        <v>24547</v>
      </c>
      <c r="B2470" s="22" t="s">
        <v>18</v>
      </c>
      <c r="C2470" s="22" t="s">
        <v>4719</v>
      </c>
      <c r="D2470" s="22" t="s">
        <v>4680</v>
      </c>
      <c r="E2470" s="22" t="s">
        <v>4681</v>
      </c>
      <c r="F2470" s="22">
        <v>31.830893</v>
      </c>
      <c r="G2470" s="22">
        <v>47.140241000000003</v>
      </c>
      <c r="H2470" s="21" t="s">
        <v>4647</v>
      </c>
      <c r="I2470" s="21" t="s">
        <v>4721</v>
      </c>
      <c r="J2470" s="21"/>
      <c r="K2470" s="24">
        <v>6</v>
      </c>
      <c r="L2470" s="24">
        <v>36</v>
      </c>
      <c r="M2470" s="23"/>
      <c r="N2470" s="23"/>
      <c r="O2470" s="23"/>
      <c r="P2470" s="23"/>
      <c r="Q2470" s="23"/>
      <c r="R2470" s="23"/>
      <c r="S2470" s="23"/>
      <c r="T2470" s="23"/>
      <c r="U2470" s="23">
        <v>1</v>
      </c>
      <c r="V2470" s="23"/>
      <c r="W2470" s="23"/>
      <c r="X2470" s="23"/>
      <c r="Y2470" s="23">
        <v>4</v>
      </c>
      <c r="Z2470" s="23"/>
      <c r="AA2470" s="23">
        <v>1</v>
      </c>
      <c r="AB2470" s="23"/>
      <c r="AC2470" s="23"/>
      <c r="AD2470" s="23"/>
      <c r="AE2470" s="23"/>
      <c r="AF2470" s="23">
        <v>2</v>
      </c>
      <c r="AG2470" s="23"/>
      <c r="AH2470" s="23"/>
      <c r="AI2470" s="23"/>
      <c r="AJ2470" s="23"/>
      <c r="AK2470" s="23">
        <v>4</v>
      </c>
      <c r="AL2470" s="23"/>
      <c r="AM2470" s="23"/>
      <c r="AN2470" s="23"/>
      <c r="AO2470" s="23"/>
      <c r="AP2470" s="23">
        <v>2</v>
      </c>
      <c r="AQ2470" s="23">
        <v>3</v>
      </c>
      <c r="AR2470" s="23">
        <v>1</v>
      </c>
      <c r="AS2470" s="23"/>
      <c r="AT2470" s="23"/>
      <c r="AU2470" s="14" t="str">
        <f>HYPERLINK("http://www.openstreetmap.org/?mlat=31.8309&amp;mlon=47.1402&amp;zoom=12#map=12/31.8309/47.1402","Maplink1")</f>
        <v>Maplink1</v>
      </c>
      <c r="AV2470" s="14" t="str">
        <f>HYPERLINK("https://www.google.iq/maps/search/+31.8309,47.1402/@31.8309,47.1402,14z?hl=en","Maplink2")</f>
        <v>Maplink2</v>
      </c>
      <c r="AW2470" s="14" t="str">
        <f>HYPERLINK("http://www.bing.com/maps/?lvl=14&amp;sty=h&amp;cp=31.8309~47.1402&amp;sp=point.31.8309_47.1402_Hay Al-Hadi","Maplink3")</f>
        <v>Maplink3</v>
      </c>
    </row>
    <row r="2471" spans="1:49" ht="15" customHeight="1" x14ac:dyDescent="0.25">
      <c r="A2471" s="21">
        <v>16808</v>
      </c>
      <c r="B2471" s="22" t="s">
        <v>18</v>
      </c>
      <c r="C2471" s="22" t="s">
        <v>4719</v>
      </c>
      <c r="D2471" s="22" t="s">
        <v>4790</v>
      </c>
      <c r="E2471" s="22" t="s">
        <v>1923</v>
      </c>
      <c r="F2471" s="22">
        <v>31.828984999999999</v>
      </c>
      <c r="G2471" s="22">
        <v>47.172466999999997</v>
      </c>
      <c r="H2471" s="21" t="s">
        <v>4647</v>
      </c>
      <c r="I2471" s="21" t="s">
        <v>4721</v>
      </c>
      <c r="J2471" s="21" t="s">
        <v>4791</v>
      </c>
      <c r="K2471" s="24">
        <v>8</v>
      </c>
      <c r="L2471" s="24">
        <v>48</v>
      </c>
      <c r="M2471" s="23"/>
      <c r="N2471" s="23"/>
      <c r="O2471" s="23"/>
      <c r="P2471" s="23"/>
      <c r="Q2471" s="23"/>
      <c r="R2471" s="23">
        <v>1</v>
      </c>
      <c r="S2471" s="23"/>
      <c r="T2471" s="23"/>
      <c r="U2471" s="23"/>
      <c r="V2471" s="23"/>
      <c r="W2471" s="23"/>
      <c r="X2471" s="23"/>
      <c r="Y2471" s="23">
        <v>3</v>
      </c>
      <c r="Z2471" s="23"/>
      <c r="AA2471" s="23">
        <v>4</v>
      </c>
      <c r="AB2471" s="23"/>
      <c r="AC2471" s="23"/>
      <c r="AD2471" s="23"/>
      <c r="AE2471" s="23"/>
      <c r="AF2471" s="23">
        <v>2</v>
      </c>
      <c r="AG2471" s="23"/>
      <c r="AH2471" s="23">
        <v>4</v>
      </c>
      <c r="AI2471" s="23"/>
      <c r="AJ2471" s="23"/>
      <c r="AK2471" s="23">
        <v>2</v>
      </c>
      <c r="AL2471" s="23"/>
      <c r="AM2471" s="23"/>
      <c r="AN2471" s="23"/>
      <c r="AO2471" s="23"/>
      <c r="AP2471" s="23">
        <v>5</v>
      </c>
      <c r="AQ2471" s="23">
        <v>2</v>
      </c>
      <c r="AR2471" s="23"/>
      <c r="AS2471" s="23">
        <v>1</v>
      </c>
      <c r="AT2471" s="23"/>
      <c r="AU2471" s="14" t="str">
        <f>HYPERLINK("http://www.openstreetmap.org/?mlat=31.829&amp;mlon=47.1725&amp;zoom=12#map=12/31.829/47.1725","Maplink1")</f>
        <v>Maplink1</v>
      </c>
      <c r="AV2471" s="14" t="str">
        <f>HYPERLINK("https://www.google.iq/maps/search/+31.829,47.1725/@31.829,47.1725,14z?hl=en","Maplink2")</f>
        <v>Maplink2</v>
      </c>
      <c r="AW2471" s="14" t="str">
        <f>HYPERLINK("http://www.bing.com/maps/?lvl=14&amp;sty=h&amp;cp=31.829~47.1725&amp;sp=point.31.829_47.1725_Hay Al-Hasan Al-Askry","Maplink3")</f>
        <v>Maplink3</v>
      </c>
    </row>
    <row r="2472" spans="1:49" ht="15" customHeight="1" x14ac:dyDescent="0.25">
      <c r="A2472" s="21">
        <v>16552</v>
      </c>
      <c r="B2472" s="22" t="s">
        <v>18</v>
      </c>
      <c r="C2472" s="22" t="s">
        <v>4719</v>
      </c>
      <c r="D2472" s="22" t="s">
        <v>4792</v>
      </c>
      <c r="E2472" s="22" t="s">
        <v>4793</v>
      </c>
      <c r="F2472" s="22">
        <v>31.8475</v>
      </c>
      <c r="G2472" s="22">
        <v>47.166389000000002</v>
      </c>
      <c r="H2472" s="21" t="s">
        <v>4647</v>
      </c>
      <c r="I2472" s="21" t="s">
        <v>4721</v>
      </c>
      <c r="J2472" s="21" t="s">
        <v>4794</v>
      </c>
      <c r="K2472" s="24">
        <v>6</v>
      </c>
      <c r="L2472" s="24">
        <v>36</v>
      </c>
      <c r="M2472" s="23"/>
      <c r="N2472" s="23"/>
      <c r="O2472" s="23">
        <v>1</v>
      </c>
      <c r="P2472" s="23"/>
      <c r="Q2472" s="23"/>
      <c r="R2472" s="23"/>
      <c r="S2472" s="23"/>
      <c r="T2472" s="23"/>
      <c r="U2472" s="23">
        <v>3</v>
      </c>
      <c r="V2472" s="23"/>
      <c r="W2472" s="23"/>
      <c r="X2472" s="23"/>
      <c r="Y2472" s="23">
        <v>2</v>
      </c>
      <c r="Z2472" s="23"/>
      <c r="AA2472" s="23"/>
      <c r="AB2472" s="23"/>
      <c r="AC2472" s="23"/>
      <c r="AD2472" s="23"/>
      <c r="AE2472" s="23"/>
      <c r="AF2472" s="23">
        <v>2</v>
      </c>
      <c r="AG2472" s="23"/>
      <c r="AH2472" s="23"/>
      <c r="AI2472" s="23"/>
      <c r="AJ2472" s="23"/>
      <c r="AK2472" s="23">
        <v>4</v>
      </c>
      <c r="AL2472" s="23"/>
      <c r="AM2472" s="23"/>
      <c r="AN2472" s="23"/>
      <c r="AO2472" s="23"/>
      <c r="AP2472" s="23">
        <v>4</v>
      </c>
      <c r="AQ2472" s="23">
        <v>1</v>
      </c>
      <c r="AR2472" s="23">
        <v>1</v>
      </c>
      <c r="AS2472" s="23"/>
      <c r="AT2472" s="23"/>
      <c r="AU2472" s="14" t="str">
        <f>HYPERLINK("http://www.openstreetmap.org/?mlat=31.8475&amp;mlon=47.1664&amp;zoom=12#map=12/31.8475/47.1664","Maplink1")</f>
        <v>Maplink1</v>
      </c>
      <c r="AV2472" s="14" t="str">
        <f>HYPERLINK("https://www.google.iq/maps/search/+31.8475,47.1664/@31.8475,47.1664,14z?hl=en","Maplink2")</f>
        <v>Maplink2</v>
      </c>
      <c r="AW2472" s="14" t="str">
        <f>HYPERLINK("http://www.bing.com/maps/?lvl=14&amp;sty=h&amp;cp=31.8475~47.1664&amp;sp=point.31.8475_47.1664_Hay al-hussain al-jaded","Maplink3")</f>
        <v>Maplink3</v>
      </c>
    </row>
    <row r="2473" spans="1:49" ht="15" customHeight="1" x14ac:dyDescent="0.25">
      <c r="A2473" s="21">
        <v>16532</v>
      </c>
      <c r="B2473" s="22" t="s">
        <v>18</v>
      </c>
      <c r="C2473" s="22" t="s">
        <v>4719</v>
      </c>
      <c r="D2473" s="22" t="s">
        <v>4795</v>
      </c>
      <c r="E2473" s="22" t="s">
        <v>4796</v>
      </c>
      <c r="F2473" s="22">
        <v>31.842222</v>
      </c>
      <c r="G2473" s="22">
        <v>47.156111000000003</v>
      </c>
      <c r="H2473" s="21" t="s">
        <v>4647</v>
      </c>
      <c r="I2473" s="21" t="s">
        <v>4721</v>
      </c>
      <c r="J2473" s="21" t="s">
        <v>4797</v>
      </c>
      <c r="K2473" s="24">
        <v>2</v>
      </c>
      <c r="L2473" s="24">
        <v>12</v>
      </c>
      <c r="M2473" s="23"/>
      <c r="N2473" s="23"/>
      <c r="O2473" s="23"/>
      <c r="P2473" s="23"/>
      <c r="Q2473" s="23"/>
      <c r="R2473" s="23"/>
      <c r="S2473" s="23"/>
      <c r="T2473" s="23"/>
      <c r="U2473" s="23">
        <v>1</v>
      </c>
      <c r="V2473" s="23"/>
      <c r="W2473" s="23"/>
      <c r="X2473" s="23"/>
      <c r="Y2473" s="23">
        <v>1</v>
      </c>
      <c r="Z2473" s="23"/>
      <c r="AA2473" s="23"/>
      <c r="AB2473" s="23"/>
      <c r="AC2473" s="23"/>
      <c r="AD2473" s="23"/>
      <c r="AE2473" s="23"/>
      <c r="AF2473" s="23">
        <v>1</v>
      </c>
      <c r="AG2473" s="23"/>
      <c r="AH2473" s="23"/>
      <c r="AI2473" s="23">
        <v>1</v>
      </c>
      <c r="AJ2473" s="23"/>
      <c r="AK2473" s="23"/>
      <c r="AL2473" s="23"/>
      <c r="AM2473" s="23"/>
      <c r="AN2473" s="23"/>
      <c r="AO2473" s="23"/>
      <c r="AP2473" s="23">
        <v>1</v>
      </c>
      <c r="AQ2473" s="23">
        <v>1</v>
      </c>
      <c r="AR2473" s="23"/>
      <c r="AS2473" s="23"/>
      <c r="AT2473" s="23"/>
      <c r="AU2473" s="14" t="str">
        <f>HYPERLINK("http://www.openstreetmap.org/?mlat=31.8422&amp;mlon=47.1561&amp;zoom=12#map=12/31.8422/47.1561","Maplink1")</f>
        <v>Maplink1</v>
      </c>
      <c r="AV2473" s="14" t="str">
        <f>HYPERLINK("https://www.google.iq/maps/search/+31.8422,47.1561/@31.8422,47.1561,14z?hl=en","Maplink2")</f>
        <v>Maplink2</v>
      </c>
      <c r="AW2473" s="14" t="str">
        <f>HYPERLINK("http://www.bing.com/maps/?lvl=14&amp;sty=h&amp;cp=31.8422~47.1561&amp;sp=point.31.8422_47.1561_Hay Al-hussan Al-qadem","Maplink3")</f>
        <v>Maplink3</v>
      </c>
    </row>
    <row r="2474" spans="1:49" ht="15" customHeight="1" x14ac:dyDescent="0.25">
      <c r="A2474" s="21">
        <v>16852</v>
      </c>
      <c r="B2474" s="22" t="s">
        <v>18</v>
      </c>
      <c r="C2474" s="22" t="s">
        <v>4719</v>
      </c>
      <c r="D2474" s="22" t="s">
        <v>4798</v>
      </c>
      <c r="E2474" s="22" t="s">
        <v>4799</v>
      </c>
      <c r="F2474" s="22">
        <v>31.850138000000001</v>
      </c>
      <c r="G2474" s="22">
        <v>47.133583000000002</v>
      </c>
      <c r="H2474" s="21" t="s">
        <v>4647</v>
      </c>
      <c r="I2474" s="21" t="s">
        <v>4721</v>
      </c>
      <c r="J2474" s="21" t="s">
        <v>4800</v>
      </c>
      <c r="K2474" s="24">
        <v>8</v>
      </c>
      <c r="L2474" s="24">
        <v>48</v>
      </c>
      <c r="M2474" s="23"/>
      <c r="N2474" s="23"/>
      <c r="O2474" s="23"/>
      <c r="P2474" s="23"/>
      <c r="Q2474" s="23"/>
      <c r="R2474" s="23"/>
      <c r="S2474" s="23"/>
      <c r="T2474" s="23"/>
      <c r="U2474" s="23">
        <v>1</v>
      </c>
      <c r="V2474" s="23"/>
      <c r="W2474" s="23"/>
      <c r="X2474" s="23"/>
      <c r="Y2474" s="23">
        <v>7</v>
      </c>
      <c r="Z2474" s="23"/>
      <c r="AA2474" s="23"/>
      <c r="AB2474" s="23"/>
      <c r="AC2474" s="23"/>
      <c r="AD2474" s="23"/>
      <c r="AE2474" s="23"/>
      <c r="AF2474" s="23">
        <v>6</v>
      </c>
      <c r="AG2474" s="23"/>
      <c r="AH2474" s="23"/>
      <c r="AI2474" s="23"/>
      <c r="AJ2474" s="23"/>
      <c r="AK2474" s="23">
        <v>2</v>
      </c>
      <c r="AL2474" s="23"/>
      <c r="AM2474" s="23"/>
      <c r="AN2474" s="23"/>
      <c r="AO2474" s="23">
        <v>1</v>
      </c>
      <c r="AP2474" s="23">
        <v>2</v>
      </c>
      <c r="AQ2474" s="23">
        <v>4</v>
      </c>
      <c r="AR2474" s="23">
        <v>1</v>
      </c>
      <c r="AS2474" s="23"/>
      <c r="AT2474" s="23"/>
      <c r="AU2474" s="14" t="str">
        <f>HYPERLINK("http://www.openstreetmap.org/?mlat=31.8501&amp;mlon=47.1336&amp;zoom=12#map=12/31.8501/47.1336","Maplink1")</f>
        <v>Maplink1</v>
      </c>
      <c r="AV2474" s="14" t="str">
        <f>HYPERLINK("https://www.google.iq/maps/search/+31.8501,47.1336/@31.8501,47.1336,14z?hl=en","Maplink2")</f>
        <v>Maplink2</v>
      </c>
      <c r="AW2474" s="14" t="str">
        <f>HYPERLINK("http://www.bing.com/maps/?lvl=14&amp;sty=h&amp;cp=31.8501~47.1336&amp;sp=point.31.8501_47.1336_Hay Al-Kafat","Maplink3")</f>
        <v>Maplink3</v>
      </c>
    </row>
    <row r="2475" spans="1:49" ht="15" customHeight="1" x14ac:dyDescent="0.25">
      <c r="A2475" s="21">
        <v>16836</v>
      </c>
      <c r="B2475" s="22" t="s">
        <v>18</v>
      </c>
      <c r="C2475" s="22" t="s">
        <v>4719</v>
      </c>
      <c r="D2475" s="22" t="s">
        <v>4801</v>
      </c>
      <c r="E2475" s="22" t="s">
        <v>2702</v>
      </c>
      <c r="F2475" s="22">
        <v>31.833555</v>
      </c>
      <c r="G2475" s="22">
        <v>47.116722000000003</v>
      </c>
      <c r="H2475" s="21" t="s">
        <v>4647</v>
      </c>
      <c r="I2475" s="21" t="s">
        <v>4721</v>
      </c>
      <c r="J2475" s="21" t="s">
        <v>4802</v>
      </c>
      <c r="K2475" s="24">
        <v>1</v>
      </c>
      <c r="L2475" s="24">
        <v>6</v>
      </c>
      <c r="M2475" s="23"/>
      <c r="N2475" s="23"/>
      <c r="O2475" s="23"/>
      <c r="P2475" s="23"/>
      <c r="Q2475" s="23"/>
      <c r="R2475" s="23">
        <v>1</v>
      </c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>
        <v>1</v>
      </c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>
        <v>1</v>
      </c>
      <c r="AR2475" s="23"/>
      <c r="AS2475" s="23"/>
      <c r="AT2475" s="23"/>
      <c r="AU2475" s="14" t="str">
        <f>HYPERLINK("http://www.openstreetmap.org/?mlat=31.8336&amp;mlon=47.1167&amp;zoom=12#map=12/31.8336/47.1167","Maplink1")</f>
        <v>Maplink1</v>
      </c>
      <c r="AV2475" s="14" t="str">
        <f>HYPERLINK("https://www.google.iq/maps/search/+31.8336,47.1167/@31.8336,47.1167,14z?hl=en","Maplink2")</f>
        <v>Maplink2</v>
      </c>
      <c r="AW2475" s="14" t="str">
        <f>HYPERLINK("http://www.bing.com/maps/?lvl=14&amp;sty=h&amp;cp=31.8336~47.1167&amp;sp=point.31.8336_47.1167_Hay Al-Khadhraa","Maplink3")</f>
        <v>Maplink3</v>
      </c>
    </row>
    <row r="2476" spans="1:49" ht="15" customHeight="1" x14ac:dyDescent="0.25">
      <c r="A2476" s="21">
        <v>16807</v>
      </c>
      <c r="B2476" s="22" t="s">
        <v>18</v>
      </c>
      <c r="C2476" s="22" t="s">
        <v>4719</v>
      </c>
      <c r="D2476" s="22" t="s">
        <v>4803</v>
      </c>
      <c r="E2476" s="22" t="s">
        <v>4804</v>
      </c>
      <c r="F2476" s="22">
        <v>31.833583000000001</v>
      </c>
      <c r="G2476" s="22">
        <v>47.133387999999997</v>
      </c>
      <c r="H2476" s="21" t="s">
        <v>4647</v>
      </c>
      <c r="I2476" s="21" t="s">
        <v>4721</v>
      </c>
      <c r="J2476" s="21" t="s">
        <v>4805</v>
      </c>
      <c r="K2476" s="24">
        <v>20</v>
      </c>
      <c r="L2476" s="24">
        <v>120</v>
      </c>
      <c r="M2476" s="23">
        <v>10</v>
      </c>
      <c r="N2476" s="23"/>
      <c r="O2476" s="23"/>
      <c r="P2476" s="23"/>
      <c r="Q2476" s="23"/>
      <c r="R2476" s="23"/>
      <c r="S2476" s="23"/>
      <c r="T2476" s="23"/>
      <c r="U2476" s="23">
        <v>1</v>
      </c>
      <c r="V2476" s="23"/>
      <c r="W2476" s="23"/>
      <c r="X2476" s="23"/>
      <c r="Y2476" s="23">
        <v>4</v>
      </c>
      <c r="Z2476" s="23"/>
      <c r="AA2476" s="23">
        <v>5</v>
      </c>
      <c r="AB2476" s="23"/>
      <c r="AC2476" s="23"/>
      <c r="AD2476" s="23"/>
      <c r="AE2476" s="23"/>
      <c r="AF2476" s="23">
        <v>7</v>
      </c>
      <c r="AG2476" s="23"/>
      <c r="AH2476" s="23"/>
      <c r="AI2476" s="23"/>
      <c r="AJ2476" s="23">
        <v>1</v>
      </c>
      <c r="AK2476" s="23">
        <v>12</v>
      </c>
      <c r="AL2476" s="23"/>
      <c r="AM2476" s="23"/>
      <c r="AN2476" s="23"/>
      <c r="AO2476" s="23"/>
      <c r="AP2476" s="23">
        <v>1</v>
      </c>
      <c r="AQ2476" s="23">
        <v>7</v>
      </c>
      <c r="AR2476" s="23">
        <v>5</v>
      </c>
      <c r="AS2476" s="23">
        <v>7</v>
      </c>
      <c r="AT2476" s="23"/>
      <c r="AU2476" s="14" t="str">
        <f>HYPERLINK("http://www.openstreetmap.org/?mlat=31.8336&amp;mlon=47.1334&amp;zoom=12#map=12/31.8336/47.1334","Maplink1")</f>
        <v>Maplink1</v>
      </c>
      <c r="AV2476" s="14" t="str">
        <f>HYPERLINK("https://www.google.iq/maps/search/+31.8336,47.1334/@31.8336,47.1334,14z?hl=en","Maplink2")</f>
        <v>Maplink2</v>
      </c>
      <c r="AW2476" s="14" t="str">
        <f>HYPERLINK("http://www.bing.com/maps/?lvl=14&amp;sty=h&amp;cp=31.8336~47.1334&amp;sp=point.31.8336_47.1334_Hay Al-Mahmoudia","Maplink3")</f>
        <v>Maplink3</v>
      </c>
    </row>
    <row r="2477" spans="1:49" ht="15" customHeight="1" x14ac:dyDescent="0.25">
      <c r="A2477" s="21">
        <v>16850</v>
      </c>
      <c r="B2477" s="22" t="s">
        <v>18</v>
      </c>
      <c r="C2477" s="22" t="s">
        <v>4719</v>
      </c>
      <c r="D2477" s="22" t="s">
        <v>4806</v>
      </c>
      <c r="E2477" s="22" t="s">
        <v>4807</v>
      </c>
      <c r="F2477" s="22">
        <v>31.816749999999999</v>
      </c>
      <c r="G2477" s="22">
        <v>47.116888000000003</v>
      </c>
      <c r="H2477" s="21" t="s">
        <v>4647</v>
      </c>
      <c r="I2477" s="21" t="s">
        <v>4721</v>
      </c>
      <c r="J2477" s="21" t="s">
        <v>4808</v>
      </c>
      <c r="K2477" s="24">
        <v>7</v>
      </c>
      <c r="L2477" s="24">
        <v>42</v>
      </c>
      <c r="M2477" s="23"/>
      <c r="N2477" s="23">
        <v>1</v>
      </c>
      <c r="O2477" s="23"/>
      <c r="P2477" s="23"/>
      <c r="Q2477" s="23"/>
      <c r="R2477" s="23"/>
      <c r="S2477" s="23"/>
      <c r="T2477" s="23"/>
      <c r="U2477" s="23">
        <v>1</v>
      </c>
      <c r="V2477" s="23"/>
      <c r="W2477" s="23"/>
      <c r="X2477" s="23"/>
      <c r="Y2477" s="23">
        <v>5</v>
      </c>
      <c r="Z2477" s="23"/>
      <c r="AA2477" s="23"/>
      <c r="AB2477" s="23"/>
      <c r="AC2477" s="23"/>
      <c r="AD2477" s="23"/>
      <c r="AE2477" s="23"/>
      <c r="AF2477" s="23">
        <v>3</v>
      </c>
      <c r="AG2477" s="23"/>
      <c r="AH2477" s="23"/>
      <c r="AI2477" s="23"/>
      <c r="AJ2477" s="23"/>
      <c r="AK2477" s="23">
        <v>3</v>
      </c>
      <c r="AL2477" s="23">
        <v>1</v>
      </c>
      <c r="AM2477" s="23"/>
      <c r="AN2477" s="23"/>
      <c r="AO2477" s="23"/>
      <c r="AP2477" s="23">
        <v>1</v>
      </c>
      <c r="AQ2477" s="23">
        <v>6</v>
      </c>
      <c r="AR2477" s="23"/>
      <c r="AS2477" s="23"/>
      <c r="AT2477" s="23"/>
      <c r="AU2477" s="14" t="str">
        <f>HYPERLINK("http://www.openstreetmap.org/?mlat=31.8167&amp;mlon=47.1169&amp;zoom=12#map=12/31.8167/47.1169","Maplink1")</f>
        <v>Maplink1</v>
      </c>
      <c r="AV2477" s="14" t="str">
        <f>HYPERLINK("https://www.google.iq/maps/search/+31.8167,47.1169/@31.8167,47.1169,14z?hl=en","Maplink2")</f>
        <v>Maplink2</v>
      </c>
      <c r="AW2477" s="14" t="str">
        <f>HYPERLINK("http://www.bing.com/maps/?lvl=14&amp;sty=h&amp;cp=31.8167~47.1169&amp;sp=point.31.8167_47.1169_Hay Al-Montadhar","Maplink3")</f>
        <v>Maplink3</v>
      </c>
    </row>
    <row r="2478" spans="1:49" ht="15" customHeight="1" x14ac:dyDescent="0.25">
      <c r="A2478" s="21">
        <v>16845</v>
      </c>
      <c r="B2478" s="22" t="s">
        <v>18</v>
      </c>
      <c r="C2478" s="22" t="s">
        <v>4719</v>
      </c>
      <c r="D2478" s="22" t="s">
        <v>4809</v>
      </c>
      <c r="E2478" s="22" t="s">
        <v>4810</v>
      </c>
      <c r="F2478" s="22">
        <v>31.816860999999999</v>
      </c>
      <c r="G2478" s="22">
        <v>47.15</v>
      </c>
      <c r="H2478" s="21" t="s">
        <v>4647</v>
      </c>
      <c r="I2478" s="21" t="s">
        <v>4721</v>
      </c>
      <c r="J2478" s="21" t="s">
        <v>4811</v>
      </c>
      <c r="K2478" s="24">
        <v>6</v>
      </c>
      <c r="L2478" s="24">
        <v>36</v>
      </c>
      <c r="M2478" s="23"/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>
        <v>6</v>
      </c>
      <c r="AB2478" s="23"/>
      <c r="AC2478" s="23"/>
      <c r="AD2478" s="23"/>
      <c r="AE2478" s="23"/>
      <c r="AF2478" s="23">
        <v>4</v>
      </c>
      <c r="AG2478" s="23"/>
      <c r="AH2478" s="23"/>
      <c r="AI2478" s="23"/>
      <c r="AJ2478" s="23"/>
      <c r="AK2478" s="23">
        <v>2</v>
      </c>
      <c r="AL2478" s="23"/>
      <c r="AM2478" s="23"/>
      <c r="AN2478" s="23"/>
      <c r="AO2478" s="23"/>
      <c r="AP2478" s="23">
        <v>3</v>
      </c>
      <c r="AQ2478" s="23"/>
      <c r="AR2478" s="23">
        <v>3</v>
      </c>
      <c r="AS2478" s="23"/>
      <c r="AT2478" s="23"/>
      <c r="AU2478" s="14" t="str">
        <f>HYPERLINK("http://www.openstreetmap.org/?mlat=31.8169&amp;mlon=47.15&amp;zoom=12#map=12/31.8169/47.15","Maplink1")</f>
        <v>Maplink1</v>
      </c>
      <c r="AV2478" s="14" t="str">
        <f>HYPERLINK("https://www.google.iq/maps/search/+31.8169,47.15/@31.8169,47.15,14z?hl=en","Maplink2")</f>
        <v>Maplink2</v>
      </c>
      <c r="AW2478" s="14" t="str">
        <f>HYPERLINK("http://www.bing.com/maps/?lvl=14&amp;sty=h&amp;cp=31.8169~47.15&amp;sp=point.31.8169_47.15_Hay Al-Nafot","Maplink3")</f>
        <v>Maplink3</v>
      </c>
    </row>
    <row r="2479" spans="1:49" ht="15" customHeight="1" x14ac:dyDescent="0.25">
      <c r="A2479" s="21">
        <v>16487</v>
      </c>
      <c r="B2479" s="22" t="s">
        <v>18</v>
      </c>
      <c r="C2479" s="22" t="s">
        <v>4719</v>
      </c>
      <c r="D2479" s="22" t="s">
        <v>7541</v>
      </c>
      <c r="E2479" s="22" t="s">
        <v>4745</v>
      </c>
      <c r="F2479" s="22">
        <v>31.826667</v>
      </c>
      <c r="G2479" s="22">
        <v>47.149721999999997</v>
      </c>
      <c r="H2479" s="21" t="s">
        <v>4647</v>
      </c>
      <c r="I2479" s="21" t="s">
        <v>4721</v>
      </c>
      <c r="J2479" s="21" t="s">
        <v>4746</v>
      </c>
      <c r="K2479" s="24">
        <v>5</v>
      </c>
      <c r="L2479" s="24">
        <v>30</v>
      </c>
      <c r="M2479" s="23"/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5</v>
      </c>
      <c r="Z2479" s="23"/>
      <c r="AA2479" s="23"/>
      <c r="AB2479" s="23"/>
      <c r="AC2479" s="23"/>
      <c r="AD2479" s="23"/>
      <c r="AE2479" s="23"/>
      <c r="AF2479" s="23"/>
      <c r="AG2479" s="23"/>
      <c r="AH2479" s="23">
        <v>1</v>
      </c>
      <c r="AI2479" s="23"/>
      <c r="AJ2479" s="23"/>
      <c r="AK2479" s="23">
        <v>4</v>
      </c>
      <c r="AL2479" s="23"/>
      <c r="AM2479" s="23"/>
      <c r="AN2479" s="23"/>
      <c r="AO2479" s="23"/>
      <c r="AP2479" s="23">
        <v>2</v>
      </c>
      <c r="AQ2479" s="23">
        <v>3</v>
      </c>
      <c r="AR2479" s="23"/>
      <c r="AS2479" s="23"/>
      <c r="AT2479" s="23"/>
      <c r="AU2479" s="14" t="str">
        <f>HYPERLINK("http://www.openstreetmap.org/?mlat=31.8267&amp;mlon=47.1497&amp;zoom=12#map=12/31.8267/47.1497","Maplink1")</f>
        <v>Maplink1</v>
      </c>
      <c r="AV2479" s="14" t="str">
        <f>HYPERLINK("https://www.google.iq/maps/search/+31.8267,47.1497/@31.8267,47.1497,14z?hl=en","Maplink2")</f>
        <v>Maplink2</v>
      </c>
      <c r="AW2479" s="14" t="str">
        <f>HYPERLINK("http://www.bing.com/maps/?lvl=14&amp;sty=h&amp;cp=31.8267~47.1497&amp;sp=point.31.8267_47.1497_Hay al -qaherah","Maplink3")</f>
        <v>Maplink3</v>
      </c>
    </row>
    <row r="2480" spans="1:49" ht="15" customHeight="1" x14ac:dyDescent="0.25">
      <c r="A2480" s="21">
        <v>16851</v>
      </c>
      <c r="B2480" s="22" t="s">
        <v>18</v>
      </c>
      <c r="C2480" s="22" t="s">
        <v>4719</v>
      </c>
      <c r="D2480" s="22" t="s">
        <v>4812</v>
      </c>
      <c r="E2480" s="22" t="s">
        <v>2665</v>
      </c>
      <c r="F2480" s="22">
        <v>31.833527</v>
      </c>
      <c r="G2480" s="22">
        <v>47.150083000000002</v>
      </c>
      <c r="H2480" s="21" t="s">
        <v>4647</v>
      </c>
      <c r="I2480" s="21" t="s">
        <v>4721</v>
      </c>
      <c r="J2480" s="21" t="s">
        <v>4813</v>
      </c>
      <c r="K2480" s="24">
        <v>3</v>
      </c>
      <c r="L2480" s="24">
        <v>18</v>
      </c>
      <c r="M2480" s="23"/>
      <c r="N2480" s="23"/>
      <c r="O2480" s="23"/>
      <c r="P2480" s="23"/>
      <c r="Q2480" s="23"/>
      <c r="R2480" s="23"/>
      <c r="S2480" s="23"/>
      <c r="T2480" s="23"/>
      <c r="U2480" s="23">
        <v>2</v>
      </c>
      <c r="V2480" s="23"/>
      <c r="W2480" s="23"/>
      <c r="X2480" s="23"/>
      <c r="Y2480" s="23"/>
      <c r="Z2480" s="23"/>
      <c r="AA2480" s="23">
        <v>1</v>
      </c>
      <c r="AB2480" s="23"/>
      <c r="AC2480" s="23"/>
      <c r="AD2480" s="23"/>
      <c r="AE2480" s="23"/>
      <c r="AF2480" s="23">
        <v>1</v>
      </c>
      <c r="AG2480" s="23"/>
      <c r="AH2480" s="23"/>
      <c r="AI2480" s="23"/>
      <c r="AJ2480" s="23"/>
      <c r="AK2480" s="23">
        <v>2</v>
      </c>
      <c r="AL2480" s="23"/>
      <c r="AM2480" s="23"/>
      <c r="AN2480" s="23"/>
      <c r="AO2480" s="23"/>
      <c r="AP2480" s="23"/>
      <c r="AQ2480" s="23">
        <v>1</v>
      </c>
      <c r="AR2480" s="23">
        <v>2</v>
      </c>
      <c r="AS2480" s="23"/>
      <c r="AT2480" s="23"/>
      <c r="AU2480" s="14" t="str">
        <f>HYPERLINK("http://www.openstreetmap.org/?mlat=31.8335&amp;mlon=47.1501&amp;zoom=12#map=12/31.8335/47.1501","Maplink1")</f>
        <v>Maplink1</v>
      </c>
      <c r="AV2480" s="14" t="str">
        <f>HYPERLINK("https://www.google.iq/maps/search/+31.8335,47.1501/@31.8335,47.1501,14z?hl=en","Maplink2")</f>
        <v>Maplink2</v>
      </c>
      <c r="AW2480" s="14" t="str">
        <f>HYPERLINK("http://www.bing.com/maps/?lvl=14&amp;sty=h&amp;cp=31.8335~47.1501&amp;sp=point.31.8335_47.1501_Hay Al-Rafidain","Maplink3")</f>
        <v>Maplink3</v>
      </c>
    </row>
    <row r="2481" spans="1:49" ht="15" customHeight="1" x14ac:dyDescent="0.25">
      <c r="A2481" s="21">
        <v>16809</v>
      </c>
      <c r="B2481" s="22" t="s">
        <v>18</v>
      </c>
      <c r="C2481" s="22" t="s">
        <v>4719</v>
      </c>
      <c r="D2481" s="22" t="s">
        <v>4814</v>
      </c>
      <c r="E2481" s="22" t="s">
        <v>2300</v>
      </c>
      <c r="F2481" s="22">
        <v>31.816749999999999</v>
      </c>
      <c r="G2481" s="22">
        <v>47.133583000000002</v>
      </c>
      <c r="H2481" s="21" t="s">
        <v>4647</v>
      </c>
      <c r="I2481" s="21" t="s">
        <v>4721</v>
      </c>
      <c r="J2481" s="21" t="s">
        <v>4815</v>
      </c>
      <c r="K2481" s="24">
        <v>2</v>
      </c>
      <c r="L2481" s="24">
        <v>12</v>
      </c>
      <c r="M2481" s="23"/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>
        <v>2</v>
      </c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/>
      <c r="AL2481" s="23">
        <v>2</v>
      </c>
      <c r="AM2481" s="23"/>
      <c r="AN2481" s="23"/>
      <c r="AO2481" s="23"/>
      <c r="AP2481" s="23"/>
      <c r="AQ2481" s="23">
        <v>2</v>
      </c>
      <c r="AR2481" s="23"/>
      <c r="AS2481" s="23"/>
      <c r="AT2481" s="23"/>
      <c r="AU2481" s="14" t="str">
        <f>HYPERLINK("http://www.openstreetmap.org/?mlat=31.8167&amp;mlon=47.1336&amp;zoom=12#map=12/31.8167/47.1336","Maplink1")</f>
        <v>Maplink1</v>
      </c>
      <c r="AV2481" s="14" t="str">
        <f>HYPERLINK("https://www.google.iq/maps/search/+31.8167,47.1336/@31.8167,47.1336,14z?hl=en","Maplink2")</f>
        <v>Maplink2</v>
      </c>
      <c r="AW2481" s="14" t="str">
        <f>HYPERLINK("http://www.bing.com/maps/?lvl=14&amp;sty=h&amp;cp=31.8167~47.1336&amp;sp=point.31.8167_47.1336_Hay Al-Risala","Maplink3")</f>
        <v>Maplink3</v>
      </c>
    </row>
    <row r="2482" spans="1:49" ht="15" customHeight="1" x14ac:dyDescent="0.25">
      <c r="A2482" s="21">
        <v>28411</v>
      </c>
      <c r="B2482" s="22" t="s">
        <v>18</v>
      </c>
      <c r="C2482" s="22" t="s">
        <v>4719</v>
      </c>
      <c r="D2482" s="22" t="s">
        <v>647</v>
      </c>
      <c r="E2482" s="22" t="s">
        <v>1148</v>
      </c>
      <c r="F2482" s="22">
        <v>32.034742000000001</v>
      </c>
      <c r="G2482" s="22">
        <v>46.872653</v>
      </c>
      <c r="H2482" s="21"/>
      <c r="I2482" s="21"/>
      <c r="J2482" s="21"/>
      <c r="K2482" s="24">
        <v>1</v>
      </c>
      <c r="L2482" s="24">
        <v>6</v>
      </c>
      <c r="M2482" s="23">
        <v>1</v>
      </c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>
        <v>1</v>
      </c>
      <c r="AL2482" s="23"/>
      <c r="AM2482" s="23"/>
      <c r="AN2482" s="23"/>
      <c r="AO2482" s="23"/>
      <c r="AP2482" s="23"/>
      <c r="AQ2482" s="23"/>
      <c r="AR2482" s="23"/>
      <c r="AS2482" s="23">
        <v>1</v>
      </c>
      <c r="AT2482" s="23"/>
      <c r="AU2482" s="14" t="str">
        <f>HYPERLINK("http://www.openstreetmap.org/?mlat=32.0347&amp;mlon=46.8727&amp;zoom=12#map=12/32.0347/46.8727","Maplink1")</f>
        <v>Maplink1</v>
      </c>
      <c r="AV2482" s="14" t="str">
        <f>HYPERLINK("https://www.google.iq/maps/search/+32.0347,46.8727/@32.0347,46.8727,14z?hl=en","Maplink2")</f>
        <v>Maplink2</v>
      </c>
      <c r="AW2482" s="14" t="str">
        <f>HYPERLINK("http://www.bing.com/maps/?lvl=14&amp;sty=h&amp;cp=32.0347~46.8727&amp;sp=point.32.0347_46.8727_Al Angaa","Maplink3")</f>
        <v>Maplink3</v>
      </c>
    </row>
    <row r="2483" spans="1:49" ht="15" customHeight="1" x14ac:dyDescent="0.25">
      <c r="A2483" s="21">
        <v>16817</v>
      </c>
      <c r="B2483" s="22" t="s">
        <v>18</v>
      </c>
      <c r="C2483" s="22" t="s">
        <v>4719</v>
      </c>
      <c r="D2483" s="22" t="s">
        <v>647</v>
      </c>
      <c r="E2483" s="22" t="s">
        <v>1148</v>
      </c>
      <c r="F2483" s="22">
        <v>31.850027000000001</v>
      </c>
      <c r="G2483" s="22">
        <v>47.166916000000001</v>
      </c>
      <c r="H2483" s="21" t="s">
        <v>4647</v>
      </c>
      <c r="I2483" s="21" t="s">
        <v>4721</v>
      </c>
      <c r="J2483" s="21" t="s">
        <v>4816</v>
      </c>
      <c r="K2483" s="24">
        <v>9</v>
      </c>
      <c r="L2483" s="24">
        <v>54</v>
      </c>
      <c r="M2483" s="23">
        <v>1</v>
      </c>
      <c r="N2483" s="23"/>
      <c r="O2483" s="23">
        <v>1</v>
      </c>
      <c r="P2483" s="23"/>
      <c r="Q2483" s="23"/>
      <c r="R2483" s="23"/>
      <c r="S2483" s="23"/>
      <c r="T2483" s="23"/>
      <c r="U2483" s="23">
        <v>3</v>
      </c>
      <c r="V2483" s="23"/>
      <c r="W2483" s="23"/>
      <c r="X2483" s="23"/>
      <c r="Y2483" s="23">
        <v>4</v>
      </c>
      <c r="Z2483" s="23"/>
      <c r="AA2483" s="23"/>
      <c r="AB2483" s="23"/>
      <c r="AC2483" s="23"/>
      <c r="AD2483" s="23"/>
      <c r="AE2483" s="23"/>
      <c r="AF2483" s="23">
        <v>6</v>
      </c>
      <c r="AG2483" s="23"/>
      <c r="AH2483" s="23">
        <v>1</v>
      </c>
      <c r="AI2483" s="23"/>
      <c r="AJ2483" s="23"/>
      <c r="AK2483" s="23">
        <v>2</v>
      </c>
      <c r="AL2483" s="23"/>
      <c r="AM2483" s="23"/>
      <c r="AN2483" s="23"/>
      <c r="AO2483" s="23"/>
      <c r="AP2483" s="23">
        <v>1</v>
      </c>
      <c r="AQ2483" s="23">
        <v>4</v>
      </c>
      <c r="AR2483" s="23">
        <v>3</v>
      </c>
      <c r="AS2483" s="23">
        <v>1</v>
      </c>
      <c r="AT2483" s="23"/>
      <c r="AU2483" s="14" t="str">
        <f>HYPERLINK("http://www.openstreetmap.org/?mlat=31.85&amp;mlon=47.1669&amp;zoom=12#map=12/31.85/47.1669","Maplink1")</f>
        <v>Maplink1</v>
      </c>
      <c r="AV2483" s="14" t="str">
        <f>HYPERLINK("https://www.google.iq/maps/search/+31.85,47.1669/@31.85,47.1669,14z?hl=en","Maplink2")</f>
        <v>Maplink2</v>
      </c>
      <c r="AW2483" s="14" t="str">
        <f>HYPERLINK("http://www.bing.com/maps/?lvl=14&amp;sty=h&amp;cp=31.85~47.1669&amp;sp=point.31.85_47.1669_Hay Al-Sadiq","Maplink3")</f>
        <v>Maplink3</v>
      </c>
    </row>
    <row r="2484" spans="1:49" ht="15" customHeight="1" x14ac:dyDescent="0.25">
      <c r="A2484" s="21">
        <v>16848</v>
      </c>
      <c r="B2484" s="22" t="s">
        <v>18</v>
      </c>
      <c r="C2484" s="22" t="s">
        <v>4719</v>
      </c>
      <c r="D2484" s="22" t="s">
        <v>4817</v>
      </c>
      <c r="E2484" s="22" t="s">
        <v>4818</v>
      </c>
      <c r="F2484" s="22">
        <v>31.833444</v>
      </c>
      <c r="G2484" s="22">
        <v>47.116666000000002</v>
      </c>
      <c r="H2484" s="21" t="s">
        <v>4647</v>
      </c>
      <c r="I2484" s="21" t="s">
        <v>4721</v>
      </c>
      <c r="J2484" s="21" t="s">
        <v>4819</v>
      </c>
      <c r="K2484" s="24">
        <v>4</v>
      </c>
      <c r="L2484" s="24">
        <v>24</v>
      </c>
      <c r="M2484" s="23">
        <v>1</v>
      </c>
      <c r="N2484" s="23"/>
      <c r="O2484" s="23">
        <v>1</v>
      </c>
      <c r="P2484" s="23"/>
      <c r="Q2484" s="23"/>
      <c r="R2484" s="23"/>
      <c r="S2484" s="23"/>
      <c r="T2484" s="23"/>
      <c r="U2484" s="23">
        <v>1</v>
      </c>
      <c r="V2484" s="23"/>
      <c r="W2484" s="23"/>
      <c r="X2484" s="23"/>
      <c r="Y2484" s="23">
        <v>1</v>
      </c>
      <c r="Z2484" s="23"/>
      <c r="AA2484" s="23"/>
      <c r="AB2484" s="23"/>
      <c r="AC2484" s="23"/>
      <c r="AD2484" s="23"/>
      <c r="AE2484" s="23"/>
      <c r="AF2484" s="23">
        <v>3</v>
      </c>
      <c r="AG2484" s="23"/>
      <c r="AH2484" s="23"/>
      <c r="AI2484" s="23"/>
      <c r="AJ2484" s="23"/>
      <c r="AK2484" s="23">
        <v>1</v>
      </c>
      <c r="AL2484" s="23"/>
      <c r="AM2484" s="23"/>
      <c r="AN2484" s="23"/>
      <c r="AO2484" s="23"/>
      <c r="AP2484" s="23">
        <v>3</v>
      </c>
      <c r="AQ2484" s="23">
        <v>1</v>
      </c>
      <c r="AR2484" s="23"/>
      <c r="AS2484" s="23"/>
      <c r="AT2484" s="23"/>
      <c r="AU2484" s="14" t="str">
        <f>HYPERLINK("http://www.openstreetmap.org/?mlat=31.8334&amp;mlon=47.1167&amp;zoom=12#map=12/31.8334/47.1167","Maplink1")</f>
        <v>Maplink1</v>
      </c>
      <c r="AV2484" s="14" t="str">
        <f>HYPERLINK("https://www.google.iq/maps/search/+31.8334,47.1167/@31.8334,47.1167,14z?hl=en","Maplink2")</f>
        <v>Maplink2</v>
      </c>
      <c r="AW2484" s="14" t="str">
        <f>HYPERLINK("http://www.bing.com/maps/?lvl=14&amp;sty=h&amp;cp=31.8334~47.1167&amp;sp=point.31.8334_47.1167_Hay Al-Shahedain","Maplink3")</f>
        <v>Maplink3</v>
      </c>
    </row>
    <row r="2485" spans="1:49" ht="15" customHeight="1" x14ac:dyDescent="0.25">
      <c r="A2485" s="21">
        <v>16593</v>
      </c>
      <c r="B2485" s="22" t="s">
        <v>18</v>
      </c>
      <c r="C2485" s="22" t="s">
        <v>4719</v>
      </c>
      <c r="D2485" s="22" t="s">
        <v>1009</v>
      </c>
      <c r="E2485" s="22" t="s">
        <v>129</v>
      </c>
      <c r="F2485" s="22">
        <v>31.875278000000002</v>
      </c>
      <c r="G2485" s="22">
        <v>47.127222000000003</v>
      </c>
      <c r="H2485" s="21" t="s">
        <v>4647</v>
      </c>
      <c r="I2485" s="21" t="s">
        <v>4721</v>
      </c>
      <c r="J2485" s="21" t="s">
        <v>4820</v>
      </c>
      <c r="K2485" s="24">
        <v>15</v>
      </c>
      <c r="L2485" s="24">
        <v>90</v>
      </c>
      <c r="M2485" s="23"/>
      <c r="N2485" s="23"/>
      <c r="O2485" s="23"/>
      <c r="P2485" s="23"/>
      <c r="Q2485" s="23"/>
      <c r="R2485" s="23">
        <v>1</v>
      </c>
      <c r="S2485" s="23"/>
      <c r="T2485" s="23"/>
      <c r="U2485" s="23">
        <v>1</v>
      </c>
      <c r="V2485" s="23"/>
      <c r="W2485" s="23"/>
      <c r="X2485" s="23"/>
      <c r="Y2485" s="23">
        <v>12</v>
      </c>
      <c r="Z2485" s="23"/>
      <c r="AA2485" s="23">
        <v>1</v>
      </c>
      <c r="AB2485" s="23"/>
      <c r="AC2485" s="23"/>
      <c r="AD2485" s="23"/>
      <c r="AE2485" s="23"/>
      <c r="AF2485" s="23">
        <v>6</v>
      </c>
      <c r="AG2485" s="23"/>
      <c r="AH2485" s="23"/>
      <c r="AI2485" s="23"/>
      <c r="AJ2485" s="23"/>
      <c r="AK2485" s="23">
        <v>9</v>
      </c>
      <c r="AL2485" s="23"/>
      <c r="AM2485" s="23"/>
      <c r="AN2485" s="23"/>
      <c r="AO2485" s="23"/>
      <c r="AP2485" s="23">
        <v>2</v>
      </c>
      <c r="AQ2485" s="23">
        <v>1</v>
      </c>
      <c r="AR2485" s="23">
        <v>12</v>
      </c>
      <c r="AS2485" s="23"/>
      <c r="AT2485" s="23"/>
      <c r="AU2485" s="14" t="str">
        <f>HYPERLINK("http://www.openstreetmap.org/?mlat=31.8753&amp;mlon=47.1272&amp;zoom=12#map=12/31.8753/47.1272","Maplink1")</f>
        <v>Maplink1</v>
      </c>
      <c r="AV2485" s="14" t="str">
        <f>HYPERLINK("https://www.google.iq/maps/search/+31.8753,47.1272/@31.8753,47.1272,14z?hl=en","Maplink2")</f>
        <v>Maplink2</v>
      </c>
      <c r="AW2485" s="14" t="str">
        <f>HYPERLINK("http://www.bing.com/maps/?lvl=14&amp;sty=h&amp;cp=31.8753~47.1272&amp;sp=point.31.8753_47.1272_Hay al-shuhadaa","Maplink3")</f>
        <v>Maplink3</v>
      </c>
    </row>
    <row r="2486" spans="1:49" ht="15" customHeight="1" x14ac:dyDescent="0.25">
      <c r="A2486" s="21">
        <v>16473</v>
      </c>
      <c r="B2486" s="22" t="s">
        <v>18</v>
      </c>
      <c r="C2486" s="22" t="s">
        <v>4719</v>
      </c>
      <c r="D2486" s="22" t="s">
        <v>7542</v>
      </c>
      <c r="E2486" s="22" t="s">
        <v>4747</v>
      </c>
      <c r="F2486" s="22">
        <v>31.816666999999999</v>
      </c>
      <c r="G2486" s="22">
        <v>47.138333000000003</v>
      </c>
      <c r="H2486" s="21" t="s">
        <v>4647</v>
      </c>
      <c r="I2486" s="21" t="s">
        <v>4721</v>
      </c>
      <c r="J2486" s="21" t="s">
        <v>4748</v>
      </c>
      <c r="K2486" s="24">
        <v>4</v>
      </c>
      <c r="L2486" s="24">
        <v>24</v>
      </c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>
        <v>4</v>
      </c>
      <c r="Z2486" s="23"/>
      <c r="AA2486" s="23"/>
      <c r="AB2486" s="23"/>
      <c r="AC2486" s="23"/>
      <c r="AD2486" s="23"/>
      <c r="AE2486" s="23"/>
      <c r="AF2486" s="23">
        <v>3</v>
      </c>
      <c r="AG2486" s="23"/>
      <c r="AH2486" s="23"/>
      <c r="AI2486" s="23"/>
      <c r="AJ2486" s="23"/>
      <c r="AK2486" s="23">
        <v>1</v>
      </c>
      <c r="AL2486" s="23"/>
      <c r="AM2486" s="23"/>
      <c r="AN2486" s="23"/>
      <c r="AO2486" s="23"/>
      <c r="AP2486" s="23">
        <v>1</v>
      </c>
      <c r="AQ2486" s="23">
        <v>3</v>
      </c>
      <c r="AR2486" s="23"/>
      <c r="AS2486" s="23"/>
      <c r="AT2486" s="23"/>
      <c r="AU2486" s="14" t="str">
        <f>HYPERLINK("http://www.openstreetmap.org/?mlat=31.8167&amp;mlon=47.1383&amp;zoom=12#map=12/31.8167/47.1383","Maplink1")</f>
        <v>Maplink1</v>
      </c>
      <c r="AV2486" s="14" t="str">
        <f>HYPERLINK("https://www.google.iq/maps/search/+31.8167,47.1383/@31.8167,47.1383,14z?hl=en","Maplink2")</f>
        <v>Maplink2</v>
      </c>
      <c r="AW2486" s="14" t="str">
        <f>HYPERLINK("http://www.bing.com/maps/?lvl=14&amp;sty=h&amp;cp=31.8167~47.1383&amp;sp=point.31.8167_47.1383_Hay al -wehdah","Maplink3")</f>
        <v>Maplink3</v>
      </c>
    </row>
    <row r="2487" spans="1:49" ht="15" customHeight="1" x14ac:dyDescent="0.25">
      <c r="A2487" s="21">
        <v>16457</v>
      </c>
      <c r="B2487" s="22" t="s">
        <v>18</v>
      </c>
      <c r="C2487" s="22" t="s">
        <v>4719</v>
      </c>
      <c r="D2487" s="22" t="s">
        <v>4821</v>
      </c>
      <c r="E2487" s="22" t="s">
        <v>153</v>
      </c>
      <c r="F2487" s="22">
        <v>31.786667000000001</v>
      </c>
      <c r="G2487" s="22">
        <v>47.156944000000003</v>
      </c>
      <c r="H2487" s="21" t="s">
        <v>4647</v>
      </c>
      <c r="I2487" s="21" t="s">
        <v>4721</v>
      </c>
      <c r="J2487" s="21" t="s">
        <v>4822</v>
      </c>
      <c r="K2487" s="24">
        <v>2</v>
      </c>
      <c r="L2487" s="24">
        <v>12</v>
      </c>
      <c r="M2487" s="23">
        <v>1</v>
      </c>
      <c r="N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>
        <v>1</v>
      </c>
      <c r="Z2487" s="23"/>
      <c r="AA2487" s="23"/>
      <c r="AB2487" s="23"/>
      <c r="AC2487" s="23"/>
      <c r="AD2487" s="23"/>
      <c r="AE2487" s="23"/>
      <c r="AF2487" s="23">
        <v>1</v>
      </c>
      <c r="AG2487" s="23"/>
      <c r="AH2487" s="23"/>
      <c r="AI2487" s="23"/>
      <c r="AJ2487" s="23"/>
      <c r="AK2487" s="23">
        <v>1</v>
      </c>
      <c r="AL2487" s="23"/>
      <c r="AM2487" s="23"/>
      <c r="AN2487" s="23"/>
      <c r="AO2487" s="23"/>
      <c r="AP2487" s="23">
        <v>1</v>
      </c>
      <c r="AQ2487" s="23"/>
      <c r="AR2487" s="23"/>
      <c r="AS2487" s="23"/>
      <c r="AT2487" s="23">
        <v>1</v>
      </c>
      <c r="AU2487" s="14" t="str">
        <f>HYPERLINK("http://www.openstreetmap.org/?mlat=31.7867&amp;mlon=47.1569&amp;zoom=12#map=12/31.7867/47.1569","Maplink1")</f>
        <v>Maplink1</v>
      </c>
      <c r="AV2487" s="14" t="str">
        <f>HYPERLINK("https://www.google.iq/maps/search/+31.7867,47.1569/@31.7867,47.1569,14z?hl=en","Maplink2")</f>
        <v>Maplink2</v>
      </c>
      <c r="AW2487" s="14" t="str">
        <f>HYPERLINK("http://www.bing.com/maps/?lvl=14&amp;sty=h&amp;cp=31.7867~47.1569&amp;sp=point.31.7867_47.1569_Hay al-yarmok","Maplink3")</f>
        <v>Maplink3</v>
      </c>
    </row>
    <row r="2488" spans="1:49" ht="15" customHeight="1" x14ac:dyDescent="0.25">
      <c r="A2488" s="21">
        <v>16838</v>
      </c>
      <c r="B2488" s="22" t="s">
        <v>18</v>
      </c>
      <c r="C2488" s="22" t="s">
        <v>4719</v>
      </c>
      <c r="D2488" s="22" t="s">
        <v>1156</v>
      </c>
      <c r="E2488" s="22" t="s">
        <v>2196</v>
      </c>
      <c r="F2488" s="22">
        <v>31.866721999999999</v>
      </c>
      <c r="G2488" s="22">
        <v>47.150193999999999</v>
      </c>
      <c r="H2488" s="21" t="s">
        <v>4647</v>
      </c>
      <c r="I2488" s="21" t="s">
        <v>4721</v>
      </c>
      <c r="J2488" s="21" t="s">
        <v>4823</v>
      </c>
      <c r="K2488" s="24">
        <v>6</v>
      </c>
      <c r="L2488" s="24">
        <v>36</v>
      </c>
      <c r="M2488" s="23"/>
      <c r="N2488" s="23"/>
      <c r="O2488" s="23"/>
      <c r="P2488" s="23"/>
      <c r="Q2488" s="23"/>
      <c r="R2488" s="23"/>
      <c r="S2488" s="23"/>
      <c r="T2488" s="23"/>
      <c r="U2488" s="23">
        <v>4</v>
      </c>
      <c r="V2488" s="23"/>
      <c r="W2488" s="23"/>
      <c r="X2488" s="23"/>
      <c r="Y2488" s="23">
        <v>2</v>
      </c>
      <c r="Z2488" s="23"/>
      <c r="AA2488" s="23"/>
      <c r="AB2488" s="23"/>
      <c r="AC2488" s="23"/>
      <c r="AD2488" s="23"/>
      <c r="AE2488" s="23"/>
      <c r="AF2488" s="23">
        <v>4</v>
      </c>
      <c r="AG2488" s="23"/>
      <c r="AH2488" s="23"/>
      <c r="AI2488" s="23"/>
      <c r="AJ2488" s="23"/>
      <c r="AK2488" s="23">
        <v>2</v>
      </c>
      <c r="AL2488" s="23"/>
      <c r="AM2488" s="23"/>
      <c r="AN2488" s="23"/>
      <c r="AO2488" s="23"/>
      <c r="AP2488" s="23"/>
      <c r="AQ2488" s="23">
        <v>5</v>
      </c>
      <c r="AR2488" s="23">
        <v>1</v>
      </c>
      <c r="AS2488" s="23"/>
      <c r="AT2488" s="23"/>
      <c r="AU2488" s="14" t="str">
        <f>HYPERLINK("http://www.openstreetmap.org/?mlat=31.8667&amp;mlon=47.1502&amp;zoom=12#map=12/31.8667/47.1502","Maplink1")</f>
        <v>Maplink1</v>
      </c>
      <c r="AV2488" s="14" t="str">
        <f>HYPERLINK("https://www.google.iq/maps/search/+31.8667,47.1502/@31.8667,47.1502,14z?hl=en","Maplink2")</f>
        <v>Maplink2</v>
      </c>
      <c r="AW2488" s="14" t="str">
        <f>HYPERLINK("http://www.bing.com/maps/?lvl=14&amp;sty=h&amp;cp=31.8667~47.1502&amp;sp=point.31.8667_47.1502_Hay Al-Zahraa","Maplink3")</f>
        <v>Maplink3</v>
      </c>
    </row>
    <row r="2489" spans="1:49" ht="15" customHeight="1" x14ac:dyDescent="0.25">
      <c r="A2489" s="21">
        <v>24486</v>
      </c>
      <c r="B2489" s="22" t="s">
        <v>18</v>
      </c>
      <c r="C2489" s="22" t="s">
        <v>4719</v>
      </c>
      <c r="D2489" s="22" t="s">
        <v>4824</v>
      </c>
      <c r="E2489" s="22" t="s">
        <v>8062</v>
      </c>
      <c r="F2489" s="22">
        <v>32.029719</v>
      </c>
      <c r="G2489" s="22">
        <v>46.882207000000001</v>
      </c>
      <c r="H2489" s="21" t="s">
        <v>4647</v>
      </c>
      <c r="I2489" s="21" t="s">
        <v>4721</v>
      </c>
      <c r="J2489" s="21"/>
      <c r="K2489" s="24">
        <v>18</v>
      </c>
      <c r="L2489" s="24">
        <v>108</v>
      </c>
      <c r="M2489" s="23"/>
      <c r="N2489" s="23"/>
      <c r="O2489" s="23"/>
      <c r="P2489" s="23"/>
      <c r="Q2489" s="23"/>
      <c r="R2489" s="23">
        <v>2</v>
      </c>
      <c r="S2489" s="23"/>
      <c r="T2489" s="23"/>
      <c r="U2489" s="23"/>
      <c r="V2489" s="23"/>
      <c r="W2489" s="23"/>
      <c r="X2489" s="23"/>
      <c r="Y2489" s="23">
        <v>16</v>
      </c>
      <c r="Z2489" s="23"/>
      <c r="AA2489" s="23"/>
      <c r="AB2489" s="23"/>
      <c r="AC2489" s="23"/>
      <c r="AD2489" s="23"/>
      <c r="AE2489" s="23"/>
      <c r="AF2489" s="23">
        <v>4</v>
      </c>
      <c r="AG2489" s="23"/>
      <c r="AH2489" s="23"/>
      <c r="AI2489" s="23"/>
      <c r="AJ2489" s="23"/>
      <c r="AK2489" s="23">
        <v>3</v>
      </c>
      <c r="AL2489" s="23"/>
      <c r="AM2489" s="23">
        <v>11</v>
      </c>
      <c r="AN2489" s="23"/>
      <c r="AO2489" s="23"/>
      <c r="AP2489" s="23">
        <v>2</v>
      </c>
      <c r="AQ2489" s="23">
        <v>16</v>
      </c>
      <c r="AR2489" s="23"/>
      <c r="AS2489" s="23"/>
      <c r="AT2489" s="23"/>
      <c r="AU2489" s="14" t="str">
        <f>HYPERLINK("http://www.openstreetmap.org/?mlat=32.0297&amp;mlon=46.8822&amp;zoom=12#map=12/32.0297/46.8822","Maplink1")</f>
        <v>Maplink1</v>
      </c>
      <c r="AV2489" s="14" t="str">
        <f>HYPERLINK("https://www.google.iq/maps/search/+32.0297,46.8822/@32.0297,46.8822,14z?hl=en","Maplink2")</f>
        <v>Maplink2</v>
      </c>
      <c r="AW2489" s="14" t="str">
        <f>HYPERLINK("http://www.bing.com/maps/?lvl=14&amp;sty=h&amp;cp=32.0297~46.8822&amp;sp=point.32.0297_46.8822_Hay Al-Zahraa-Al Kumayt","Maplink3")</f>
        <v>Maplink3</v>
      </c>
    </row>
    <row r="2490" spans="1:49" ht="15" customHeight="1" x14ac:dyDescent="0.25">
      <c r="A2490" s="21">
        <v>16497</v>
      </c>
      <c r="B2490" s="22" t="s">
        <v>18</v>
      </c>
      <c r="C2490" s="22" t="s">
        <v>4719</v>
      </c>
      <c r="D2490" s="22" t="s">
        <v>4825</v>
      </c>
      <c r="E2490" s="22" t="s">
        <v>4230</v>
      </c>
      <c r="F2490" s="22">
        <v>31.831389000000001</v>
      </c>
      <c r="G2490" s="22">
        <v>47.147778000000002</v>
      </c>
      <c r="H2490" s="21" t="s">
        <v>4647</v>
      </c>
      <c r="I2490" s="21" t="s">
        <v>4721</v>
      </c>
      <c r="J2490" s="21" t="s">
        <v>4826</v>
      </c>
      <c r="K2490" s="24">
        <v>5</v>
      </c>
      <c r="L2490" s="24">
        <v>30</v>
      </c>
      <c r="M2490" s="23"/>
      <c r="N2490" s="23"/>
      <c r="O2490" s="23"/>
      <c r="P2490" s="23"/>
      <c r="Q2490" s="23"/>
      <c r="R2490" s="23"/>
      <c r="S2490" s="23"/>
      <c r="T2490" s="23"/>
      <c r="U2490" s="23">
        <v>1</v>
      </c>
      <c r="V2490" s="23"/>
      <c r="W2490" s="23"/>
      <c r="X2490" s="23"/>
      <c r="Y2490" s="23">
        <v>4</v>
      </c>
      <c r="Z2490" s="23"/>
      <c r="AA2490" s="23"/>
      <c r="AB2490" s="23"/>
      <c r="AC2490" s="23"/>
      <c r="AD2490" s="23"/>
      <c r="AE2490" s="23"/>
      <c r="AF2490" s="23">
        <v>1</v>
      </c>
      <c r="AG2490" s="23"/>
      <c r="AH2490" s="23"/>
      <c r="AI2490" s="23"/>
      <c r="AJ2490" s="23"/>
      <c r="AK2490" s="23">
        <v>4</v>
      </c>
      <c r="AL2490" s="23"/>
      <c r="AM2490" s="23"/>
      <c r="AN2490" s="23"/>
      <c r="AO2490" s="23"/>
      <c r="AP2490" s="23"/>
      <c r="AQ2490" s="23">
        <v>4</v>
      </c>
      <c r="AR2490" s="23">
        <v>1</v>
      </c>
      <c r="AS2490" s="23"/>
      <c r="AT2490" s="23"/>
      <c r="AU2490" s="14" t="str">
        <f>HYPERLINK("http://www.openstreetmap.org/?mlat=31.8314&amp;mlon=47.1478&amp;zoom=12#map=12/31.8314/47.1478","Maplink1")</f>
        <v>Maplink1</v>
      </c>
      <c r="AV2490" s="14" t="str">
        <f>HYPERLINK("https://www.google.iq/maps/search/+31.8314,47.1478/@31.8314,47.1478,14z?hl=en","Maplink2")</f>
        <v>Maplink2</v>
      </c>
      <c r="AW2490" s="14" t="str">
        <f>HYPERLINK("http://www.bing.com/maps/?lvl=14&amp;sty=h&amp;cp=31.8314~47.1478&amp;sp=point.31.8314_47.1478_Hay aleskan","Maplink3")</f>
        <v>Maplink3</v>
      </c>
    </row>
    <row r="2491" spans="1:49" ht="15" customHeight="1" x14ac:dyDescent="0.25">
      <c r="A2491" s="21">
        <v>16844</v>
      </c>
      <c r="B2491" s="22" t="s">
        <v>18</v>
      </c>
      <c r="C2491" s="22" t="s">
        <v>4719</v>
      </c>
      <c r="D2491" s="22" t="s">
        <v>4827</v>
      </c>
      <c r="E2491" s="22" t="s">
        <v>4828</v>
      </c>
      <c r="F2491" s="22">
        <v>31.816666000000001</v>
      </c>
      <c r="G2491" s="22">
        <v>47.150193999999999</v>
      </c>
      <c r="H2491" s="21" t="s">
        <v>4647</v>
      </c>
      <c r="I2491" s="21" t="s">
        <v>4721</v>
      </c>
      <c r="J2491" s="21" t="s">
        <v>4829</v>
      </c>
      <c r="K2491" s="24">
        <v>10</v>
      </c>
      <c r="L2491" s="24">
        <v>60</v>
      </c>
      <c r="M2491" s="23">
        <v>4</v>
      </c>
      <c r="N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>
        <v>2</v>
      </c>
      <c r="Z2491" s="23"/>
      <c r="AA2491" s="23">
        <v>4</v>
      </c>
      <c r="AB2491" s="23"/>
      <c r="AC2491" s="23"/>
      <c r="AD2491" s="23"/>
      <c r="AE2491" s="23"/>
      <c r="AF2491" s="23">
        <v>5</v>
      </c>
      <c r="AG2491" s="23"/>
      <c r="AH2491" s="23"/>
      <c r="AI2491" s="23"/>
      <c r="AJ2491" s="23"/>
      <c r="AK2491" s="23">
        <v>5</v>
      </c>
      <c r="AL2491" s="23"/>
      <c r="AM2491" s="23"/>
      <c r="AN2491" s="23"/>
      <c r="AO2491" s="23">
        <v>1</v>
      </c>
      <c r="AP2491" s="23">
        <v>2</v>
      </c>
      <c r="AQ2491" s="23">
        <v>1</v>
      </c>
      <c r="AR2491" s="23">
        <v>6</v>
      </c>
      <c r="AS2491" s="23"/>
      <c r="AT2491" s="23"/>
      <c r="AU2491" s="14" t="str">
        <f>HYPERLINK("http://www.openstreetmap.org/?mlat=31.8167&amp;mlon=47.1502&amp;zoom=12#map=12/31.8167/47.1502","Maplink1")</f>
        <v>Maplink1</v>
      </c>
      <c r="AV2491" s="14" t="str">
        <f>HYPERLINK("https://www.google.iq/maps/search/+31.8167,47.1502/@31.8167,47.1502,14z?hl=en","Maplink2")</f>
        <v>Maplink2</v>
      </c>
      <c r="AW2491" s="14" t="str">
        <f>HYPERLINK("http://www.bing.com/maps/?lvl=14&amp;sty=h&amp;cp=31.8167~47.1502&amp;sp=point.31.8167_47.1502_Hay Awasha","Maplink3")</f>
        <v>Maplink3</v>
      </c>
    </row>
    <row r="2492" spans="1:49" ht="15" customHeight="1" x14ac:dyDescent="0.25">
      <c r="A2492" s="21">
        <v>16847</v>
      </c>
      <c r="B2492" s="22" t="s">
        <v>18</v>
      </c>
      <c r="C2492" s="22" t="s">
        <v>4719</v>
      </c>
      <c r="D2492" s="22" t="s">
        <v>4830</v>
      </c>
      <c r="E2492" s="22" t="s">
        <v>8063</v>
      </c>
      <c r="F2492" s="22">
        <v>32.035243000000001</v>
      </c>
      <c r="G2492" s="22">
        <v>46.878883000000002</v>
      </c>
      <c r="H2492" s="21" t="s">
        <v>4647</v>
      </c>
      <c r="I2492" s="21" t="s">
        <v>4721</v>
      </c>
      <c r="J2492" s="21" t="s">
        <v>4831</v>
      </c>
      <c r="K2492" s="24">
        <v>1</v>
      </c>
      <c r="L2492" s="24">
        <v>6</v>
      </c>
      <c r="M2492" s="23"/>
      <c r="N2492" s="23"/>
      <c r="O2492" s="23">
        <v>1</v>
      </c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>
        <v>1</v>
      </c>
      <c r="AL2492" s="23"/>
      <c r="AM2492" s="23"/>
      <c r="AN2492" s="23"/>
      <c r="AO2492" s="23"/>
      <c r="AP2492" s="23"/>
      <c r="AQ2492" s="23">
        <v>1</v>
      </c>
      <c r="AR2492" s="23"/>
      <c r="AS2492" s="23"/>
      <c r="AT2492" s="23"/>
      <c r="AU2492" s="14" t="str">
        <f>HYPERLINK("http://www.openstreetmap.org/?mlat=32.0352&amp;mlon=46.8789&amp;zoom=12#map=12/32.0352/46.8789","Maplink1")</f>
        <v>Maplink1</v>
      </c>
      <c r="AV2492" s="14" t="str">
        <f>HYPERLINK("https://www.google.iq/maps/search/+32.0352,46.8789/@32.0352,46.8789,14z?hl=en","Maplink2")</f>
        <v>Maplink2</v>
      </c>
      <c r="AW2492" s="14" t="str">
        <f>HYPERLINK("http://www.bing.com/maps/?lvl=14&amp;sty=h&amp;cp=32.0352~46.8789&amp;sp=point.32.0352_46.8789_Hay Dijlah-Al Kumayt","Maplink3")</f>
        <v>Maplink3</v>
      </c>
    </row>
    <row r="2493" spans="1:49" ht="15" customHeight="1" x14ac:dyDescent="0.25">
      <c r="A2493" s="21">
        <v>16813</v>
      </c>
      <c r="B2493" s="22" t="s">
        <v>18</v>
      </c>
      <c r="C2493" s="22" t="s">
        <v>4719</v>
      </c>
      <c r="D2493" s="22" t="s">
        <v>4832</v>
      </c>
      <c r="E2493" s="22" t="s">
        <v>4833</v>
      </c>
      <c r="F2493" s="22">
        <v>31.850027000000001</v>
      </c>
      <c r="G2493" s="22">
        <v>47.133471999999998</v>
      </c>
      <c r="H2493" s="21" t="s">
        <v>4647</v>
      </c>
      <c r="I2493" s="21" t="s">
        <v>4721</v>
      </c>
      <c r="J2493" s="21" t="s">
        <v>4834</v>
      </c>
      <c r="K2493" s="24">
        <v>10</v>
      </c>
      <c r="L2493" s="24">
        <v>60</v>
      </c>
      <c r="M2493" s="23"/>
      <c r="N2493" s="23"/>
      <c r="O2493" s="23"/>
      <c r="P2493" s="23"/>
      <c r="Q2493" s="23"/>
      <c r="R2493" s="23">
        <v>2</v>
      </c>
      <c r="S2493" s="23"/>
      <c r="T2493" s="23"/>
      <c r="U2493" s="23">
        <v>4</v>
      </c>
      <c r="V2493" s="23"/>
      <c r="W2493" s="23"/>
      <c r="X2493" s="23"/>
      <c r="Y2493" s="23">
        <v>4</v>
      </c>
      <c r="Z2493" s="23"/>
      <c r="AA2493" s="23"/>
      <c r="AB2493" s="23"/>
      <c r="AC2493" s="23"/>
      <c r="AD2493" s="23"/>
      <c r="AE2493" s="23"/>
      <c r="AF2493" s="23">
        <v>5</v>
      </c>
      <c r="AG2493" s="23"/>
      <c r="AH2493" s="23">
        <v>2</v>
      </c>
      <c r="AI2493" s="23"/>
      <c r="AJ2493" s="23"/>
      <c r="AK2493" s="23">
        <v>3</v>
      </c>
      <c r="AL2493" s="23"/>
      <c r="AM2493" s="23"/>
      <c r="AN2493" s="23"/>
      <c r="AO2493" s="23"/>
      <c r="AP2493" s="23">
        <v>3</v>
      </c>
      <c r="AQ2493" s="23">
        <v>6</v>
      </c>
      <c r="AR2493" s="23">
        <v>1</v>
      </c>
      <c r="AS2493" s="23"/>
      <c r="AT2493" s="23"/>
      <c r="AU2493" s="14" t="str">
        <f>HYPERLINK("http://www.openstreetmap.org/?mlat=31.85&amp;mlon=47.1335&amp;zoom=12#map=12/31.85/47.1335","Maplink1")</f>
        <v>Maplink1</v>
      </c>
      <c r="AV2493" s="14" t="str">
        <f>HYPERLINK("https://www.google.iq/maps/search/+31.85,47.1335/@31.85,47.1335,14z?hl=en","Maplink2")</f>
        <v>Maplink2</v>
      </c>
      <c r="AW2493" s="14" t="str">
        <f>HYPERLINK("http://www.bing.com/maps/?lvl=14&amp;sty=h&amp;cp=31.85~47.1335&amp;sp=point.31.85_47.1335_Hay Nahawnd","Maplink3")</f>
        <v>Maplink3</v>
      </c>
    </row>
    <row r="2494" spans="1:49" ht="15" customHeight="1" x14ac:dyDescent="0.25">
      <c r="A2494" s="21">
        <v>16814</v>
      </c>
      <c r="B2494" s="22" t="s">
        <v>18</v>
      </c>
      <c r="C2494" s="22" t="s">
        <v>4719</v>
      </c>
      <c r="D2494" s="22" t="s">
        <v>4835</v>
      </c>
      <c r="E2494" s="22" t="s">
        <v>4836</v>
      </c>
      <c r="F2494" s="22">
        <v>31.833444</v>
      </c>
      <c r="G2494" s="22">
        <v>47.166722</v>
      </c>
      <c r="H2494" s="21" t="s">
        <v>4647</v>
      </c>
      <c r="I2494" s="21" t="s">
        <v>4721</v>
      </c>
      <c r="J2494" s="21" t="s">
        <v>4837</v>
      </c>
      <c r="K2494" s="24">
        <v>11</v>
      </c>
      <c r="L2494" s="24">
        <v>66</v>
      </c>
      <c r="M2494" s="23"/>
      <c r="N2494" s="23">
        <v>1</v>
      </c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>
        <v>10</v>
      </c>
      <c r="Z2494" s="23"/>
      <c r="AA2494" s="23"/>
      <c r="AB2494" s="23"/>
      <c r="AC2494" s="23"/>
      <c r="AD2494" s="23"/>
      <c r="AE2494" s="23"/>
      <c r="AF2494" s="23">
        <v>5</v>
      </c>
      <c r="AG2494" s="23"/>
      <c r="AH2494" s="23"/>
      <c r="AI2494" s="23"/>
      <c r="AJ2494" s="23"/>
      <c r="AK2494" s="23">
        <v>6</v>
      </c>
      <c r="AL2494" s="23"/>
      <c r="AM2494" s="23"/>
      <c r="AN2494" s="23"/>
      <c r="AO2494" s="23"/>
      <c r="AP2494" s="23">
        <v>1</v>
      </c>
      <c r="AQ2494" s="23">
        <v>10</v>
      </c>
      <c r="AR2494" s="23"/>
      <c r="AS2494" s="23"/>
      <c r="AT2494" s="23"/>
      <c r="AU2494" s="14" t="str">
        <f>HYPERLINK("http://www.openstreetmap.org/?mlat=31.8334&amp;mlon=47.1667&amp;zoom=12#map=12/31.8334/47.1667","Maplink1")</f>
        <v>Maplink1</v>
      </c>
      <c r="AV2494" s="14" t="str">
        <f>HYPERLINK("https://www.google.iq/maps/search/+31.8334,47.1667/@31.8334,47.1667,14z?hl=en","Maplink2")</f>
        <v>Maplink2</v>
      </c>
      <c r="AW2494" s="14" t="str">
        <f>HYPERLINK("http://www.bing.com/maps/?lvl=14&amp;sty=h&amp;cp=31.8334~47.1667&amp;sp=point.31.8334_47.1667_Hay Sayed Ashur","Maplink3")</f>
        <v>Maplink3</v>
      </c>
    </row>
    <row r="2495" spans="1:49" ht="15" customHeight="1" x14ac:dyDescent="0.25">
      <c r="A2495" s="21">
        <v>22826</v>
      </c>
      <c r="B2495" s="22" t="s">
        <v>18</v>
      </c>
      <c r="C2495" s="22" t="s">
        <v>4719</v>
      </c>
      <c r="D2495" s="22" t="s">
        <v>4838</v>
      </c>
      <c r="E2495" s="22" t="s">
        <v>4839</v>
      </c>
      <c r="F2495" s="22">
        <v>31.851960999999999</v>
      </c>
      <c r="G2495" s="22">
        <v>47.174557999999998</v>
      </c>
      <c r="H2495" s="21" t="s">
        <v>4647</v>
      </c>
      <c r="I2495" s="21" t="s">
        <v>4721</v>
      </c>
      <c r="J2495" s="21" t="s">
        <v>4840</v>
      </c>
      <c r="K2495" s="24">
        <v>6</v>
      </c>
      <c r="L2495" s="24">
        <v>36</v>
      </c>
      <c r="M2495" s="23"/>
      <c r="N2495" s="23"/>
      <c r="O2495" s="23"/>
      <c r="P2495" s="23"/>
      <c r="Q2495" s="23"/>
      <c r="R2495" s="23">
        <v>1</v>
      </c>
      <c r="S2495" s="23"/>
      <c r="T2495" s="23"/>
      <c r="U2495" s="23"/>
      <c r="V2495" s="23"/>
      <c r="W2495" s="23"/>
      <c r="X2495" s="23"/>
      <c r="Y2495" s="23">
        <v>5</v>
      </c>
      <c r="Z2495" s="23"/>
      <c r="AA2495" s="23"/>
      <c r="AB2495" s="23"/>
      <c r="AC2495" s="23"/>
      <c r="AD2495" s="23"/>
      <c r="AE2495" s="23"/>
      <c r="AF2495" s="23">
        <v>3</v>
      </c>
      <c r="AG2495" s="23"/>
      <c r="AH2495" s="23"/>
      <c r="AI2495" s="23"/>
      <c r="AJ2495" s="23"/>
      <c r="AK2495" s="23">
        <v>3</v>
      </c>
      <c r="AL2495" s="23"/>
      <c r="AM2495" s="23"/>
      <c r="AN2495" s="23"/>
      <c r="AO2495" s="23"/>
      <c r="AP2495" s="23">
        <v>1</v>
      </c>
      <c r="AQ2495" s="23">
        <v>5</v>
      </c>
      <c r="AR2495" s="23"/>
      <c r="AS2495" s="23"/>
      <c r="AT2495" s="23"/>
      <c r="AU2495" s="14" t="str">
        <f>HYPERLINK("http://www.openstreetmap.org/?mlat=31.852&amp;mlon=47.1746&amp;zoom=12#map=12/31.852/47.1746","Maplink1")</f>
        <v>Maplink1</v>
      </c>
      <c r="AV2495" s="14" t="str">
        <f>HYPERLINK("https://www.google.iq/maps/search/+31.852,47.1746/@31.852,47.1746,14z?hl=en","Maplink2")</f>
        <v>Maplink2</v>
      </c>
      <c r="AW2495" s="14" t="str">
        <f>HYPERLINK("http://www.bing.com/maps/?lvl=14&amp;sty=h&amp;cp=31.852~47.1746&amp;sp=point.31.852_47.1746_Hay Sayed Jamil","Maplink3")</f>
        <v>Maplink3</v>
      </c>
    </row>
    <row r="2496" spans="1:49" ht="15" customHeight="1" x14ac:dyDescent="0.25">
      <c r="A2496" s="21">
        <v>24199</v>
      </c>
      <c r="B2496" s="22" t="s">
        <v>18</v>
      </c>
      <c r="C2496" s="22" t="s">
        <v>4719</v>
      </c>
      <c r="D2496" s="22" t="s">
        <v>4841</v>
      </c>
      <c r="E2496" s="22" t="s">
        <v>4842</v>
      </c>
      <c r="F2496" s="22">
        <v>31.8431</v>
      </c>
      <c r="G2496" s="22">
        <v>47.1447</v>
      </c>
      <c r="H2496" s="21" t="s">
        <v>4647</v>
      </c>
      <c r="I2496" s="21" t="s">
        <v>4721</v>
      </c>
      <c r="J2496" s="21" t="s">
        <v>4843</v>
      </c>
      <c r="K2496" s="24">
        <v>4</v>
      </c>
      <c r="L2496" s="24">
        <v>24</v>
      </c>
      <c r="M2496" s="23"/>
      <c r="N2496" s="23"/>
      <c r="O2496" s="23"/>
      <c r="P2496" s="23"/>
      <c r="Q2496" s="23"/>
      <c r="R2496" s="23"/>
      <c r="S2496" s="23"/>
      <c r="T2496" s="23"/>
      <c r="U2496" s="23">
        <v>2</v>
      </c>
      <c r="V2496" s="23"/>
      <c r="W2496" s="23"/>
      <c r="X2496" s="23"/>
      <c r="Y2496" s="23">
        <v>2</v>
      </c>
      <c r="Z2496" s="23"/>
      <c r="AA2496" s="23"/>
      <c r="AB2496" s="23"/>
      <c r="AC2496" s="23"/>
      <c r="AD2496" s="23"/>
      <c r="AE2496" s="23"/>
      <c r="AF2496" s="23">
        <v>1</v>
      </c>
      <c r="AG2496" s="23"/>
      <c r="AH2496" s="23">
        <v>1</v>
      </c>
      <c r="AI2496" s="23"/>
      <c r="AJ2496" s="23"/>
      <c r="AK2496" s="23">
        <v>2</v>
      </c>
      <c r="AL2496" s="23"/>
      <c r="AM2496" s="23"/>
      <c r="AN2496" s="23"/>
      <c r="AO2496" s="23"/>
      <c r="AP2496" s="23">
        <v>2</v>
      </c>
      <c r="AQ2496" s="23"/>
      <c r="AR2496" s="23">
        <v>2</v>
      </c>
      <c r="AS2496" s="23"/>
      <c r="AT2496" s="23"/>
      <c r="AU2496" s="14" t="str">
        <f>HYPERLINK("http://www.openstreetmap.org/?mlat=31.8431&amp;mlon=47.1447&amp;zoom=12#map=12/31.8431/47.1447","Maplink1")</f>
        <v>Maplink1</v>
      </c>
      <c r="AV2496" s="14" t="str">
        <f>HYPERLINK("https://www.google.iq/maps/search/+31.8431,47.1447/@31.8431,47.1447,14z?hl=en","Maplink2")</f>
        <v>Maplink2</v>
      </c>
      <c r="AW2496" s="14" t="str">
        <f>HYPERLINK("http://www.bing.com/maps/?lvl=14&amp;sty=h&amp;cp=31.8431~47.1447&amp;sp=point.31.8431_47.1447_Hay Shabanah","Maplink3")</f>
        <v>Maplink3</v>
      </c>
    </row>
    <row r="2497" spans="1:49" ht="15" customHeight="1" x14ac:dyDescent="0.25">
      <c r="A2497" s="21">
        <v>22889</v>
      </c>
      <c r="B2497" s="22" t="s">
        <v>18</v>
      </c>
      <c r="C2497" s="22" t="s">
        <v>4719</v>
      </c>
      <c r="D2497" s="22" t="s">
        <v>4844</v>
      </c>
      <c r="E2497" s="22" t="s">
        <v>4845</v>
      </c>
      <c r="F2497" s="22">
        <v>31.755738999999998</v>
      </c>
      <c r="G2497" s="22">
        <v>47.155543000000002</v>
      </c>
      <c r="H2497" s="21" t="s">
        <v>4647</v>
      </c>
      <c r="I2497" s="21" t="s">
        <v>4721</v>
      </c>
      <c r="J2497" s="21" t="s">
        <v>4846</v>
      </c>
      <c r="K2497" s="24">
        <v>1</v>
      </c>
      <c r="L2497" s="24">
        <v>6</v>
      </c>
      <c r="M2497" s="23"/>
      <c r="N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/>
      <c r="Z2497" s="23"/>
      <c r="AA2497" s="23">
        <v>1</v>
      </c>
      <c r="AB2497" s="23"/>
      <c r="AC2497" s="23"/>
      <c r="AD2497" s="23"/>
      <c r="AE2497" s="23"/>
      <c r="AF2497" s="23">
        <v>1</v>
      </c>
      <c r="AG2497" s="23"/>
      <c r="AH2497" s="23"/>
      <c r="AI2497" s="23"/>
      <c r="AJ2497" s="23"/>
      <c r="AK2497" s="23"/>
      <c r="AL2497" s="23"/>
      <c r="AM2497" s="23"/>
      <c r="AN2497" s="23"/>
      <c r="AO2497" s="23"/>
      <c r="AP2497" s="23"/>
      <c r="AQ2497" s="23">
        <v>1</v>
      </c>
      <c r="AR2497" s="23"/>
      <c r="AS2497" s="23"/>
      <c r="AT2497" s="23"/>
      <c r="AU2497" s="14" t="str">
        <f>HYPERLINK("http://www.openstreetmap.org/?mlat=31.7557&amp;mlon=47.1555&amp;zoom=12#map=12/31.7557/47.1555","Maplink1")</f>
        <v>Maplink1</v>
      </c>
      <c r="AV2497" s="14" t="str">
        <f>HYPERLINK("https://www.google.iq/maps/search/+31.7557,47.1555/@31.7557,47.1555,14z?hl=en","Maplink2")</f>
        <v>Maplink2</v>
      </c>
      <c r="AW2497" s="14" t="str">
        <f>HYPERLINK("http://www.bing.com/maps/?lvl=14&amp;sty=h&amp;cp=31.7557~47.1555&amp;sp=point.31.7557_47.1555_Kusiba 1 village","Maplink3")</f>
        <v>Maplink3</v>
      </c>
    </row>
    <row r="2498" spans="1:49" ht="15" customHeight="1" x14ac:dyDescent="0.25">
      <c r="A2498" s="21">
        <v>16616</v>
      </c>
      <c r="B2498" s="22" t="s">
        <v>18</v>
      </c>
      <c r="C2498" s="22" t="s">
        <v>4719</v>
      </c>
      <c r="D2498" s="22" t="s">
        <v>4847</v>
      </c>
      <c r="E2498" s="22" t="s">
        <v>4848</v>
      </c>
      <c r="F2498" s="22">
        <v>31.952777999999999</v>
      </c>
      <c r="G2498" s="22">
        <v>46.938611000000002</v>
      </c>
      <c r="H2498" s="21" t="s">
        <v>4647</v>
      </c>
      <c r="I2498" s="21" t="s">
        <v>4721</v>
      </c>
      <c r="J2498" s="21" t="s">
        <v>4849</v>
      </c>
      <c r="K2498" s="24">
        <v>2</v>
      </c>
      <c r="L2498" s="24">
        <v>12</v>
      </c>
      <c r="M2498" s="23"/>
      <c r="N2498" s="23"/>
      <c r="O2498" s="23"/>
      <c r="P2498" s="23"/>
      <c r="Q2498" s="23"/>
      <c r="R2498" s="23">
        <v>2</v>
      </c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>
        <v>1</v>
      </c>
      <c r="AG2498" s="23"/>
      <c r="AH2498" s="23"/>
      <c r="AI2498" s="23"/>
      <c r="AJ2498" s="23"/>
      <c r="AK2498" s="23">
        <v>1</v>
      </c>
      <c r="AL2498" s="23"/>
      <c r="AM2498" s="23"/>
      <c r="AN2498" s="23"/>
      <c r="AO2498" s="23">
        <v>1</v>
      </c>
      <c r="AP2498" s="23">
        <v>1</v>
      </c>
      <c r="AQ2498" s="23"/>
      <c r="AR2498" s="23"/>
      <c r="AS2498" s="23"/>
      <c r="AT2498" s="23"/>
      <c r="AU2498" s="14" t="str">
        <f>HYPERLINK("http://www.openstreetmap.org/?mlat=31.9528&amp;mlon=46.9386&amp;zoom=12#map=12/31.9528/46.9386","Maplink1")</f>
        <v>Maplink1</v>
      </c>
      <c r="AV2498" s="14" t="str">
        <f>HYPERLINK("https://www.google.iq/maps/search/+31.9528,46.9386/@31.9528,46.9386,14z?hl=en","Maplink2")</f>
        <v>Maplink2</v>
      </c>
      <c r="AW2498" s="14" t="str">
        <f>HYPERLINK("http://www.bing.com/maps/?lvl=14&amp;sty=h&amp;cp=31.9528~46.9386&amp;sp=point.31.9528_46.9386_Nahar saad","Maplink3")</f>
        <v>Maplink3</v>
      </c>
    </row>
    <row r="2499" spans="1:49" ht="15" customHeight="1" x14ac:dyDescent="0.25">
      <c r="A2499" s="21">
        <v>21369</v>
      </c>
      <c r="B2499" s="22" t="s">
        <v>18</v>
      </c>
      <c r="C2499" s="22" t="s">
        <v>4850</v>
      </c>
      <c r="D2499" s="22" t="s">
        <v>4851</v>
      </c>
      <c r="E2499" s="22" t="s">
        <v>4852</v>
      </c>
      <c r="F2499" s="22">
        <v>31.519444440000001</v>
      </c>
      <c r="G2499" s="22">
        <v>47.289444439999997</v>
      </c>
      <c r="H2499" s="21" t="s">
        <v>4647</v>
      </c>
      <c r="I2499" s="21" t="s">
        <v>4853</v>
      </c>
      <c r="J2499" s="21" t="s">
        <v>4854</v>
      </c>
      <c r="K2499" s="24">
        <v>3</v>
      </c>
      <c r="L2499" s="24">
        <v>18</v>
      </c>
      <c r="M2499" s="23"/>
      <c r="N2499" s="23"/>
      <c r="O2499" s="23"/>
      <c r="P2499" s="23"/>
      <c r="Q2499" s="23"/>
      <c r="R2499" s="23">
        <v>1</v>
      </c>
      <c r="S2499" s="23"/>
      <c r="T2499" s="23"/>
      <c r="U2499" s="23">
        <v>1</v>
      </c>
      <c r="V2499" s="23"/>
      <c r="W2499" s="23"/>
      <c r="X2499" s="23"/>
      <c r="Y2499" s="23">
        <v>1</v>
      </c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>
        <v>3</v>
      </c>
      <c r="AL2499" s="23"/>
      <c r="AM2499" s="23"/>
      <c r="AN2499" s="23"/>
      <c r="AO2499" s="23"/>
      <c r="AP2499" s="23">
        <v>2</v>
      </c>
      <c r="AQ2499" s="23">
        <v>1</v>
      </c>
      <c r="AR2499" s="23"/>
      <c r="AS2499" s="23"/>
      <c r="AT2499" s="23"/>
      <c r="AU2499" s="14" t="str">
        <f>HYPERLINK("http://www.openstreetmap.org/?mlat=31.5194&amp;mlon=47.2894&amp;zoom=12#map=12/31.5194/47.2894","Maplink1")</f>
        <v>Maplink1</v>
      </c>
      <c r="AV2499" s="14" t="str">
        <f>HYPERLINK("https://www.google.iq/maps/search/+31.5194,47.2894/@31.5194,47.2894,14z?hl=en","Maplink2")</f>
        <v>Maplink2</v>
      </c>
      <c r="AW2499" s="14" t="str">
        <f>HYPERLINK("http://www.bing.com/maps/?lvl=14&amp;sty=h&amp;cp=31.5194~47.2894&amp;sp=point.31.5194_47.2894_Hay Al Hurria","Maplink3")</f>
        <v>Maplink3</v>
      </c>
    </row>
    <row r="2500" spans="1:49" ht="15" customHeight="1" x14ac:dyDescent="0.25">
      <c r="A2500" s="21">
        <v>15777</v>
      </c>
      <c r="B2500" s="22" t="s">
        <v>18</v>
      </c>
      <c r="C2500" s="22" t="s">
        <v>4850</v>
      </c>
      <c r="D2500" s="22" t="s">
        <v>4855</v>
      </c>
      <c r="E2500" s="22" t="s">
        <v>4856</v>
      </c>
      <c r="F2500" s="22">
        <v>31.52647</v>
      </c>
      <c r="G2500" s="22">
        <v>47.289579000000003</v>
      </c>
      <c r="H2500" s="21" t="s">
        <v>4647</v>
      </c>
      <c r="I2500" s="21" t="s">
        <v>4853</v>
      </c>
      <c r="J2500" s="21" t="s">
        <v>4857</v>
      </c>
      <c r="K2500" s="24">
        <v>4</v>
      </c>
      <c r="L2500" s="24">
        <v>24</v>
      </c>
      <c r="M2500" s="23"/>
      <c r="N2500" s="23"/>
      <c r="O2500" s="23"/>
      <c r="P2500" s="23"/>
      <c r="Q2500" s="23"/>
      <c r="R2500" s="23"/>
      <c r="S2500" s="23"/>
      <c r="T2500" s="23"/>
      <c r="U2500" s="23">
        <v>1</v>
      </c>
      <c r="V2500" s="23"/>
      <c r="W2500" s="23"/>
      <c r="X2500" s="23"/>
      <c r="Y2500" s="23">
        <v>3</v>
      </c>
      <c r="Z2500" s="23"/>
      <c r="AA2500" s="23"/>
      <c r="AB2500" s="23"/>
      <c r="AC2500" s="23"/>
      <c r="AD2500" s="23"/>
      <c r="AE2500" s="23"/>
      <c r="AF2500" s="23">
        <v>1</v>
      </c>
      <c r="AG2500" s="23"/>
      <c r="AH2500" s="23"/>
      <c r="AI2500" s="23"/>
      <c r="AJ2500" s="23"/>
      <c r="AK2500" s="23">
        <v>3</v>
      </c>
      <c r="AL2500" s="23"/>
      <c r="AM2500" s="23"/>
      <c r="AN2500" s="23"/>
      <c r="AO2500" s="23"/>
      <c r="AP2500" s="23"/>
      <c r="AQ2500" s="23">
        <v>4</v>
      </c>
      <c r="AR2500" s="23"/>
      <c r="AS2500" s="23"/>
      <c r="AT2500" s="23"/>
      <c r="AU2500" s="14" t="str">
        <f>HYPERLINK("http://www.openstreetmap.org/?mlat=31.5265&amp;mlon=47.2896&amp;zoom=12#map=12/31.5265/47.2896","Maplink1")</f>
        <v>Maplink1</v>
      </c>
      <c r="AV2500" s="14" t="str">
        <f>HYPERLINK("https://www.google.iq/maps/search/+31.5265,47.2896/@31.5265,47.2896,14z?hl=en","Maplink2")</f>
        <v>Maplink2</v>
      </c>
      <c r="AW2500" s="14" t="str">
        <f>HYPERLINK("http://www.bing.com/maps/?lvl=14&amp;sty=h&amp;cp=31.5265~47.2896&amp;sp=point.31.5265_47.2896_Hay Al Husayniyah","Maplink3")</f>
        <v>Maplink3</v>
      </c>
    </row>
    <row r="2501" spans="1:49" ht="15" customHeight="1" x14ac:dyDescent="0.25">
      <c r="A2501" s="21">
        <v>21370</v>
      </c>
      <c r="B2501" s="22" t="s">
        <v>18</v>
      </c>
      <c r="C2501" s="22" t="s">
        <v>4850</v>
      </c>
      <c r="D2501" s="22" t="s">
        <v>4705</v>
      </c>
      <c r="E2501" s="22" t="s">
        <v>2774</v>
      </c>
      <c r="F2501" s="22">
        <v>31.520277780000001</v>
      </c>
      <c r="G2501" s="22">
        <v>47.291666669999998</v>
      </c>
      <c r="H2501" s="21" t="s">
        <v>4647</v>
      </c>
      <c r="I2501" s="21" t="s">
        <v>4853</v>
      </c>
      <c r="J2501" s="21" t="s">
        <v>4858</v>
      </c>
      <c r="K2501" s="24">
        <v>7</v>
      </c>
      <c r="L2501" s="24">
        <v>42</v>
      </c>
      <c r="M2501" s="23">
        <v>1</v>
      </c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>
        <v>6</v>
      </c>
      <c r="Z2501" s="23"/>
      <c r="AA2501" s="23"/>
      <c r="AB2501" s="23"/>
      <c r="AC2501" s="23"/>
      <c r="AD2501" s="23"/>
      <c r="AE2501" s="23"/>
      <c r="AF2501" s="23">
        <v>3</v>
      </c>
      <c r="AG2501" s="23"/>
      <c r="AH2501" s="23"/>
      <c r="AI2501" s="23"/>
      <c r="AJ2501" s="23"/>
      <c r="AK2501" s="23">
        <v>4</v>
      </c>
      <c r="AL2501" s="23"/>
      <c r="AM2501" s="23"/>
      <c r="AN2501" s="23"/>
      <c r="AO2501" s="23"/>
      <c r="AP2501" s="23"/>
      <c r="AQ2501" s="23">
        <v>2</v>
      </c>
      <c r="AR2501" s="23">
        <v>5</v>
      </c>
      <c r="AS2501" s="23"/>
      <c r="AT2501" s="23"/>
      <c r="AU2501" s="14" t="str">
        <f>HYPERLINK("http://www.openstreetmap.org/?mlat=31.5203&amp;mlon=47.2917&amp;zoom=12#map=12/31.5203/47.2917","Maplink1")</f>
        <v>Maplink1</v>
      </c>
      <c r="AV2501" s="14" t="str">
        <f>HYPERLINK("https://www.google.iq/maps/search/+31.5203,47.2917/@31.5203,47.2917,14z?hl=en","Maplink2")</f>
        <v>Maplink2</v>
      </c>
      <c r="AW2501" s="14" t="str">
        <f>HYPERLINK("http://www.bing.com/maps/?lvl=14&amp;sty=h&amp;cp=31.5203~47.2917&amp;sp=point.31.5203_47.2917_Hay Al Sadir","Maplink3")</f>
        <v>Maplink3</v>
      </c>
    </row>
    <row r="2502" spans="1:49" ht="15" customHeight="1" x14ac:dyDescent="0.25">
      <c r="A2502" s="21">
        <v>23622</v>
      </c>
      <c r="B2502" s="22" t="s">
        <v>18</v>
      </c>
      <c r="C2502" s="22" t="s">
        <v>4850</v>
      </c>
      <c r="D2502" s="22" t="s">
        <v>4778</v>
      </c>
      <c r="E2502" s="22" t="s">
        <v>967</v>
      </c>
      <c r="F2502" s="22">
        <v>31.530099</v>
      </c>
      <c r="G2502" s="22">
        <v>47.289951000000002</v>
      </c>
      <c r="H2502" s="21" t="s">
        <v>4647</v>
      </c>
      <c r="I2502" s="21" t="s">
        <v>4853</v>
      </c>
      <c r="J2502" s="21" t="s">
        <v>4859</v>
      </c>
      <c r="K2502" s="24">
        <v>11</v>
      </c>
      <c r="L2502" s="24">
        <v>66</v>
      </c>
      <c r="M2502" s="23"/>
      <c r="N2502" s="23"/>
      <c r="O2502" s="23"/>
      <c r="P2502" s="23"/>
      <c r="Q2502" s="23"/>
      <c r="R2502" s="23"/>
      <c r="S2502" s="23"/>
      <c r="T2502" s="23"/>
      <c r="U2502" s="23">
        <v>3</v>
      </c>
      <c r="V2502" s="23"/>
      <c r="W2502" s="23"/>
      <c r="X2502" s="23"/>
      <c r="Y2502" s="23">
        <v>8</v>
      </c>
      <c r="Z2502" s="23"/>
      <c r="AA2502" s="23"/>
      <c r="AB2502" s="23"/>
      <c r="AC2502" s="23"/>
      <c r="AD2502" s="23"/>
      <c r="AE2502" s="23"/>
      <c r="AF2502" s="23">
        <v>4</v>
      </c>
      <c r="AG2502" s="23"/>
      <c r="AH2502" s="23"/>
      <c r="AI2502" s="23"/>
      <c r="AJ2502" s="23"/>
      <c r="AK2502" s="23">
        <v>7</v>
      </c>
      <c r="AL2502" s="23"/>
      <c r="AM2502" s="23"/>
      <c r="AN2502" s="23"/>
      <c r="AO2502" s="23"/>
      <c r="AP2502" s="23">
        <v>8</v>
      </c>
      <c r="AQ2502" s="23">
        <v>2</v>
      </c>
      <c r="AR2502" s="23"/>
      <c r="AS2502" s="23">
        <v>1</v>
      </c>
      <c r="AT2502" s="23"/>
      <c r="AU2502" s="14" t="str">
        <f>HYPERLINK("http://www.openstreetmap.org/?mlat=31.5301&amp;mlon=47.29&amp;zoom=12#map=12/31.5301/47.29","Maplink1")</f>
        <v>Maplink1</v>
      </c>
      <c r="AV2502" s="14" t="str">
        <f>HYPERLINK("https://www.google.iq/maps/search/+31.5301,47.29/@31.5301,47.29,14z?hl=en","Maplink2")</f>
        <v>Maplink2</v>
      </c>
      <c r="AW2502" s="14" t="str">
        <f>HYPERLINK("http://www.bing.com/maps/?lvl=14&amp;sty=h&amp;cp=31.5301~47.29&amp;sp=point.31.5301_47.29_Hay Al-Ameer","Maplink3")</f>
        <v>Maplink3</v>
      </c>
    </row>
    <row r="2503" spans="1:49" ht="15" customHeight="1" x14ac:dyDescent="0.25">
      <c r="A2503" s="21">
        <v>24548</v>
      </c>
      <c r="B2503" s="22" t="s">
        <v>18</v>
      </c>
      <c r="C2503" s="22" t="s">
        <v>4850</v>
      </c>
      <c r="D2503" s="22" t="s">
        <v>1009</v>
      </c>
      <c r="E2503" s="22" t="s">
        <v>129</v>
      </c>
      <c r="F2503" s="22">
        <v>31.519199</v>
      </c>
      <c r="G2503" s="22">
        <v>47.296903</v>
      </c>
      <c r="H2503" s="21" t="s">
        <v>4647</v>
      </c>
      <c r="I2503" s="21" t="s">
        <v>4853</v>
      </c>
      <c r="J2503" s="21"/>
      <c r="K2503" s="24">
        <v>1</v>
      </c>
      <c r="L2503" s="24">
        <v>6</v>
      </c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>
        <v>1</v>
      </c>
      <c r="Z2503" s="23"/>
      <c r="AA2503" s="23"/>
      <c r="AB2503" s="23"/>
      <c r="AC2503" s="23"/>
      <c r="AD2503" s="23"/>
      <c r="AE2503" s="23"/>
      <c r="AF2503" s="23">
        <v>1</v>
      </c>
      <c r="AG2503" s="23"/>
      <c r="AH2503" s="23"/>
      <c r="AI2503" s="23"/>
      <c r="AJ2503" s="23"/>
      <c r="AK2503" s="23"/>
      <c r="AL2503" s="23"/>
      <c r="AM2503" s="23"/>
      <c r="AN2503" s="23"/>
      <c r="AO2503" s="23"/>
      <c r="AP2503" s="23"/>
      <c r="AQ2503" s="23"/>
      <c r="AR2503" s="23">
        <v>1</v>
      </c>
      <c r="AS2503" s="23"/>
      <c r="AT2503" s="23"/>
      <c r="AU2503" s="14" t="str">
        <f>HYPERLINK("http://www.openstreetmap.org/?mlat=31.5192&amp;mlon=47.2969&amp;zoom=12#map=12/31.5192/47.2969","Maplink1")</f>
        <v>Maplink1</v>
      </c>
      <c r="AV2503" s="14" t="str">
        <f>HYPERLINK("https://www.google.iq/maps/search/+31.5192,47.2969/@31.5192,47.2969,14z?hl=en","Maplink2")</f>
        <v>Maplink2</v>
      </c>
      <c r="AW2503" s="14" t="str">
        <f>HYPERLINK("http://www.bing.com/maps/?lvl=14&amp;sty=h&amp;cp=31.5192~47.2969&amp;sp=point.31.5192_47.2969_Hay al-shuhadaa","Maplink3")</f>
        <v>Maplink3</v>
      </c>
    </row>
    <row r="2504" spans="1:49" ht="15" customHeight="1" x14ac:dyDescent="0.25">
      <c r="A2504" s="21">
        <v>16136</v>
      </c>
      <c r="B2504" s="22" t="s">
        <v>18</v>
      </c>
      <c r="C2504" s="22" t="s">
        <v>4850</v>
      </c>
      <c r="D2504" s="22" t="s">
        <v>4860</v>
      </c>
      <c r="E2504" s="22" t="s">
        <v>4776</v>
      </c>
      <c r="F2504" s="22">
        <v>31.511389000000001</v>
      </c>
      <c r="G2504" s="22">
        <v>47.295555999999998</v>
      </c>
      <c r="H2504" s="21" t="s">
        <v>4647</v>
      </c>
      <c r="I2504" s="21" t="s">
        <v>4853</v>
      </c>
      <c r="J2504" s="21" t="s">
        <v>4861</v>
      </c>
      <c r="K2504" s="24">
        <v>3</v>
      </c>
      <c r="L2504" s="24">
        <v>18</v>
      </c>
      <c r="M2504" s="23"/>
      <c r="N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>
        <v>3</v>
      </c>
      <c r="Z2504" s="23"/>
      <c r="AA2504" s="23"/>
      <c r="AB2504" s="23"/>
      <c r="AC2504" s="23"/>
      <c r="AD2504" s="23"/>
      <c r="AE2504" s="23"/>
      <c r="AF2504" s="23">
        <v>3</v>
      </c>
      <c r="AG2504" s="23"/>
      <c r="AH2504" s="23"/>
      <c r="AI2504" s="23"/>
      <c r="AJ2504" s="23"/>
      <c r="AK2504" s="23"/>
      <c r="AL2504" s="23"/>
      <c r="AM2504" s="23"/>
      <c r="AN2504" s="23"/>
      <c r="AO2504" s="23"/>
      <c r="AP2504" s="23"/>
      <c r="AQ2504" s="23"/>
      <c r="AR2504" s="23">
        <v>3</v>
      </c>
      <c r="AS2504" s="23"/>
      <c r="AT2504" s="23"/>
      <c r="AU2504" s="14" t="str">
        <f>HYPERLINK("http://www.openstreetmap.org/?mlat=31.5114&amp;mlon=47.2956&amp;zoom=12#map=12/31.5114/47.2956","Maplink1")</f>
        <v>Maplink1</v>
      </c>
      <c r="AV2504" s="14" t="str">
        <f>HYPERLINK("https://www.google.iq/maps/search/+31.5114,47.2956/@31.5114,47.2956,14z?hl=en","Maplink2")</f>
        <v>Maplink2</v>
      </c>
      <c r="AW2504" s="14" t="str">
        <f>HYPERLINK("http://www.bing.com/maps/?lvl=14&amp;sty=h&amp;cp=31.5114~47.2956&amp;sp=point.31.5114_47.2956_Hay Al-Uroba","Maplink3")</f>
        <v>Maplink3</v>
      </c>
    </row>
    <row r="2505" spans="1:49" ht="15" customHeight="1" x14ac:dyDescent="0.25">
      <c r="A2505" s="21">
        <v>21371</v>
      </c>
      <c r="B2505" s="22" t="s">
        <v>18</v>
      </c>
      <c r="C2505" s="22" t="s">
        <v>4850</v>
      </c>
      <c r="D2505" s="22" t="s">
        <v>4862</v>
      </c>
      <c r="E2505" s="22" t="s">
        <v>8064</v>
      </c>
      <c r="F2505" s="22">
        <v>31.523289999999999</v>
      </c>
      <c r="G2505" s="22">
        <v>47.294040000000003</v>
      </c>
      <c r="H2505" s="21" t="s">
        <v>4647</v>
      </c>
      <c r="I2505" s="21" t="s">
        <v>4853</v>
      </c>
      <c r="J2505" s="21" t="s">
        <v>4863</v>
      </c>
      <c r="K2505" s="24">
        <v>2</v>
      </c>
      <c r="L2505" s="24">
        <v>12</v>
      </c>
      <c r="M2505" s="23">
        <v>1</v>
      </c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>
        <v>1</v>
      </c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>
        <v>2</v>
      </c>
      <c r="AL2505" s="23"/>
      <c r="AM2505" s="23"/>
      <c r="AN2505" s="23"/>
      <c r="AO2505" s="23"/>
      <c r="AP2505" s="23"/>
      <c r="AQ2505" s="23"/>
      <c r="AR2505" s="23">
        <v>1</v>
      </c>
      <c r="AS2505" s="23">
        <v>1</v>
      </c>
      <c r="AT2505" s="23"/>
      <c r="AU2505" s="14" t="str">
        <f>HYPERLINK("http://www.openstreetmap.org/?mlat=31.5233&amp;mlon=47.294&amp;zoom=12#map=12/31.5233/47.294","Maplink1")</f>
        <v>Maplink1</v>
      </c>
      <c r="AV2505" s="14" t="str">
        <f>HYPERLINK("https://www.google.iq/maps/search/+31.5233,47.294/@31.5233,47.294,14z?hl=en","Maplink2")</f>
        <v>Maplink2</v>
      </c>
      <c r="AW2505" s="14" t="str">
        <f>HYPERLINK("http://www.bing.com/maps/?lvl=14&amp;sty=h&amp;cp=31.5233~47.294&amp;sp=point.31.5233_47.294_Hay Al-Zahraa-Qalat Saleh","Maplink3")</f>
        <v>Maplink3</v>
      </c>
    </row>
    <row r="2506" spans="1:49" ht="15" customHeight="1" x14ac:dyDescent="0.25">
      <c r="A2506" s="21">
        <v>1450</v>
      </c>
      <c r="B2506" s="22" t="s">
        <v>19</v>
      </c>
      <c r="C2506" s="22" t="s">
        <v>4864</v>
      </c>
      <c r="D2506" s="22" t="s">
        <v>4867</v>
      </c>
      <c r="E2506" s="22" t="s">
        <v>120</v>
      </c>
      <c r="F2506" s="22">
        <v>31.200545000000002</v>
      </c>
      <c r="G2506" s="22">
        <v>45.535818999999996</v>
      </c>
      <c r="H2506" s="21" t="s">
        <v>4865</v>
      </c>
      <c r="I2506" s="21" t="s">
        <v>4866</v>
      </c>
      <c r="J2506" s="21" t="s">
        <v>4868</v>
      </c>
      <c r="K2506" s="24">
        <v>13</v>
      </c>
      <c r="L2506" s="24">
        <v>78</v>
      </c>
      <c r="M2506" s="23">
        <v>3</v>
      </c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>
        <v>6</v>
      </c>
      <c r="Z2506" s="23"/>
      <c r="AA2506" s="23">
        <v>4</v>
      </c>
      <c r="AB2506" s="23"/>
      <c r="AC2506" s="23"/>
      <c r="AD2506" s="23"/>
      <c r="AE2506" s="23"/>
      <c r="AF2506" s="23">
        <v>6</v>
      </c>
      <c r="AG2506" s="23"/>
      <c r="AH2506" s="23"/>
      <c r="AI2506" s="23"/>
      <c r="AJ2506" s="23"/>
      <c r="AK2506" s="23">
        <v>7</v>
      </c>
      <c r="AL2506" s="23"/>
      <c r="AM2506" s="23"/>
      <c r="AN2506" s="23"/>
      <c r="AO2506" s="23">
        <v>1</v>
      </c>
      <c r="AP2506" s="23">
        <v>1</v>
      </c>
      <c r="AQ2506" s="23">
        <v>7</v>
      </c>
      <c r="AR2506" s="23">
        <v>1</v>
      </c>
      <c r="AS2506" s="23">
        <v>3</v>
      </c>
      <c r="AT2506" s="23"/>
      <c r="AU2506" s="14" t="str">
        <f>HYPERLINK("http://www.openstreetmap.org/?mlat=31.2005&amp;mlon=45.5358&amp;zoom=12#map=12/31.2005/45.5358","Maplink1")</f>
        <v>Maplink1</v>
      </c>
      <c r="AV2506" s="14" t="str">
        <f>HYPERLINK("https://www.google.iq/maps/search/+31.2005,45.5358/@31.2005,45.5358,14z?hl=en","Maplink2")</f>
        <v>Maplink2</v>
      </c>
      <c r="AW2506" s="14" t="str">
        <f>HYPERLINK("http://www.bing.com/maps/?lvl=14&amp;sty=h&amp;cp=31.2005~45.5358&amp;sp=point.31.2005_45.5358_Al-hay al-askary","Maplink3")</f>
        <v>Maplink3</v>
      </c>
    </row>
    <row r="2507" spans="1:49" ht="15" customHeight="1" x14ac:dyDescent="0.25">
      <c r="A2507" s="21">
        <v>27229</v>
      </c>
      <c r="B2507" s="22" t="s">
        <v>19</v>
      </c>
      <c r="C2507" s="22" t="s">
        <v>4864</v>
      </c>
      <c r="D2507" s="22" t="s">
        <v>4869</v>
      </c>
      <c r="E2507" s="22" t="s">
        <v>4870</v>
      </c>
      <c r="F2507" s="22">
        <v>31.180669999999999</v>
      </c>
      <c r="G2507" s="22">
        <v>45.557127000000001</v>
      </c>
      <c r="H2507" s="21"/>
      <c r="I2507" s="21"/>
      <c r="J2507" s="21"/>
      <c r="K2507" s="24">
        <v>29</v>
      </c>
      <c r="L2507" s="24">
        <v>174</v>
      </c>
      <c r="M2507" s="23">
        <v>11</v>
      </c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>
        <v>17</v>
      </c>
      <c r="Z2507" s="23"/>
      <c r="AA2507" s="23">
        <v>1</v>
      </c>
      <c r="AB2507" s="23"/>
      <c r="AC2507" s="23"/>
      <c r="AD2507" s="23"/>
      <c r="AE2507" s="23"/>
      <c r="AF2507" s="23">
        <v>17</v>
      </c>
      <c r="AG2507" s="23"/>
      <c r="AH2507" s="23"/>
      <c r="AI2507" s="23"/>
      <c r="AJ2507" s="23"/>
      <c r="AK2507" s="23">
        <v>12</v>
      </c>
      <c r="AL2507" s="23"/>
      <c r="AM2507" s="23"/>
      <c r="AN2507" s="23"/>
      <c r="AO2507" s="23"/>
      <c r="AP2507" s="23">
        <v>1</v>
      </c>
      <c r="AQ2507" s="23">
        <v>17</v>
      </c>
      <c r="AR2507" s="23">
        <v>7</v>
      </c>
      <c r="AS2507" s="23">
        <v>4</v>
      </c>
      <c r="AT2507" s="23"/>
      <c r="AU2507" s="14" t="str">
        <f>HYPERLINK("http://www.openstreetmap.org/?mlat=31.1807&amp;mlon=45.5571&amp;zoom=12#map=12/31.1807/45.5571","Maplink1")</f>
        <v>Maplink1</v>
      </c>
      <c r="AV2507" s="14" t="str">
        <f>HYPERLINK("https://www.google.iq/maps/search/+31.1807,45.5571/@31.1807,45.5571,14z?hl=en","Maplink2")</f>
        <v>Maplink2</v>
      </c>
      <c r="AW2507" s="14" t="str">
        <f>HYPERLINK("http://www.bing.com/maps/?lvl=14&amp;sty=h&amp;cp=31.1807~45.5571&amp;sp=point.31.1807_45.5571_Albo Resha","Maplink3")</f>
        <v>Maplink3</v>
      </c>
    </row>
    <row r="2508" spans="1:49" ht="15" customHeight="1" x14ac:dyDescent="0.25">
      <c r="A2508" s="21">
        <v>1527</v>
      </c>
      <c r="B2508" s="22" t="s">
        <v>19</v>
      </c>
      <c r="C2508" s="22" t="s">
        <v>4864</v>
      </c>
      <c r="D2508" s="22" t="s">
        <v>4871</v>
      </c>
      <c r="E2508" s="22" t="s">
        <v>4872</v>
      </c>
      <c r="F2508" s="22">
        <v>31.202985999999999</v>
      </c>
      <c r="G2508" s="22">
        <v>45.550570999999998</v>
      </c>
      <c r="H2508" s="21" t="s">
        <v>4865</v>
      </c>
      <c r="I2508" s="21" t="s">
        <v>4866</v>
      </c>
      <c r="J2508" s="21" t="s">
        <v>4873</v>
      </c>
      <c r="K2508" s="24">
        <v>1</v>
      </c>
      <c r="L2508" s="24">
        <v>6</v>
      </c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>
        <v>1</v>
      </c>
      <c r="AB2508" s="23"/>
      <c r="AC2508" s="23"/>
      <c r="AD2508" s="23"/>
      <c r="AE2508" s="23"/>
      <c r="AF2508" s="23"/>
      <c r="AG2508" s="23"/>
      <c r="AH2508" s="23"/>
      <c r="AI2508" s="23">
        <v>1</v>
      </c>
      <c r="AJ2508" s="23"/>
      <c r="AK2508" s="23"/>
      <c r="AL2508" s="23"/>
      <c r="AM2508" s="23"/>
      <c r="AN2508" s="23"/>
      <c r="AO2508" s="23"/>
      <c r="AP2508" s="23">
        <v>1</v>
      </c>
      <c r="AQ2508" s="23"/>
      <c r="AR2508" s="23"/>
      <c r="AS2508" s="23"/>
      <c r="AT2508" s="23"/>
      <c r="AU2508" s="14" t="str">
        <f>HYPERLINK("http://www.openstreetmap.org/?mlat=31.203&amp;mlon=45.5506&amp;zoom=12#map=12/31.203/45.5506","Maplink1")</f>
        <v>Maplink1</v>
      </c>
      <c r="AV2508" s="14" t="str">
        <f>HYPERLINK("https://www.google.iq/maps/search/+31.203,45.5506/@31.203,45.5506,14z?hl=en","Maplink2")</f>
        <v>Maplink2</v>
      </c>
      <c r="AW2508" s="14" t="str">
        <f>HYPERLINK("http://www.bing.com/maps/?lvl=14&amp;sty=h&amp;cp=31.203~45.5506&amp;sp=point.31.203_45.5506_Hay Al Ansar","Maplink3")</f>
        <v>Maplink3</v>
      </c>
    </row>
    <row r="2509" spans="1:49" ht="15" customHeight="1" x14ac:dyDescent="0.25">
      <c r="A2509" s="21">
        <v>25633</v>
      </c>
      <c r="B2509" s="22" t="s">
        <v>19</v>
      </c>
      <c r="C2509" s="22" t="s">
        <v>4864</v>
      </c>
      <c r="D2509" s="22" t="s">
        <v>4874</v>
      </c>
      <c r="E2509" s="22" t="s">
        <v>881</v>
      </c>
      <c r="F2509" s="22">
        <v>31.195343999999999</v>
      </c>
      <c r="G2509" s="22">
        <v>45.523525999999997</v>
      </c>
      <c r="H2509" s="21" t="s">
        <v>4865</v>
      </c>
      <c r="I2509" s="21" t="s">
        <v>4866</v>
      </c>
      <c r="J2509" s="21"/>
      <c r="K2509" s="24">
        <v>30</v>
      </c>
      <c r="L2509" s="24">
        <v>180</v>
      </c>
      <c r="M2509" s="23">
        <v>9</v>
      </c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>
        <v>21</v>
      </c>
      <c r="Z2509" s="23"/>
      <c r="AA2509" s="23"/>
      <c r="AB2509" s="23"/>
      <c r="AC2509" s="23"/>
      <c r="AD2509" s="23"/>
      <c r="AE2509" s="23"/>
      <c r="AF2509" s="23">
        <v>13</v>
      </c>
      <c r="AG2509" s="23"/>
      <c r="AH2509" s="23"/>
      <c r="AI2509" s="23">
        <v>1</v>
      </c>
      <c r="AJ2509" s="23">
        <v>3</v>
      </c>
      <c r="AK2509" s="23">
        <v>13</v>
      </c>
      <c r="AL2509" s="23"/>
      <c r="AM2509" s="23"/>
      <c r="AN2509" s="23"/>
      <c r="AO2509" s="23">
        <v>3</v>
      </c>
      <c r="AP2509" s="23">
        <v>2</v>
      </c>
      <c r="AQ2509" s="23">
        <v>22</v>
      </c>
      <c r="AR2509" s="23">
        <v>1</v>
      </c>
      <c r="AS2509" s="23">
        <v>2</v>
      </c>
      <c r="AT2509" s="23"/>
      <c r="AU2509" s="14" t="str">
        <f>HYPERLINK("http://www.openstreetmap.org/?mlat=31.1953&amp;mlon=45.5235&amp;zoom=12#map=12/31.1953/45.5235","Maplink1")</f>
        <v>Maplink1</v>
      </c>
      <c r="AV2509" s="14" t="str">
        <f>HYPERLINK("https://www.google.iq/maps/search/+31.1953,45.5235/@31.1953,45.5235,14z?hl=en","Maplink2")</f>
        <v>Maplink2</v>
      </c>
      <c r="AW2509" s="14" t="str">
        <f>HYPERLINK("http://www.bing.com/maps/?lvl=14&amp;sty=h&amp;cp=31.1953~45.5235&amp;sp=point.31.1953_45.5235_Hay Al Jwadain","Maplink3")</f>
        <v>Maplink3</v>
      </c>
    </row>
    <row r="2510" spans="1:49" ht="15" customHeight="1" x14ac:dyDescent="0.25">
      <c r="A2510" s="21">
        <v>27301</v>
      </c>
      <c r="B2510" s="22" t="s">
        <v>19</v>
      </c>
      <c r="C2510" s="22" t="s">
        <v>4864</v>
      </c>
      <c r="D2510" s="22" t="s">
        <v>4875</v>
      </c>
      <c r="E2510" s="22" t="s">
        <v>4876</v>
      </c>
      <c r="F2510" s="22">
        <v>31.191139</v>
      </c>
      <c r="G2510" s="22">
        <v>45.535648999999999</v>
      </c>
      <c r="H2510" s="21"/>
      <c r="I2510" s="21"/>
      <c r="J2510" s="21"/>
      <c r="K2510" s="24">
        <v>8</v>
      </c>
      <c r="L2510" s="24">
        <v>48</v>
      </c>
      <c r="M2510" s="23">
        <v>3</v>
      </c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>
        <v>5</v>
      </c>
      <c r="Z2510" s="23"/>
      <c r="AA2510" s="23"/>
      <c r="AB2510" s="23"/>
      <c r="AC2510" s="23"/>
      <c r="AD2510" s="23"/>
      <c r="AE2510" s="23"/>
      <c r="AF2510" s="23">
        <v>3</v>
      </c>
      <c r="AG2510" s="23"/>
      <c r="AH2510" s="23"/>
      <c r="AI2510" s="23"/>
      <c r="AJ2510" s="23"/>
      <c r="AK2510" s="23">
        <v>5</v>
      </c>
      <c r="AL2510" s="23"/>
      <c r="AM2510" s="23"/>
      <c r="AN2510" s="23"/>
      <c r="AO2510" s="23"/>
      <c r="AP2510" s="23">
        <v>1</v>
      </c>
      <c r="AQ2510" s="23">
        <v>3</v>
      </c>
      <c r="AR2510" s="23">
        <v>1</v>
      </c>
      <c r="AS2510" s="23">
        <v>3</v>
      </c>
      <c r="AT2510" s="23"/>
      <c r="AU2510" s="14" t="str">
        <f>HYPERLINK("http://www.openstreetmap.org/?mlat=31.1911&amp;mlon=45.5356&amp;zoom=12#map=12/31.1911/45.5356","Maplink1")</f>
        <v>Maplink1</v>
      </c>
      <c r="AV2510" s="14" t="str">
        <f>HYPERLINK("https://www.google.iq/maps/search/+31.1911,45.5356/@31.1911,45.5356,14z?hl=en","Maplink2")</f>
        <v>Maplink2</v>
      </c>
      <c r="AW2510" s="14" t="str">
        <f>HYPERLINK("http://www.bing.com/maps/?lvl=14&amp;sty=h&amp;cp=31.1911~45.5356&amp;sp=point.31.1911_45.5356_Hay Al Riyadh","Maplink3")</f>
        <v>Maplink3</v>
      </c>
    </row>
    <row r="2511" spans="1:49" ht="15" customHeight="1" x14ac:dyDescent="0.25">
      <c r="A2511" s="21">
        <v>29545</v>
      </c>
      <c r="B2511" s="22" t="s">
        <v>19</v>
      </c>
      <c r="C2511" s="22" t="s">
        <v>4864</v>
      </c>
      <c r="D2511" s="22" t="s">
        <v>1524</v>
      </c>
      <c r="E2511" s="22" t="s">
        <v>1148</v>
      </c>
      <c r="F2511" s="22">
        <v>31.202223</v>
      </c>
      <c r="G2511" s="22">
        <v>45.549446000000003</v>
      </c>
      <c r="H2511" s="21" t="s">
        <v>4865</v>
      </c>
      <c r="I2511" s="21" t="s">
        <v>4866</v>
      </c>
      <c r="J2511" s="21"/>
      <c r="K2511" s="24">
        <v>4</v>
      </c>
      <c r="L2511" s="24">
        <v>24</v>
      </c>
      <c r="M2511" s="23">
        <v>3</v>
      </c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>
        <v>1</v>
      </c>
      <c r="Z2511" s="23"/>
      <c r="AA2511" s="23"/>
      <c r="AB2511" s="23"/>
      <c r="AC2511" s="23"/>
      <c r="AD2511" s="23"/>
      <c r="AE2511" s="23"/>
      <c r="AF2511" s="23">
        <v>2</v>
      </c>
      <c r="AG2511" s="23"/>
      <c r="AH2511" s="23"/>
      <c r="AI2511" s="23"/>
      <c r="AJ2511" s="23"/>
      <c r="AK2511" s="23">
        <v>2</v>
      </c>
      <c r="AL2511" s="23"/>
      <c r="AM2511" s="23"/>
      <c r="AN2511" s="23"/>
      <c r="AO2511" s="23"/>
      <c r="AP2511" s="23">
        <v>1</v>
      </c>
      <c r="AQ2511" s="23"/>
      <c r="AR2511" s="23">
        <v>2</v>
      </c>
      <c r="AS2511" s="23">
        <v>1</v>
      </c>
      <c r="AT2511" s="23"/>
      <c r="AU2511" s="14" t="str">
        <f>HYPERLINK("http://www.openstreetmap.org/?mlat=31.2022&amp;mlon=45.5494&amp;zoom=12#map=12/31.2022/45.5494","Maplink1")</f>
        <v>Maplink1</v>
      </c>
      <c r="AV2511" s="14" t="str">
        <f>HYPERLINK("https://www.google.iq/maps/search/+31.2022,45.5494/@31.2022,45.5494,14z?hl=en","Maplink2")</f>
        <v>Maplink2</v>
      </c>
      <c r="AW2511" s="14" t="str">
        <f>HYPERLINK("http://www.bing.com/maps/?lvl=14&amp;sty=h&amp;cp=31.2022~45.5494&amp;sp=point.31.2022_45.5494","Maplink3")</f>
        <v>Maplink3</v>
      </c>
    </row>
    <row r="2512" spans="1:49" ht="15" customHeight="1" x14ac:dyDescent="0.25">
      <c r="A2512" s="21">
        <v>27300</v>
      </c>
      <c r="B2512" s="22" t="s">
        <v>19</v>
      </c>
      <c r="C2512" s="22" t="s">
        <v>4864</v>
      </c>
      <c r="D2512" s="22" t="s">
        <v>4877</v>
      </c>
      <c r="E2512" s="22" t="s">
        <v>2196</v>
      </c>
      <c r="F2512" s="22">
        <v>31.199611999999998</v>
      </c>
      <c r="G2512" s="22">
        <v>45.555042</v>
      </c>
      <c r="H2512" s="21"/>
      <c r="I2512" s="21"/>
      <c r="J2512" s="21"/>
      <c r="K2512" s="24">
        <v>4</v>
      </c>
      <c r="L2512" s="24">
        <v>24</v>
      </c>
      <c r="M2512" s="23"/>
      <c r="N2512" s="23"/>
      <c r="O2512" s="23">
        <v>1</v>
      </c>
      <c r="P2512" s="23"/>
      <c r="Q2512" s="23"/>
      <c r="R2512" s="23"/>
      <c r="S2512" s="23"/>
      <c r="T2512" s="23"/>
      <c r="U2512" s="23"/>
      <c r="V2512" s="23"/>
      <c r="W2512" s="23"/>
      <c r="X2512" s="23"/>
      <c r="Y2512" s="23">
        <v>3</v>
      </c>
      <c r="Z2512" s="23"/>
      <c r="AA2512" s="23"/>
      <c r="AB2512" s="23"/>
      <c r="AC2512" s="23"/>
      <c r="AD2512" s="23"/>
      <c r="AE2512" s="23"/>
      <c r="AF2512" s="23">
        <v>2</v>
      </c>
      <c r="AG2512" s="23"/>
      <c r="AH2512" s="23"/>
      <c r="AI2512" s="23"/>
      <c r="AJ2512" s="23"/>
      <c r="AK2512" s="23">
        <v>2</v>
      </c>
      <c r="AL2512" s="23"/>
      <c r="AM2512" s="23"/>
      <c r="AN2512" s="23"/>
      <c r="AO2512" s="23">
        <v>1</v>
      </c>
      <c r="AP2512" s="23"/>
      <c r="AQ2512" s="23">
        <v>3</v>
      </c>
      <c r="AR2512" s="23"/>
      <c r="AS2512" s="23"/>
      <c r="AT2512" s="23"/>
      <c r="AU2512" s="14" t="str">
        <f>HYPERLINK("http://www.openstreetmap.org/?mlat=31.1996&amp;mlon=45.555&amp;zoom=12#map=12/31.1996/45.555","Maplink1")</f>
        <v>Maplink1</v>
      </c>
      <c r="AV2512" s="14" t="str">
        <f>HYPERLINK("https://www.google.iq/maps/search/+31.1996,45.555/@31.1996,45.555,14z?hl=en","Maplink2")</f>
        <v>Maplink2</v>
      </c>
      <c r="AW2512" s="14" t="str">
        <f>HYPERLINK("http://www.bing.com/maps/?lvl=14&amp;sty=h&amp;cp=31.1996~45.555&amp;sp=point.31.1996_45.555_Hay Al Zahra","Maplink3")</f>
        <v>Maplink3</v>
      </c>
    </row>
    <row r="2513" spans="1:49" ht="15" customHeight="1" x14ac:dyDescent="0.25">
      <c r="A2513" s="21">
        <v>29552</v>
      </c>
      <c r="B2513" s="22" t="s">
        <v>19</v>
      </c>
      <c r="C2513" s="22" t="s">
        <v>4864</v>
      </c>
      <c r="D2513" s="22" t="s">
        <v>4878</v>
      </c>
      <c r="E2513" s="22" t="s">
        <v>4879</v>
      </c>
      <c r="F2513" s="22">
        <v>31.204720999999999</v>
      </c>
      <c r="G2513" s="22">
        <v>45.55556</v>
      </c>
      <c r="H2513" s="21" t="s">
        <v>4865</v>
      </c>
      <c r="I2513" s="21" t="s">
        <v>4866</v>
      </c>
      <c r="J2513" s="21"/>
      <c r="K2513" s="24">
        <v>1</v>
      </c>
      <c r="L2513" s="24">
        <v>6</v>
      </c>
      <c r="M2513" s="23">
        <v>1</v>
      </c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>
        <v>1</v>
      </c>
      <c r="AL2513" s="23"/>
      <c r="AM2513" s="23"/>
      <c r="AN2513" s="23"/>
      <c r="AO2513" s="23"/>
      <c r="AP2513" s="23"/>
      <c r="AQ2513" s="23"/>
      <c r="AR2513" s="23"/>
      <c r="AS2513" s="23">
        <v>1</v>
      </c>
      <c r="AT2513" s="23"/>
      <c r="AU2513" s="14" t="str">
        <f>HYPERLINK("http://www.openstreetmap.org/?mlat=31.2047&amp;mlon=45.5556&amp;zoom=12#map=12/31.2047/45.5556","Maplink1")</f>
        <v>Maplink1</v>
      </c>
      <c r="AV2513" s="14" t="str">
        <f>HYPERLINK("https://www.google.iq/maps/search/+31.2047,45.5556/@31.2047,45.5556,14z?hl=en","Maplink2")</f>
        <v>Maplink2</v>
      </c>
      <c r="AW2513" s="14" t="str">
        <f>HYPERLINK("http://www.bing.com/maps/?lvl=14&amp;sty=h&amp;cp=31.2047~45.5556&amp;sp=point.31.2047_45.5556","Maplink3")</f>
        <v>Maplink3</v>
      </c>
    </row>
    <row r="2514" spans="1:49" ht="15" customHeight="1" x14ac:dyDescent="0.25">
      <c r="A2514" s="21">
        <v>29549</v>
      </c>
      <c r="B2514" s="22" t="s">
        <v>19</v>
      </c>
      <c r="C2514" s="22" t="s">
        <v>4864</v>
      </c>
      <c r="D2514" s="22" t="s">
        <v>4880</v>
      </c>
      <c r="E2514" s="22" t="s">
        <v>4881</v>
      </c>
      <c r="F2514" s="22">
        <v>31.206112000000001</v>
      </c>
      <c r="G2514" s="22">
        <v>45.545833999999999</v>
      </c>
      <c r="H2514" s="21" t="s">
        <v>4865</v>
      </c>
      <c r="I2514" s="21" t="s">
        <v>4866</v>
      </c>
      <c r="J2514" s="21"/>
      <c r="K2514" s="24">
        <v>7</v>
      </c>
      <c r="L2514" s="24">
        <v>42</v>
      </c>
      <c r="M2514" s="23">
        <v>6</v>
      </c>
      <c r="N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>
        <v>1</v>
      </c>
      <c r="Z2514" s="23"/>
      <c r="AA2514" s="23"/>
      <c r="AB2514" s="23"/>
      <c r="AC2514" s="23"/>
      <c r="AD2514" s="23"/>
      <c r="AE2514" s="23"/>
      <c r="AF2514" s="23">
        <v>4</v>
      </c>
      <c r="AG2514" s="23"/>
      <c r="AH2514" s="23"/>
      <c r="AI2514" s="23"/>
      <c r="AJ2514" s="23"/>
      <c r="AK2514" s="23">
        <v>3</v>
      </c>
      <c r="AL2514" s="23"/>
      <c r="AM2514" s="23"/>
      <c r="AN2514" s="23"/>
      <c r="AO2514" s="23"/>
      <c r="AP2514" s="23"/>
      <c r="AQ2514" s="23">
        <v>1</v>
      </c>
      <c r="AR2514" s="23">
        <v>2</v>
      </c>
      <c r="AS2514" s="23">
        <v>4</v>
      </c>
      <c r="AT2514" s="23"/>
      <c r="AU2514" s="14" t="str">
        <f>HYPERLINK("http://www.openstreetmap.org/?mlat=31.2061&amp;mlon=45.5458&amp;zoom=12#map=12/31.2061/45.5458","Maplink1")</f>
        <v>Maplink1</v>
      </c>
      <c r="AV2514" s="14" t="str">
        <f>HYPERLINK("https://www.google.iq/maps/search/+31.2061,45.5458/@31.2061,45.5458,14z?hl=en","Maplink2")</f>
        <v>Maplink2</v>
      </c>
      <c r="AW2514" s="14" t="str">
        <f>HYPERLINK("http://www.bing.com/maps/?lvl=14&amp;sty=h&amp;cp=31.2061~45.5458&amp;sp=point.31.2061_45.5458","Maplink3")</f>
        <v>Maplink3</v>
      </c>
    </row>
    <row r="2515" spans="1:49" ht="15" customHeight="1" x14ac:dyDescent="0.25">
      <c r="A2515" s="21">
        <v>29550</v>
      </c>
      <c r="B2515" s="22" t="s">
        <v>19</v>
      </c>
      <c r="C2515" s="22" t="s">
        <v>4864</v>
      </c>
      <c r="D2515" s="22" t="s">
        <v>4882</v>
      </c>
      <c r="E2515" s="22" t="s">
        <v>3345</v>
      </c>
      <c r="F2515" s="22">
        <v>31.197222</v>
      </c>
      <c r="G2515" s="22">
        <v>45.535831000000002</v>
      </c>
      <c r="H2515" s="21" t="s">
        <v>4865</v>
      </c>
      <c r="I2515" s="21" t="s">
        <v>4866</v>
      </c>
      <c r="J2515" s="21"/>
      <c r="K2515" s="24">
        <v>3</v>
      </c>
      <c r="L2515" s="24">
        <v>18</v>
      </c>
      <c r="M2515" s="23"/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>
        <v>1</v>
      </c>
      <c r="Z2515" s="23"/>
      <c r="AA2515" s="23">
        <v>2</v>
      </c>
      <c r="AB2515" s="23"/>
      <c r="AC2515" s="23"/>
      <c r="AD2515" s="23"/>
      <c r="AE2515" s="23"/>
      <c r="AF2515" s="23">
        <v>2</v>
      </c>
      <c r="AG2515" s="23"/>
      <c r="AH2515" s="23"/>
      <c r="AI2515" s="23"/>
      <c r="AJ2515" s="23"/>
      <c r="AK2515" s="23">
        <v>1</v>
      </c>
      <c r="AL2515" s="23"/>
      <c r="AM2515" s="23"/>
      <c r="AN2515" s="23"/>
      <c r="AO2515" s="23"/>
      <c r="AP2515" s="23">
        <v>2</v>
      </c>
      <c r="AQ2515" s="23">
        <v>1</v>
      </c>
      <c r="AR2515" s="23"/>
      <c r="AS2515" s="23"/>
      <c r="AT2515" s="23"/>
      <c r="AU2515" s="14" t="str">
        <f>HYPERLINK("http://www.openstreetmap.org/?mlat=31.1972&amp;mlon=45.5358&amp;zoom=12#map=12/31.1972/45.5358","Maplink1")</f>
        <v>Maplink1</v>
      </c>
      <c r="AV2515" s="14" t="str">
        <f>HYPERLINK("https://www.google.iq/maps/search/+31.1972,45.5358/@31.1972,45.5358,14z?hl=en","Maplink2")</f>
        <v>Maplink2</v>
      </c>
      <c r="AW2515" s="14" t="str">
        <f>HYPERLINK("http://www.bing.com/maps/?lvl=14&amp;sty=h&amp;cp=31.1972~45.5358&amp;sp=point.31.1972_45.5358","Maplink3")</f>
        <v>Maplink3</v>
      </c>
    </row>
    <row r="2516" spans="1:49" ht="15" customHeight="1" x14ac:dyDescent="0.25">
      <c r="A2516" s="21">
        <v>29551</v>
      </c>
      <c r="B2516" s="22" t="s">
        <v>19</v>
      </c>
      <c r="C2516" s="22" t="s">
        <v>4864</v>
      </c>
      <c r="D2516" s="22" t="s">
        <v>1015</v>
      </c>
      <c r="E2516" s="22" t="s">
        <v>995</v>
      </c>
      <c r="F2516" s="22">
        <v>31.184723000000002</v>
      </c>
      <c r="G2516" s="22">
        <v>45.536667000000001</v>
      </c>
      <c r="H2516" s="21" t="s">
        <v>4865</v>
      </c>
      <c r="I2516" s="21" t="s">
        <v>4866</v>
      </c>
      <c r="J2516" s="21"/>
      <c r="K2516" s="24">
        <v>2</v>
      </c>
      <c r="L2516" s="24">
        <v>12</v>
      </c>
      <c r="M2516" s="23"/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1</v>
      </c>
      <c r="Z2516" s="23"/>
      <c r="AA2516" s="23">
        <v>1</v>
      </c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>
        <v>2</v>
      </c>
      <c r="AL2516" s="23"/>
      <c r="AM2516" s="23"/>
      <c r="AN2516" s="23"/>
      <c r="AO2516" s="23"/>
      <c r="AP2516" s="23">
        <v>1</v>
      </c>
      <c r="AQ2516" s="23">
        <v>1</v>
      </c>
      <c r="AR2516" s="23"/>
      <c r="AS2516" s="23"/>
      <c r="AT2516" s="23"/>
      <c r="AU2516" s="14" t="str">
        <f>HYPERLINK("http://www.openstreetmap.org/?mlat=31.1847&amp;mlon=45.5367&amp;zoom=12#map=12/31.1847/45.5367","Maplink1")</f>
        <v>Maplink1</v>
      </c>
      <c r="AV2516" s="14" t="str">
        <f>HYPERLINK("https://www.google.iq/maps/search/+31.1847,45.5367/@31.1847,45.5367,14z?hl=en","Maplink2")</f>
        <v>Maplink2</v>
      </c>
      <c r="AW2516" s="14" t="str">
        <f>HYPERLINK("http://www.bing.com/maps/?lvl=14&amp;sty=h&amp;cp=31.1847~45.5367&amp;sp=point.31.1847_45.5367","Maplink3")</f>
        <v>Maplink3</v>
      </c>
    </row>
    <row r="2517" spans="1:49" ht="15" customHeight="1" x14ac:dyDescent="0.25">
      <c r="A2517" s="21">
        <v>29548</v>
      </c>
      <c r="B2517" s="22" t="s">
        <v>19</v>
      </c>
      <c r="C2517" s="22" t="s">
        <v>4864</v>
      </c>
      <c r="D2517" s="22" t="s">
        <v>4883</v>
      </c>
      <c r="E2517" s="22" t="s">
        <v>1375</v>
      </c>
      <c r="F2517" s="22">
        <v>31.207777</v>
      </c>
      <c r="G2517" s="22">
        <v>45.548054</v>
      </c>
      <c r="H2517" s="21" t="s">
        <v>4865</v>
      </c>
      <c r="I2517" s="21" t="s">
        <v>4866</v>
      </c>
      <c r="J2517" s="21"/>
      <c r="K2517" s="24">
        <v>2</v>
      </c>
      <c r="L2517" s="24">
        <v>12</v>
      </c>
      <c r="M2517" s="23">
        <v>1</v>
      </c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1</v>
      </c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>
        <v>1</v>
      </c>
      <c r="AK2517" s="23">
        <v>1</v>
      </c>
      <c r="AL2517" s="23"/>
      <c r="AM2517" s="23"/>
      <c r="AN2517" s="23"/>
      <c r="AO2517" s="23"/>
      <c r="AP2517" s="23"/>
      <c r="AQ2517" s="23">
        <v>1</v>
      </c>
      <c r="AR2517" s="23"/>
      <c r="AS2517" s="23">
        <v>1</v>
      </c>
      <c r="AT2517" s="23"/>
      <c r="AU2517" s="14" t="str">
        <f>HYPERLINK("http://www.openstreetmap.org/?mlat=31.2078&amp;mlon=45.5481&amp;zoom=12#map=12/31.2078/45.5481","Maplink1")</f>
        <v>Maplink1</v>
      </c>
      <c r="AV2517" s="14" t="str">
        <f>HYPERLINK("https://www.google.iq/maps/search/+31.2078,45.5481/@31.2078,45.5481,14z?hl=en","Maplink2")</f>
        <v>Maplink2</v>
      </c>
      <c r="AW2517" s="14" t="str">
        <f>HYPERLINK("http://www.bing.com/maps/?lvl=14&amp;sty=h&amp;cp=31.2078~45.5481&amp;sp=point.31.2078_45.5481","Maplink3")</f>
        <v>Maplink3</v>
      </c>
    </row>
    <row r="2518" spans="1:49" ht="15" customHeight="1" x14ac:dyDescent="0.25">
      <c r="A2518" s="21">
        <v>29554</v>
      </c>
      <c r="B2518" s="22" t="s">
        <v>19</v>
      </c>
      <c r="C2518" s="22" t="s">
        <v>4864</v>
      </c>
      <c r="D2518" s="22" t="s">
        <v>4884</v>
      </c>
      <c r="E2518" s="22" t="s">
        <v>4885</v>
      </c>
      <c r="F2518" s="22">
        <v>31.19444</v>
      </c>
      <c r="G2518" s="22">
        <v>45.531387000000002</v>
      </c>
      <c r="H2518" s="21" t="s">
        <v>4865</v>
      </c>
      <c r="I2518" s="21" t="s">
        <v>4866</v>
      </c>
      <c r="J2518" s="21"/>
      <c r="K2518" s="24">
        <v>1</v>
      </c>
      <c r="L2518" s="24">
        <v>6</v>
      </c>
      <c r="M2518" s="23">
        <v>1</v>
      </c>
      <c r="N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>
        <v>1</v>
      </c>
      <c r="AL2518" s="23"/>
      <c r="AM2518" s="23"/>
      <c r="AN2518" s="23"/>
      <c r="AO2518" s="23"/>
      <c r="AP2518" s="23"/>
      <c r="AQ2518" s="23"/>
      <c r="AR2518" s="23">
        <v>1</v>
      </c>
      <c r="AS2518" s="23"/>
      <c r="AT2518" s="23"/>
      <c r="AU2518" s="14" t="str">
        <f>HYPERLINK("http://www.openstreetmap.org/?mlat=31.1944&amp;mlon=45.5314&amp;zoom=12#map=12/31.1944/45.5314","Maplink1")</f>
        <v>Maplink1</v>
      </c>
      <c r="AV2518" s="14" t="str">
        <f>HYPERLINK("https://www.google.iq/maps/search/+31.1944,45.5314/@31.1944,45.5314,14z?hl=en","Maplink2")</f>
        <v>Maplink2</v>
      </c>
      <c r="AW2518" s="14" t="str">
        <f>HYPERLINK("http://www.bing.com/maps/?lvl=14&amp;sty=h&amp;cp=31.1944~45.5314&amp;sp=point.31.1944_45.5314","Maplink3")</f>
        <v>Maplink3</v>
      </c>
    </row>
    <row r="2519" spans="1:49" ht="15" customHeight="1" x14ac:dyDescent="0.25">
      <c r="A2519" s="21">
        <v>29553</v>
      </c>
      <c r="B2519" s="22" t="s">
        <v>19</v>
      </c>
      <c r="C2519" s="22" t="s">
        <v>4864</v>
      </c>
      <c r="D2519" s="22" t="s">
        <v>4886</v>
      </c>
      <c r="E2519" s="22" t="s">
        <v>129</v>
      </c>
      <c r="F2519" s="22">
        <v>31.201665999999999</v>
      </c>
      <c r="G2519" s="22">
        <v>45.533611000000001</v>
      </c>
      <c r="H2519" s="21" t="s">
        <v>4865</v>
      </c>
      <c r="I2519" s="21" t="s">
        <v>4866</v>
      </c>
      <c r="J2519" s="21"/>
      <c r="K2519" s="24">
        <v>3</v>
      </c>
      <c r="L2519" s="24">
        <v>18</v>
      </c>
      <c r="M2519" s="23">
        <v>1</v>
      </c>
      <c r="N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>
        <v>2</v>
      </c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>
        <v>2</v>
      </c>
      <c r="AJ2519" s="23"/>
      <c r="AK2519" s="23">
        <v>1</v>
      </c>
      <c r="AL2519" s="23"/>
      <c r="AM2519" s="23"/>
      <c r="AN2519" s="23"/>
      <c r="AO2519" s="23"/>
      <c r="AP2519" s="23">
        <v>2</v>
      </c>
      <c r="AQ2519" s="23"/>
      <c r="AR2519" s="23"/>
      <c r="AS2519" s="23">
        <v>1</v>
      </c>
      <c r="AT2519" s="23"/>
      <c r="AU2519" s="14" t="str">
        <f>HYPERLINK("http://www.openstreetmap.org/?mlat=31.2017&amp;mlon=45.5336&amp;zoom=12#map=12/31.2017/45.5336","Maplink1")</f>
        <v>Maplink1</v>
      </c>
      <c r="AV2519" s="14" t="str">
        <f>HYPERLINK("https://www.google.iq/maps/search/+31.2017,45.5336/@31.2017,45.5336,14z?hl=en","Maplink2")</f>
        <v>Maplink2</v>
      </c>
      <c r="AW2519" s="14" t="str">
        <f>HYPERLINK("http://www.bing.com/maps/?lvl=14&amp;sty=h&amp;cp=31.2017~45.5336&amp;sp=point.31.2017_45.5336","Maplink3")</f>
        <v>Maplink3</v>
      </c>
    </row>
    <row r="2520" spans="1:49" ht="15" customHeight="1" x14ac:dyDescent="0.25">
      <c r="A2520" s="21">
        <v>1515</v>
      </c>
      <c r="B2520" s="22" t="s">
        <v>19</v>
      </c>
      <c r="C2520" s="22" t="s">
        <v>4864</v>
      </c>
      <c r="D2520" s="22" t="s">
        <v>4887</v>
      </c>
      <c r="E2520" s="22" t="s">
        <v>4888</v>
      </c>
      <c r="F2520" s="22">
        <v>31.255278000000001</v>
      </c>
      <c r="G2520" s="22">
        <v>45.524445</v>
      </c>
      <c r="H2520" s="21" t="s">
        <v>4865</v>
      </c>
      <c r="I2520" s="21" t="s">
        <v>4866</v>
      </c>
      <c r="J2520" s="21" t="s">
        <v>4889</v>
      </c>
      <c r="K2520" s="24">
        <v>3</v>
      </c>
      <c r="L2520" s="24">
        <v>18</v>
      </c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>
        <v>3</v>
      </c>
      <c r="Z2520" s="23"/>
      <c r="AA2520" s="23"/>
      <c r="AB2520" s="23"/>
      <c r="AC2520" s="23"/>
      <c r="AD2520" s="23"/>
      <c r="AE2520" s="23"/>
      <c r="AF2520" s="23">
        <v>3</v>
      </c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>
        <v>2</v>
      </c>
      <c r="AQ2520" s="23">
        <v>1</v>
      </c>
      <c r="AR2520" s="23"/>
      <c r="AS2520" s="23"/>
      <c r="AT2520" s="23"/>
      <c r="AU2520" s="14" t="str">
        <f>HYPERLINK("http://www.openstreetmap.org/?mlat=31.2553&amp;mlon=45.5244&amp;zoom=12#map=12/31.2553/45.5244","Maplink1")</f>
        <v>Maplink1</v>
      </c>
      <c r="AV2520" s="14" t="str">
        <f>HYPERLINK("https://www.google.iq/maps/search/+31.2553,45.5244/@31.2553,45.5244,14z?hl=en","Maplink2")</f>
        <v>Maplink2</v>
      </c>
      <c r="AW2520" s="14" t="str">
        <f>HYPERLINK("http://www.bing.com/maps/?lvl=14&amp;sty=h&amp;cp=31.2553~45.5244&amp;sp=point.31.2553_45.5244","Maplink3")</f>
        <v>Maplink3</v>
      </c>
    </row>
    <row r="2521" spans="1:49" ht="15" customHeight="1" x14ac:dyDescent="0.25">
      <c r="A2521" s="21">
        <v>1505</v>
      </c>
      <c r="B2521" s="22" t="s">
        <v>19</v>
      </c>
      <c r="C2521" s="22" t="s">
        <v>4864</v>
      </c>
      <c r="D2521" s="22" t="s">
        <v>4890</v>
      </c>
      <c r="E2521" s="22" t="s">
        <v>4891</v>
      </c>
      <c r="F2521" s="22">
        <v>31.280277000000002</v>
      </c>
      <c r="G2521" s="22">
        <v>45.440834000000002</v>
      </c>
      <c r="H2521" s="21" t="s">
        <v>4865</v>
      </c>
      <c r="I2521" s="21" t="s">
        <v>4866</v>
      </c>
      <c r="J2521" s="21" t="s">
        <v>4892</v>
      </c>
      <c r="K2521" s="24">
        <v>2</v>
      </c>
      <c r="L2521" s="24">
        <v>12</v>
      </c>
      <c r="M2521" s="23">
        <v>2</v>
      </c>
      <c r="N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>
        <v>2</v>
      </c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>
        <v>1</v>
      </c>
      <c r="AR2521" s="23"/>
      <c r="AS2521" s="23">
        <v>1</v>
      </c>
      <c r="AT2521" s="23"/>
      <c r="AU2521" s="14" t="str">
        <f>HYPERLINK("http://www.openstreetmap.org/?mlat=31.2803&amp;mlon=45.4408&amp;zoom=12#map=12/31.2803/45.4408","Maplink1")</f>
        <v>Maplink1</v>
      </c>
      <c r="AV2521" s="14" t="str">
        <f>HYPERLINK("https://www.google.iq/maps/search/+31.2803,45.4408/@31.2803,45.4408,14z?hl=en","Maplink2")</f>
        <v>Maplink2</v>
      </c>
      <c r="AW2521" s="14" t="str">
        <f>HYPERLINK("http://www.bing.com/maps/?lvl=14&amp;sty=h&amp;cp=31.2803~45.4408&amp;sp=point.31.2803_45.4408","Maplink3")</f>
        <v>Maplink3</v>
      </c>
    </row>
    <row r="2522" spans="1:49" ht="15" customHeight="1" x14ac:dyDescent="0.25">
      <c r="A2522" s="21">
        <v>1436</v>
      </c>
      <c r="B2522" s="22" t="s">
        <v>19</v>
      </c>
      <c r="C2522" s="22" t="s">
        <v>4864</v>
      </c>
      <c r="D2522" s="22" t="s">
        <v>4893</v>
      </c>
      <c r="E2522" s="22" t="s">
        <v>4894</v>
      </c>
      <c r="F2522" s="22">
        <v>31.171389000000001</v>
      </c>
      <c r="G2522" s="22">
        <v>45.552222999999998</v>
      </c>
      <c r="H2522" s="21" t="s">
        <v>4865</v>
      </c>
      <c r="I2522" s="21" t="s">
        <v>4866</v>
      </c>
      <c r="J2522" s="21" t="s">
        <v>4895</v>
      </c>
      <c r="K2522" s="24">
        <v>2</v>
      </c>
      <c r="L2522" s="24">
        <v>12</v>
      </c>
      <c r="M2522" s="23"/>
      <c r="N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>
        <v>2</v>
      </c>
      <c r="Z2522" s="23"/>
      <c r="AA2522" s="23"/>
      <c r="AB2522" s="23"/>
      <c r="AC2522" s="23"/>
      <c r="AD2522" s="23"/>
      <c r="AE2522" s="23"/>
      <c r="AF2522" s="23">
        <v>2</v>
      </c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>
        <v>2</v>
      </c>
      <c r="AR2522" s="23"/>
      <c r="AS2522" s="23"/>
      <c r="AT2522" s="23"/>
      <c r="AU2522" s="14" t="str">
        <f>HYPERLINK("http://www.openstreetmap.org/?mlat=31.1714&amp;mlon=45.5522&amp;zoom=12#map=12/31.1714/45.5522","Maplink1")</f>
        <v>Maplink1</v>
      </c>
      <c r="AV2522" s="14" t="str">
        <f>HYPERLINK("https://www.google.iq/maps/search/+31.1714,45.5522/@31.1714,45.5522,14z?hl=en","Maplink2")</f>
        <v>Maplink2</v>
      </c>
      <c r="AW2522" s="14" t="str">
        <f>HYPERLINK("http://www.bing.com/maps/?lvl=14&amp;sty=h&amp;cp=31.1714~45.5522&amp;sp=point.31.1714_45.5522","Maplink3")</f>
        <v>Maplink3</v>
      </c>
    </row>
    <row r="2523" spans="1:49" ht="15" customHeight="1" x14ac:dyDescent="0.25">
      <c r="A2523" s="21">
        <v>29546</v>
      </c>
      <c r="B2523" s="22" t="s">
        <v>19</v>
      </c>
      <c r="C2523" s="22" t="s">
        <v>4864</v>
      </c>
      <c r="D2523" s="22" t="s">
        <v>4896</v>
      </c>
      <c r="E2523" s="22" t="s">
        <v>4897</v>
      </c>
      <c r="F2523" s="22">
        <v>31.260276999999999</v>
      </c>
      <c r="G2523" s="22">
        <v>45.440834000000002</v>
      </c>
      <c r="H2523" s="21" t="s">
        <v>4865</v>
      </c>
      <c r="I2523" s="21" t="s">
        <v>4866</v>
      </c>
      <c r="J2523" s="21"/>
      <c r="K2523" s="24">
        <v>2</v>
      </c>
      <c r="L2523" s="24">
        <v>12</v>
      </c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2</v>
      </c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>
        <v>2</v>
      </c>
      <c r="AK2523" s="23"/>
      <c r="AL2523" s="23"/>
      <c r="AM2523" s="23"/>
      <c r="AN2523" s="23"/>
      <c r="AO2523" s="23"/>
      <c r="AP2523" s="23"/>
      <c r="AQ2523" s="23">
        <v>2</v>
      </c>
      <c r="AR2523" s="23"/>
      <c r="AS2523" s="23"/>
      <c r="AT2523" s="23"/>
      <c r="AU2523" s="14" t="str">
        <f>HYPERLINK("http://www.openstreetmap.org/?mlat=31.2603&amp;mlon=45.4408&amp;zoom=12#map=12/31.2603/45.4408","Maplink1")</f>
        <v>Maplink1</v>
      </c>
      <c r="AV2523" s="14" t="str">
        <f>HYPERLINK("https://www.google.iq/maps/search/+31.2603,45.4408/@31.2603,45.4408,14z?hl=en","Maplink2")</f>
        <v>Maplink2</v>
      </c>
      <c r="AW2523" s="14" t="str">
        <f>HYPERLINK("http://www.bing.com/maps/?lvl=14&amp;sty=h&amp;cp=31.2603~45.4408&amp;sp=point.31.2603_45.4408","Maplink3")</f>
        <v>Maplink3</v>
      </c>
    </row>
    <row r="2524" spans="1:49" ht="15" customHeight="1" x14ac:dyDescent="0.25">
      <c r="A2524" s="21">
        <v>1459</v>
      </c>
      <c r="B2524" s="22" t="s">
        <v>19</v>
      </c>
      <c r="C2524" s="22" t="s">
        <v>4864</v>
      </c>
      <c r="D2524" s="22" t="s">
        <v>4898</v>
      </c>
      <c r="E2524" s="22" t="s">
        <v>4899</v>
      </c>
      <c r="F2524" s="22">
        <v>31.208888999999999</v>
      </c>
      <c r="G2524" s="22">
        <v>45.540000999999997</v>
      </c>
      <c r="H2524" s="21" t="s">
        <v>4865</v>
      </c>
      <c r="I2524" s="21" t="s">
        <v>4866</v>
      </c>
      <c r="J2524" s="21" t="s">
        <v>4900</v>
      </c>
      <c r="K2524" s="24">
        <v>10</v>
      </c>
      <c r="L2524" s="24">
        <v>60</v>
      </c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>
        <v>10</v>
      </c>
      <c r="Z2524" s="23"/>
      <c r="AA2524" s="23"/>
      <c r="AB2524" s="23"/>
      <c r="AC2524" s="23"/>
      <c r="AD2524" s="23"/>
      <c r="AE2524" s="23"/>
      <c r="AF2524" s="23">
        <v>3</v>
      </c>
      <c r="AG2524" s="23"/>
      <c r="AH2524" s="23"/>
      <c r="AI2524" s="23">
        <v>2</v>
      </c>
      <c r="AJ2524" s="23">
        <v>5</v>
      </c>
      <c r="AK2524" s="23"/>
      <c r="AL2524" s="23"/>
      <c r="AM2524" s="23"/>
      <c r="AN2524" s="23"/>
      <c r="AO2524" s="23"/>
      <c r="AP2524" s="23"/>
      <c r="AQ2524" s="23">
        <v>8</v>
      </c>
      <c r="AR2524" s="23">
        <v>2</v>
      </c>
      <c r="AS2524" s="23"/>
      <c r="AT2524" s="23"/>
      <c r="AU2524" s="14" t="str">
        <f>HYPERLINK("http://www.openstreetmap.org/?mlat=31.2089&amp;mlon=45.54&amp;zoom=12#map=12/31.2089/45.54","Maplink1")</f>
        <v>Maplink1</v>
      </c>
      <c r="AV2524" s="14" t="str">
        <f>HYPERLINK("https://www.google.iq/maps/search/+31.2089,45.54/@31.2089,45.54,14z?hl=en","Maplink2")</f>
        <v>Maplink2</v>
      </c>
      <c r="AW2524" s="14" t="str">
        <f>HYPERLINK("http://www.bing.com/maps/?lvl=14&amp;sty=h&amp;cp=31.2089~45.54&amp;sp=point.31.2089_45.54","Maplink3")</f>
        <v>Maplink3</v>
      </c>
    </row>
    <row r="2525" spans="1:49" ht="15" customHeight="1" x14ac:dyDescent="0.25">
      <c r="A2525" s="21">
        <v>29547</v>
      </c>
      <c r="B2525" s="22" t="s">
        <v>19</v>
      </c>
      <c r="C2525" s="22" t="s">
        <v>4864</v>
      </c>
      <c r="D2525" s="22" t="s">
        <v>4901</v>
      </c>
      <c r="E2525" s="22" t="s">
        <v>4902</v>
      </c>
      <c r="F2525" s="22">
        <v>31.166388999999999</v>
      </c>
      <c r="G2525" s="22">
        <v>45.723888000000002</v>
      </c>
      <c r="H2525" s="21" t="s">
        <v>4865</v>
      </c>
      <c r="I2525" s="21" t="s">
        <v>4866</v>
      </c>
      <c r="J2525" s="21"/>
      <c r="K2525" s="24">
        <v>1</v>
      </c>
      <c r="L2525" s="24">
        <v>6</v>
      </c>
      <c r="M2525" s="23"/>
      <c r="N2525" s="23"/>
      <c r="O2525" s="23"/>
      <c r="P2525" s="23"/>
      <c r="Q2525" s="23"/>
      <c r="R2525" s="23"/>
      <c r="S2525" s="23"/>
      <c r="T2525" s="23"/>
      <c r="U2525" s="23">
        <v>1</v>
      </c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>
        <v>1</v>
      </c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>
        <v>1</v>
      </c>
      <c r="AQ2525" s="23"/>
      <c r="AR2525" s="23"/>
      <c r="AS2525" s="23"/>
      <c r="AT2525" s="23"/>
      <c r="AU2525" s="14" t="str">
        <f>HYPERLINK("http://www.openstreetmap.org/?mlat=31.1664&amp;mlon=45.7239&amp;zoom=12#map=12/31.1664/45.7239","Maplink1")</f>
        <v>Maplink1</v>
      </c>
      <c r="AV2525" s="14" t="str">
        <f>HYPERLINK("https://www.google.iq/maps/search/+31.1664,45.7239/@31.1664,45.7239,14z?hl=en","Maplink2")</f>
        <v>Maplink2</v>
      </c>
      <c r="AW2525" s="14" t="str">
        <f>HYPERLINK("http://www.bing.com/maps/?lvl=14&amp;sty=h&amp;cp=31.1664~45.7239&amp;sp=point.31.1664_45.7239","Maplink3")</f>
        <v>Maplink3</v>
      </c>
    </row>
    <row r="2526" spans="1:49" ht="15" customHeight="1" x14ac:dyDescent="0.25">
      <c r="A2526" s="21">
        <v>1394</v>
      </c>
      <c r="B2526" s="22" t="s">
        <v>19</v>
      </c>
      <c r="C2526" s="22" t="s">
        <v>4903</v>
      </c>
      <c r="D2526" s="22" t="s">
        <v>4904</v>
      </c>
      <c r="E2526" s="22" t="s">
        <v>4905</v>
      </c>
      <c r="F2526" s="22">
        <v>31.428536000000001</v>
      </c>
      <c r="G2526" s="22">
        <v>45.10866</v>
      </c>
      <c r="H2526" s="21" t="s">
        <v>4865</v>
      </c>
      <c r="I2526" s="21" t="s">
        <v>4906</v>
      </c>
      <c r="J2526" s="21" t="s">
        <v>4907</v>
      </c>
      <c r="K2526" s="24">
        <v>11</v>
      </c>
      <c r="L2526" s="24">
        <v>66</v>
      </c>
      <c r="M2526" s="23">
        <v>3</v>
      </c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>
        <v>6</v>
      </c>
      <c r="Z2526" s="23"/>
      <c r="AA2526" s="23">
        <v>2</v>
      </c>
      <c r="AB2526" s="23"/>
      <c r="AC2526" s="23"/>
      <c r="AD2526" s="23"/>
      <c r="AE2526" s="23"/>
      <c r="AF2526" s="23">
        <v>1</v>
      </c>
      <c r="AG2526" s="23"/>
      <c r="AH2526" s="23"/>
      <c r="AI2526" s="23"/>
      <c r="AJ2526" s="23"/>
      <c r="AK2526" s="23">
        <v>10</v>
      </c>
      <c r="AL2526" s="23"/>
      <c r="AM2526" s="23"/>
      <c r="AN2526" s="23"/>
      <c r="AO2526" s="23"/>
      <c r="AP2526" s="23">
        <v>6</v>
      </c>
      <c r="AQ2526" s="23">
        <v>5</v>
      </c>
      <c r="AR2526" s="23"/>
      <c r="AS2526" s="23"/>
      <c r="AT2526" s="23"/>
      <c r="AU2526" s="14" t="str">
        <f>HYPERLINK("http://www.openstreetmap.org/?mlat=31.4285&amp;mlon=45.1087&amp;zoom=12#map=12/31.4285/45.1087","Maplink1")</f>
        <v>Maplink1</v>
      </c>
      <c r="AV2526" s="14" t="str">
        <f>HYPERLINK("https://www.google.iq/maps/search/+31.4285,45.1087/@31.4285,45.1087,14z?hl=en","Maplink2")</f>
        <v>Maplink2</v>
      </c>
      <c r="AW2526" s="14" t="str">
        <f>HYPERLINK("http://www.bing.com/maps/?lvl=14&amp;sty=h&amp;cp=31.4285~45.1087&amp;sp=point.31.4285_45.1087_Al Hilal","Maplink3")</f>
        <v>Maplink3</v>
      </c>
    </row>
    <row r="2527" spans="1:49" ht="15" customHeight="1" x14ac:dyDescent="0.25">
      <c r="A2527" s="21">
        <v>1393</v>
      </c>
      <c r="B2527" s="22" t="s">
        <v>19</v>
      </c>
      <c r="C2527" s="22" t="s">
        <v>4903</v>
      </c>
      <c r="D2527" s="22" t="s">
        <v>4908</v>
      </c>
      <c r="E2527" s="22" t="s">
        <v>4909</v>
      </c>
      <c r="F2527" s="22">
        <v>31.403727</v>
      </c>
      <c r="G2527" s="22">
        <v>45.198644999999999</v>
      </c>
      <c r="H2527" s="21" t="s">
        <v>4865</v>
      </c>
      <c r="I2527" s="21" t="s">
        <v>4906</v>
      </c>
      <c r="J2527" s="21" t="s">
        <v>4910</v>
      </c>
      <c r="K2527" s="24">
        <v>16</v>
      </c>
      <c r="L2527" s="24">
        <v>96</v>
      </c>
      <c r="M2527" s="23">
        <v>13</v>
      </c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>
        <v>3</v>
      </c>
      <c r="Z2527" s="23"/>
      <c r="AA2527" s="23"/>
      <c r="AB2527" s="23"/>
      <c r="AC2527" s="23"/>
      <c r="AD2527" s="23"/>
      <c r="AE2527" s="23"/>
      <c r="AF2527" s="23">
        <v>2</v>
      </c>
      <c r="AG2527" s="23"/>
      <c r="AH2527" s="23"/>
      <c r="AI2527" s="23"/>
      <c r="AJ2527" s="23"/>
      <c r="AK2527" s="23">
        <v>14</v>
      </c>
      <c r="AL2527" s="23"/>
      <c r="AM2527" s="23"/>
      <c r="AN2527" s="23"/>
      <c r="AO2527" s="23"/>
      <c r="AP2527" s="23">
        <v>1</v>
      </c>
      <c r="AQ2527" s="23">
        <v>4</v>
      </c>
      <c r="AR2527" s="23">
        <v>3</v>
      </c>
      <c r="AS2527" s="23">
        <v>8</v>
      </c>
      <c r="AT2527" s="23"/>
      <c r="AU2527" s="14" t="str">
        <f>HYPERLINK("http://www.openstreetmap.org/?mlat=31.4037&amp;mlon=45.1986&amp;zoom=12#map=12/31.4037/45.1986","Maplink1")</f>
        <v>Maplink1</v>
      </c>
      <c r="AV2527" s="14" t="str">
        <f>HYPERLINK("https://www.google.iq/maps/search/+31.4037,45.1986/@31.4037,45.1986,14z?hl=en","Maplink2")</f>
        <v>Maplink2</v>
      </c>
      <c r="AW2527" s="14" t="str">
        <f>HYPERLINK("http://www.bing.com/maps/?lvl=14&amp;sty=h&amp;cp=31.4037~45.1986&amp;sp=point.31.4037_45.1986_Al Majd","Maplink3")</f>
        <v>Maplink3</v>
      </c>
    </row>
    <row r="2528" spans="1:49" ht="15" customHeight="1" x14ac:dyDescent="0.25">
      <c r="A2528" s="21">
        <v>2050</v>
      </c>
      <c r="B2528" s="22" t="s">
        <v>19</v>
      </c>
      <c r="C2528" s="22" t="s">
        <v>4903</v>
      </c>
      <c r="D2528" s="22" t="s">
        <v>4911</v>
      </c>
      <c r="E2528" s="22" t="s">
        <v>4912</v>
      </c>
      <c r="F2528" s="22">
        <v>31.487624</v>
      </c>
      <c r="G2528" s="22">
        <v>45.258884000000002</v>
      </c>
      <c r="H2528" s="21" t="s">
        <v>4865</v>
      </c>
      <c r="I2528" s="21" t="s">
        <v>4906</v>
      </c>
      <c r="J2528" s="21" t="s">
        <v>4913</v>
      </c>
      <c r="K2528" s="24">
        <v>18</v>
      </c>
      <c r="L2528" s="24">
        <v>108</v>
      </c>
      <c r="M2528" s="23">
        <v>10</v>
      </c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8</v>
      </c>
      <c r="Z2528" s="23"/>
      <c r="AA2528" s="23"/>
      <c r="AB2528" s="23"/>
      <c r="AC2528" s="23"/>
      <c r="AD2528" s="23"/>
      <c r="AE2528" s="23"/>
      <c r="AF2528" s="23">
        <v>3</v>
      </c>
      <c r="AG2528" s="23"/>
      <c r="AH2528" s="23"/>
      <c r="AI2528" s="23"/>
      <c r="AJ2528" s="23"/>
      <c r="AK2528" s="23">
        <v>15</v>
      </c>
      <c r="AL2528" s="23"/>
      <c r="AM2528" s="23"/>
      <c r="AN2528" s="23"/>
      <c r="AO2528" s="23"/>
      <c r="AP2528" s="23">
        <v>8</v>
      </c>
      <c r="AQ2528" s="23"/>
      <c r="AR2528" s="23"/>
      <c r="AS2528" s="23">
        <v>10</v>
      </c>
      <c r="AT2528" s="23"/>
      <c r="AU2528" s="14" t="str">
        <f>HYPERLINK("http://www.openstreetmap.org/?mlat=31.4876&amp;mlon=45.2589&amp;zoom=12#map=12/31.4876/45.2589","Maplink1")</f>
        <v>Maplink1</v>
      </c>
      <c r="AV2528" s="14" t="str">
        <f>HYPERLINK("https://www.google.iq/maps/search/+31.4876,45.2589/@31.4876,45.2589,14z?hl=en","Maplink2")</f>
        <v>Maplink2</v>
      </c>
      <c r="AW2528" s="14" t="str">
        <f>HYPERLINK("http://www.bing.com/maps/?lvl=14&amp;sty=h&amp;cp=31.4876~45.2589&amp;sp=point.31.4876_45.2589_Al Warkaa- Al hymamra","Maplink3")</f>
        <v>Maplink3</v>
      </c>
    </row>
    <row r="2529" spans="1:49" ht="15" customHeight="1" x14ac:dyDescent="0.25">
      <c r="A2529" s="21">
        <v>27228</v>
      </c>
      <c r="B2529" s="22" t="s">
        <v>19</v>
      </c>
      <c r="C2529" s="22" t="s">
        <v>4903</v>
      </c>
      <c r="D2529" s="22" t="s">
        <v>7470</v>
      </c>
      <c r="E2529" s="22" t="s">
        <v>8065</v>
      </c>
      <c r="F2529" s="22">
        <v>31.462047999999999</v>
      </c>
      <c r="G2529" s="22">
        <v>45.290692</v>
      </c>
      <c r="H2529" s="21"/>
      <c r="I2529" s="21"/>
      <c r="J2529" s="21"/>
      <c r="K2529" s="24">
        <v>15</v>
      </c>
      <c r="L2529" s="24">
        <v>90</v>
      </c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>
        <v>15</v>
      </c>
      <c r="Z2529" s="23"/>
      <c r="AA2529" s="23"/>
      <c r="AB2529" s="23"/>
      <c r="AC2529" s="23"/>
      <c r="AD2529" s="23"/>
      <c r="AE2529" s="23"/>
      <c r="AF2529" s="23">
        <v>5</v>
      </c>
      <c r="AG2529" s="23"/>
      <c r="AH2529" s="23"/>
      <c r="AI2529" s="23"/>
      <c r="AJ2529" s="23"/>
      <c r="AK2529" s="23">
        <v>10</v>
      </c>
      <c r="AL2529" s="23"/>
      <c r="AM2529" s="23"/>
      <c r="AN2529" s="23"/>
      <c r="AO2529" s="23"/>
      <c r="AP2529" s="23">
        <v>15</v>
      </c>
      <c r="AQ2529" s="23"/>
      <c r="AR2529" s="23"/>
      <c r="AS2529" s="23"/>
      <c r="AT2529" s="23"/>
      <c r="AU2529" s="14" t="str">
        <f>HYPERLINK("http://www.openstreetmap.org/?mlat=31.462&amp;mlon=45.2907&amp;zoom=12#map=12/31.462/45.2907","Maplink1")</f>
        <v>Maplink1</v>
      </c>
      <c r="AV2529" s="14" t="str">
        <f>HYPERLINK("https://www.google.iq/maps/search/+31.462,45.2907/@31.462,45.2907,14z?hl=en","Maplink2")</f>
        <v>Maplink2</v>
      </c>
      <c r="AW2529" s="14" t="str">
        <f>HYPERLINK("http://www.bing.com/maps/?lvl=14&amp;sty=h&amp;cp=31.462~45.2907&amp;sp=point.31.462_45.2907_Al Warkaa'- Hay Al Zahra","Maplink3")</f>
        <v>Maplink3</v>
      </c>
    </row>
    <row r="2530" spans="1:49" ht="15" customHeight="1" x14ac:dyDescent="0.25">
      <c r="A2530" s="21">
        <v>25498</v>
      </c>
      <c r="B2530" s="22" t="s">
        <v>19</v>
      </c>
      <c r="C2530" s="22" t="s">
        <v>4903</v>
      </c>
      <c r="D2530" s="22" t="s">
        <v>4914</v>
      </c>
      <c r="E2530" s="22" t="s">
        <v>1975</v>
      </c>
      <c r="F2530" s="22">
        <v>31.468325</v>
      </c>
      <c r="G2530" s="22">
        <v>45.289366999999999</v>
      </c>
      <c r="H2530" s="21" t="s">
        <v>4865</v>
      </c>
      <c r="I2530" s="21" t="s">
        <v>4906</v>
      </c>
      <c r="J2530" s="21"/>
      <c r="K2530" s="24">
        <v>30</v>
      </c>
      <c r="L2530" s="24">
        <v>180</v>
      </c>
      <c r="M2530" s="23">
        <v>10</v>
      </c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20</v>
      </c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>
        <v>30</v>
      </c>
      <c r="AL2530" s="23"/>
      <c r="AM2530" s="23"/>
      <c r="AN2530" s="23"/>
      <c r="AO2530" s="23"/>
      <c r="AP2530" s="23">
        <v>12</v>
      </c>
      <c r="AQ2530" s="23">
        <v>10</v>
      </c>
      <c r="AR2530" s="23">
        <v>8</v>
      </c>
      <c r="AS2530" s="23"/>
      <c r="AT2530" s="23"/>
      <c r="AU2530" s="14" t="str">
        <f>HYPERLINK("http://www.openstreetmap.org/?mlat=31.4683&amp;mlon=45.2894&amp;zoom=12#map=12/31.4683/45.2894","Maplink1")</f>
        <v>Maplink1</v>
      </c>
      <c r="AV2530" s="14" t="str">
        <f>HYPERLINK("https://www.google.iq/maps/search/+31.4683,45.2894/@31.4683,45.2894,14z?hl=en","Maplink2")</f>
        <v>Maplink2</v>
      </c>
      <c r="AW2530" s="14" t="str">
        <f>HYPERLINK("http://www.bing.com/maps/?lvl=14&amp;sty=h&amp;cp=31.4683~45.2894&amp;sp=point.31.4683_45.2894_Al Zahra","Maplink3")</f>
        <v>Maplink3</v>
      </c>
    </row>
    <row r="2531" spans="1:49" ht="15" customHeight="1" x14ac:dyDescent="0.25">
      <c r="A2531" s="21">
        <v>1888</v>
      </c>
      <c r="B2531" s="22" t="s">
        <v>19</v>
      </c>
      <c r="C2531" s="22" t="s">
        <v>4903</v>
      </c>
      <c r="D2531" s="22" t="s">
        <v>4867</v>
      </c>
      <c r="E2531" s="22" t="s">
        <v>120</v>
      </c>
      <c r="F2531" s="22">
        <v>31.532903999999998</v>
      </c>
      <c r="G2531" s="22">
        <v>45.208686999999998</v>
      </c>
      <c r="H2531" s="21"/>
      <c r="I2531" s="21"/>
      <c r="J2531" s="21" t="s">
        <v>4915</v>
      </c>
      <c r="K2531" s="24">
        <v>28</v>
      </c>
      <c r="L2531" s="24">
        <v>168</v>
      </c>
      <c r="M2531" s="23">
        <v>8</v>
      </c>
      <c r="N2531" s="23"/>
      <c r="O2531" s="23"/>
      <c r="P2531" s="23"/>
      <c r="Q2531" s="23"/>
      <c r="R2531" s="23"/>
      <c r="S2531" s="23"/>
      <c r="T2531" s="23"/>
      <c r="U2531" s="23">
        <v>1</v>
      </c>
      <c r="V2531" s="23"/>
      <c r="W2531" s="23"/>
      <c r="X2531" s="23"/>
      <c r="Y2531" s="23">
        <v>14</v>
      </c>
      <c r="Z2531" s="23"/>
      <c r="AA2531" s="23">
        <v>5</v>
      </c>
      <c r="AB2531" s="23"/>
      <c r="AC2531" s="23"/>
      <c r="AD2531" s="23"/>
      <c r="AE2531" s="23"/>
      <c r="AF2531" s="23">
        <v>6</v>
      </c>
      <c r="AG2531" s="23"/>
      <c r="AH2531" s="23"/>
      <c r="AI2531" s="23"/>
      <c r="AJ2531" s="23"/>
      <c r="AK2531" s="23">
        <v>22</v>
      </c>
      <c r="AL2531" s="23"/>
      <c r="AM2531" s="23"/>
      <c r="AN2531" s="23"/>
      <c r="AO2531" s="23">
        <v>8</v>
      </c>
      <c r="AP2531" s="23">
        <v>11</v>
      </c>
      <c r="AQ2531" s="23">
        <v>3</v>
      </c>
      <c r="AR2531" s="23"/>
      <c r="AS2531" s="23">
        <v>6</v>
      </c>
      <c r="AT2531" s="23"/>
      <c r="AU2531" s="14" t="str">
        <f>HYPERLINK("http://www.openstreetmap.org/?mlat=31.5329&amp;mlon=45.2087&amp;zoom=12#map=12/31.5329/45.2087","Maplink1")</f>
        <v>Maplink1</v>
      </c>
      <c r="AV2531" s="14" t="str">
        <f>HYPERLINK("https://www.google.iq/maps/search/+31.5329,45.2087/@31.5329,45.2087,14z?hl=en","Maplink2")</f>
        <v>Maplink2</v>
      </c>
      <c r="AW2531" s="14" t="str">
        <f>HYPERLINK("http://www.bing.com/maps/?lvl=14&amp;sty=h&amp;cp=31.5329~45.2087&amp;sp=point.31.5329_45.2087_Al-hay al-askary","Maplink3")</f>
        <v>Maplink3</v>
      </c>
    </row>
    <row r="2532" spans="1:49" ht="15" customHeight="1" x14ac:dyDescent="0.25">
      <c r="A2532" s="21">
        <v>1991</v>
      </c>
      <c r="B2532" s="22" t="s">
        <v>19</v>
      </c>
      <c r="C2532" s="22" t="s">
        <v>4903</v>
      </c>
      <c r="D2532" s="22" t="s">
        <v>8228</v>
      </c>
      <c r="E2532" s="22" t="s">
        <v>8229</v>
      </c>
      <c r="F2532" s="22">
        <v>31.538889000000001</v>
      </c>
      <c r="G2532" s="22">
        <v>45.183334000000002</v>
      </c>
      <c r="H2532" s="21" t="s">
        <v>4865</v>
      </c>
      <c r="I2532" s="21" t="s">
        <v>4906</v>
      </c>
      <c r="J2532" s="21" t="s">
        <v>8230</v>
      </c>
      <c r="K2532" s="24">
        <v>85</v>
      </c>
      <c r="L2532" s="24">
        <v>510</v>
      </c>
      <c r="M2532" s="23">
        <v>9</v>
      </c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>
        <v>75</v>
      </c>
      <c r="Z2532" s="23"/>
      <c r="AA2532" s="23">
        <v>1</v>
      </c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>
        <v>85</v>
      </c>
      <c r="AN2532" s="23"/>
      <c r="AO2532" s="23">
        <v>1</v>
      </c>
      <c r="AP2532" s="23">
        <v>42</v>
      </c>
      <c r="AQ2532" s="23">
        <v>34</v>
      </c>
      <c r="AR2532" s="23">
        <v>6</v>
      </c>
      <c r="AS2532" s="23">
        <v>2</v>
      </c>
      <c r="AT2532" s="23"/>
      <c r="AU2532" s="14" t="str">
        <f>HYPERLINK("http://www.openstreetmap.org/?mlat=31.5389&amp;mlon=45.1833&amp;zoom=12#map=12/31.5389/45.1833","Maplink1")</f>
        <v>Maplink1</v>
      </c>
      <c r="AV2532" s="14" t="str">
        <f>HYPERLINK("https://www.google.iq/maps/search/+31.5389,45.1833/@31.5389,45.1833,14z?hl=en","Maplink2")</f>
        <v>Maplink2</v>
      </c>
      <c r="AW2532" s="14" t="str">
        <f>HYPERLINK("http://www.bing.com/maps/?lvl=14&amp;sty=h&amp;cp=31.5389~45.1833&amp;sp=point.31.5389_45.1833","Maplink3")</f>
        <v>Maplink3</v>
      </c>
    </row>
    <row r="2533" spans="1:49" ht="15" customHeight="1" x14ac:dyDescent="0.25">
      <c r="A2533" s="21">
        <v>25976</v>
      </c>
      <c r="B2533" s="22" t="s">
        <v>19</v>
      </c>
      <c r="C2533" s="22" t="s">
        <v>4903</v>
      </c>
      <c r="D2533" s="22" t="s">
        <v>4916</v>
      </c>
      <c r="E2533" s="22" t="s">
        <v>129</v>
      </c>
      <c r="F2533" s="22">
        <v>31.464656999999999</v>
      </c>
      <c r="G2533" s="22">
        <v>45.297474000000001</v>
      </c>
      <c r="H2533" s="21" t="s">
        <v>4865</v>
      </c>
      <c r="I2533" s="21" t="s">
        <v>4906</v>
      </c>
      <c r="J2533" s="21"/>
      <c r="K2533" s="24">
        <v>33</v>
      </c>
      <c r="L2533" s="24">
        <v>198</v>
      </c>
      <c r="M2533" s="23"/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>
        <v>33</v>
      </c>
      <c r="Z2533" s="23"/>
      <c r="AA2533" s="23"/>
      <c r="AB2533" s="23"/>
      <c r="AC2533" s="23"/>
      <c r="AD2533" s="23"/>
      <c r="AE2533" s="23"/>
      <c r="AF2533" s="23">
        <v>11</v>
      </c>
      <c r="AG2533" s="23"/>
      <c r="AH2533" s="23"/>
      <c r="AI2533" s="23"/>
      <c r="AJ2533" s="23"/>
      <c r="AK2533" s="23">
        <v>22</v>
      </c>
      <c r="AL2533" s="23"/>
      <c r="AM2533" s="23"/>
      <c r="AN2533" s="23"/>
      <c r="AO2533" s="23"/>
      <c r="AP2533" s="23">
        <v>33</v>
      </c>
      <c r="AQ2533" s="23"/>
      <c r="AR2533" s="23"/>
      <c r="AS2533" s="23"/>
      <c r="AT2533" s="23"/>
      <c r="AU2533" s="14" t="str">
        <f>HYPERLINK("http://www.openstreetmap.org/?mlat=31.4647&amp;mlon=45.2975&amp;zoom=12#map=12/31.4647/45.2975","Maplink1")</f>
        <v>Maplink1</v>
      </c>
      <c r="AV2533" s="14" t="str">
        <f>HYPERLINK("https://www.google.iq/maps/search/+31.4647,45.2975/@31.4647,45.2975,14z?hl=en","Maplink2")</f>
        <v>Maplink2</v>
      </c>
      <c r="AW2533" s="14" t="str">
        <f>HYPERLINK("http://www.bing.com/maps/?lvl=14&amp;sty=h&amp;cp=31.4647~45.2975&amp;sp=point.31.4647_45.2975_Al-Warka-Al-Shuhada","Maplink3")</f>
        <v>Maplink3</v>
      </c>
    </row>
    <row r="2534" spans="1:49" ht="15" customHeight="1" x14ac:dyDescent="0.25">
      <c r="A2534" s="21">
        <v>1787</v>
      </c>
      <c r="B2534" s="22" t="s">
        <v>19</v>
      </c>
      <c r="C2534" s="22" t="s">
        <v>4903</v>
      </c>
      <c r="D2534" s="22" t="s">
        <v>8898</v>
      </c>
      <c r="E2534" s="22" t="s">
        <v>120</v>
      </c>
      <c r="F2534" s="22">
        <v>31.461390000000002</v>
      </c>
      <c r="G2534" s="22">
        <v>45.293334999999999</v>
      </c>
      <c r="H2534" s="21" t="s">
        <v>4865</v>
      </c>
      <c r="I2534" s="21" t="s">
        <v>4906</v>
      </c>
      <c r="J2534" s="21" t="s">
        <v>8899</v>
      </c>
      <c r="K2534" s="24">
        <v>4</v>
      </c>
      <c r="L2534" s="24">
        <v>24</v>
      </c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4</v>
      </c>
      <c r="Z2534" s="23"/>
      <c r="AA2534" s="23"/>
      <c r="AB2534" s="23"/>
      <c r="AC2534" s="23"/>
      <c r="AD2534" s="23"/>
      <c r="AE2534" s="23"/>
      <c r="AF2534" s="23">
        <v>3</v>
      </c>
      <c r="AG2534" s="23"/>
      <c r="AH2534" s="23"/>
      <c r="AI2534" s="23"/>
      <c r="AJ2534" s="23"/>
      <c r="AK2534" s="23">
        <v>1</v>
      </c>
      <c r="AL2534" s="23"/>
      <c r="AM2534" s="23"/>
      <c r="AN2534" s="23"/>
      <c r="AO2534" s="23"/>
      <c r="AP2534" s="23">
        <v>4</v>
      </c>
      <c r="AQ2534" s="23"/>
      <c r="AR2534" s="23"/>
      <c r="AS2534" s="23"/>
      <c r="AT2534" s="23"/>
      <c r="AU2534" s="14" t="str">
        <f>HYPERLINK("http://www.openstreetmap.org/?mlat=31.4614&amp;mlon=45.2933&amp;zoom=12#map=12/31.4614/45.2933","Maplink1")</f>
        <v>Maplink1</v>
      </c>
      <c r="AV2534" s="14" t="str">
        <f>HYPERLINK("https://www.google.iq/maps/search/+31.4614,45.2933/@31.4614,45.2933,14z?hl=en","Maplink2")</f>
        <v>Maplink2</v>
      </c>
      <c r="AW2534" s="14" t="str">
        <f>HYPERLINK("http://www.bing.com/maps/?lvl=14&amp;sty=h&amp;cp=31.4614~45.2933&amp;sp=point.31.4614_45.2933","Maplink3")</f>
        <v>Maplink3</v>
      </c>
    </row>
    <row r="2535" spans="1:49" ht="15" customHeight="1" x14ac:dyDescent="0.25">
      <c r="A2535" s="21">
        <v>1885</v>
      </c>
      <c r="B2535" s="22" t="s">
        <v>19</v>
      </c>
      <c r="C2535" s="22" t="s">
        <v>4903</v>
      </c>
      <c r="D2535" s="22" t="s">
        <v>4917</v>
      </c>
      <c r="E2535" s="22" t="s">
        <v>995</v>
      </c>
      <c r="F2535" s="22">
        <v>31.528665</v>
      </c>
      <c r="G2535" s="22">
        <v>45.206350999999998</v>
      </c>
      <c r="H2535" s="21" t="s">
        <v>4865</v>
      </c>
      <c r="I2535" s="21" t="s">
        <v>4906</v>
      </c>
      <c r="J2535" s="21" t="s">
        <v>4918</v>
      </c>
      <c r="K2535" s="24">
        <v>32</v>
      </c>
      <c r="L2535" s="24">
        <v>192</v>
      </c>
      <c r="M2535" s="23">
        <v>15</v>
      </c>
      <c r="N2535" s="23"/>
      <c r="O2535" s="23"/>
      <c r="P2535" s="23"/>
      <c r="Q2535" s="23"/>
      <c r="R2535" s="23">
        <v>2</v>
      </c>
      <c r="S2535" s="23"/>
      <c r="T2535" s="23"/>
      <c r="U2535" s="23"/>
      <c r="V2535" s="23"/>
      <c r="W2535" s="23"/>
      <c r="X2535" s="23"/>
      <c r="Y2535" s="23">
        <v>15</v>
      </c>
      <c r="Z2535" s="23"/>
      <c r="AA2535" s="23"/>
      <c r="AB2535" s="23"/>
      <c r="AC2535" s="23"/>
      <c r="AD2535" s="23"/>
      <c r="AE2535" s="23"/>
      <c r="AF2535" s="23">
        <v>4</v>
      </c>
      <c r="AG2535" s="23"/>
      <c r="AH2535" s="23"/>
      <c r="AI2535" s="23"/>
      <c r="AJ2535" s="23"/>
      <c r="AK2535" s="23">
        <v>28</v>
      </c>
      <c r="AL2535" s="23"/>
      <c r="AM2535" s="23"/>
      <c r="AN2535" s="23"/>
      <c r="AO2535" s="23">
        <v>5</v>
      </c>
      <c r="AP2535" s="23">
        <v>7</v>
      </c>
      <c r="AQ2535" s="23">
        <v>7</v>
      </c>
      <c r="AR2535" s="23">
        <v>11</v>
      </c>
      <c r="AS2535" s="23">
        <v>2</v>
      </c>
      <c r="AT2535" s="23"/>
      <c r="AU2535" s="14" t="str">
        <f>HYPERLINK("http://www.openstreetmap.org/?mlat=31.5287&amp;mlon=45.2064&amp;zoom=12#map=12/31.5287/45.2064","Maplink1")</f>
        <v>Maplink1</v>
      </c>
      <c r="AV2535" s="14" t="str">
        <f>HYPERLINK("https://www.google.iq/maps/search/+31.5287,45.2064/@31.5287,45.2064,14z?hl=en","Maplink2")</f>
        <v>Maplink2</v>
      </c>
      <c r="AW2535" s="14" t="str">
        <f>HYPERLINK("http://www.bing.com/maps/?lvl=14&amp;sty=h&amp;cp=31.5287~45.2064&amp;sp=point.31.5287_45.2064_Hay al-hussain","Maplink3")</f>
        <v>Maplink3</v>
      </c>
    </row>
    <row r="2536" spans="1:49" ht="15" customHeight="1" x14ac:dyDescent="0.25">
      <c r="A2536" s="21">
        <v>1587</v>
      </c>
      <c r="B2536" s="22" t="s">
        <v>19</v>
      </c>
      <c r="C2536" s="22" t="s">
        <v>4919</v>
      </c>
      <c r="D2536" s="22" t="s">
        <v>4924</v>
      </c>
      <c r="E2536" s="22" t="s">
        <v>4925</v>
      </c>
      <c r="F2536" s="22">
        <v>31.311743</v>
      </c>
      <c r="G2536" s="22">
        <v>45.292726000000002</v>
      </c>
      <c r="H2536" s="21"/>
      <c r="I2536" s="21"/>
      <c r="J2536" s="21" t="s">
        <v>4926</v>
      </c>
      <c r="K2536" s="24">
        <v>9</v>
      </c>
      <c r="L2536" s="24">
        <v>54</v>
      </c>
      <c r="M2536" s="23">
        <v>3</v>
      </c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>
        <v>5</v>
      </c>
      <c r="Z2536" s="23"/>
      <c r="AA2536" s="23">
        <v>1</v>
      </c>
      <c r="AB2536" s="23"/>
      <c r="AC2536" s="23"/>
      <c r="AD2536" s="23"/>
      <c r="AE2536" s="23"/>
      <c r="AF2536" s="23">
        <v>5</v>
      </c>
      <c r="AG2536" s="23"/>
      <c r="AH2536" s="23"/>
      <c r="AI2536" s="23"/>
      <c r="AJ2536" s="23">
        <v>3</v>
      </c>
      <c r="AK2536" s="23">
        <v>1</v>
      </c>
      <c r="AL2536" s="23"/>
      <c r="AM2536" s="23"/>
      <c r="AN2536" s="23"/>
      <c r="AO2536" s="23"/>
      <c r="AP2536" s="23"/>
      <c r="AQ2536" s="23">
        <v>6</v>
      </c>
      <c r="AR2536" s="23">
        <v>1</v>
      </c>
      <c r="AS2536" s="23">
        <v>2</v>
      </c>
      <c r="AT2536" s="23"/>
      <c r="AU2536" s="14" t="str">
        <f>HYPERLINK("http://www.openstreetmap.org/?mlat=31.3117&amp;mlon=45.2927&amp;zoom=12#map=12/31.3117/45.2927","Maplink1")</f>
        <v>Maplink1</v>
      </c>
      <c r="AV2536" s="14" t="str">
        <f>HYPERLINK("https://www.google.iq/maps/search/+31.3117,45.2927/@31.3117,45.2927,14z?hl=en","Maplink2")</f>
        <v>Maplink2</v>
      </c>
      <c r="AW2536" s="14" t="str">
        <f>HYPERLINK("http://www.bing.com/maps/?lvl=14&amp;sty=h&amp;cp=31.3117~45.2927&amp;sp=point.31.3117_45.2927_Al Basasteen Al Shirqia","Maplink3")</f>
        <v>Maplink3</v>
      </c>
    </row>
    <row r="2537" spans="1:49" ht="15" customHeight="1" x14ac:dyDescent="0.25">
      <c r="A2537" s="21">
        <v>28421</v>
      </c>
      <c r="B2537" s="22" t="s">
        <v>19</v>
      </c>
      <c r="C2537" s="22" t="s">
        <v>4919</v>
      </c>
      <c r="D2537" s="22" t="s">
        <v>4927</v>
      </c>
      <c r="E2537" s="22" t="s">
        <v>4928</v>
      </c>
      <c r="F2537" s="22">
        <v>31.269280999999999</v>
      </c>
      <c r="G2537" s="22">
        <v>45.362217000000001</v>
      </c>
      <c r="H2537" s="21" t="s">
        <v>4865</v>
      </c>
      <c r="I2537" s="21" t="s">
        <v>4921</v>
      </c>
      <c r="J2537" s="21"/>
      <c r="K2537" s="24">
        <v>12</v>
      </c>
      <c r="L2537" s="24">
        <v>72</v>
      </c>
      <c r="M2537" s="23">
        <v>8</v>
      </c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>
        <v>4</v>
      </c>
      <c r="Z2537" s="23"/>
      <c r="AA2537" s="23"/>
      <c r="AB2537" s="23"/>
      <c r="AC2537" s="23"/>
      <c r="AD2537" s="23"/>
      <c r="AE2537" s="23"/>
      <c r="AF2537" s="23">
        <v>2</v>
      </c>
      <c r="AG2537" s="23"/>
      <c r="AH2537" s="23"/>
      <c r="AI2537" s="23"/>
      <c r="AJ2537" s="23"/>
      <c r="AK2537" s="23">
        <v>10</v>
      </c>
      <c r="AL2537" s="23"/>
      <c r="AM2537" s="23"/>
      <c r="AN2537" s="23"/>
      <c r="AO2537" s="23"/>
      <c r="AP2537" s="23">
        <v>4</v>
      </c>
      <c r="AQ2537" s="23">
        <v>2</v>
      </c>
      <c r="AR2537" s="23"/>
      <c r="AS2537" s="23">
        <v>6</v>
      </c>
      <c r="AT2537" s="23"/>
      <c r="AU2537" s="14" t="str">
        <f>HYPERLINK("http://www.openstreetmap.org/?mlat=31.2693&amp;mlon=45.3622&amp;zoom=12#map=12/31.2693/45.3622","Maplink1")</f>
        <v>Maplink1</v>
      </c>
      <c r="AV2537" s="14" t="str">
        <f>HYPERLINK("https://www.google.iq/maps/search/+31.2693,45.3622/@31.2693,45.3622,14z?hl=en","Maplink2")</f>
        <v>Maplink2</v>
      </c>
      <c r="AW2537" s="14" t="str">
        <f>HYPERLINK("http://www.bing.com/maps/?lvl=14&amp;sty=h&amp;cp=31.2693~45.3622&amp;sp=point.31.2693_45.3622_Al Angaa","Maplink3")</f>
        <v>Maplink3</v>
      </c>
    </row>
    <row r="2538" spans="1:49" ht="15" customHeight="1" x14ac:dyDescent="0.25">
      <c r="A2538" s="21">
        <v>25497</v>
      </c>
      <c r="B2538" s="22" t="s">
        <v>19</v>
      </c>
      <c r="C2538" s="22" t="s">
        <v>4919</v>
      </c>
      <c r="D2538" s="22" t="s">
        <v>4929</v>
      </c>
      <c r="E2538" s="22" t="s">
        <v>4930</v>
      </c>
      <c r="F2538" s="22">
        <v>31.295784999999999</v>
      </c>
      <c r="G2538" s="22">
        <v>45.226894999999999</v>
      </c>
      <c r="H2538" s="21" t="s">
        <v>4865</v>
      </c>
      <c r="I2538" s="21" t="s">
        <v>4921</v>
      </c>
      <c r="J2538" s="21"/>
      <c r="K2538" s="24">
        <v>13</v>
      </c>
      <c r="L2538" s="24">
        <v>78</v>
      </c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>
        <v>13</v>
      </c>
      <c r="Z2538" s="23"/>
      <c r="AA2538" s="23"/>
      <c r="AB2538" s="23"/>
      <c r="AC2538" s="23"/>
      <c r="AD2538" s="23"/>
      <c r="AE2538" s="23"/>
      <c r="AF2538" s="23">
        <v>2</v>
      </c>
      <c r="AG2538" s="23"/>
      <c r="AH2538" s="23"/>
      <c r="AI2538" s="23"/>
      <c r="AJ2538" s="23"/>
      <c r="AK2538" s="23"/>
      <c r="AL2538" s="23"/>
      <c r="AM2538" s="23">
        <v>11</v>
      </c>
      <c r="AN2538" s="23"/>
      <c r="AO2538" s="23"/>
      <c r="AP2538" s="23"/>
      <c r="AQ2538" s="23">
        <v>2</v>
      </c>
      <c r="AR2538" s="23">
        <v>11</v>
      </c>
      <c r="AS2538" s="23"/>
      <c r="AT2538" s="23"/>
      <c r="AU2538" s="14" t="str">
        <f>HYPERLINK("http://www.openstreetmap.org/?mlat=31.2958&amp;mlon=45.2269&amp;zoom=12#map=12/31.2958/45.2269","Maplink1")</f>
        <v>Maplink1</v>
      </c>
      <c r="AV2538" s="14" t="str">
        <f>HYPERLINK("https://www.google.iq/maps/search/+31.2958,45.2269/@31.2958,45.2269,14z?hl=en","Maplink2")</f>
        <v>Maplink2</v>
      </c>
      <c r="AW2538" s="14" t="str">
        <f>HYPERLINK("http://www.bing.com/maps/?lvl=14&amp;sty=h&amp;cp=31.2958~45.2269&amp;sp=point.31.2958_45.2269_Al Mahdi","Maplink3")</f>
        <v>Maplink3</v>
      </c>
    </row>
    <row r="2539" spans="1:49" ht="15" customHeight="1" x14ac:dyDescent="0.25">
      <c r="A2539" s="21">
        <v>26083</v>
      </c>
      <c r="B2539" s="22" t="s">
        <v>19</v>
      </c>
      <c r="C2539" s="22" t="s">
        <v>4919</v>
      </c>
      <c r="D2539" s="22" t="s">
        <v>4931</v>
      </c>
      <c r="E2539" s="22" t="s">
        <v>4932</v>
      </c>
      <c r="F2539" s="22">
        <v>31.264832999999999</v>
      </c>
      <c r="G2539" s="22">
        <v>45.068809000000002</v>
      </c>
      <c r="H2539" s="21" t="s">
        <v>4865</v>
      </c>
      <c r="I2539" s="21" t="s">
        <v>4921</v>
      </c>
      <c r="J2539" s="21"/>
      <c r="K2539" s="24">
        <v>15</v>
      </c>
      <c r="L2539" s="24">
        <v>90</v>
      </c>
      <c r="M2539" s="23">
        <v>5</v>
      </c>
      <c r="N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>
        <v>9</v>
      </c>
      <c r="Z2539" s="23"/>
      <c r="AA2539" s="23">
        <v>1</v>
      </c>
      <c r="AB2539" s="23"/>
      <c r="AC2539" s="23"/>
      <c r="AD2539" s="23"/>
      <c r="AE2539" s="23"/>
      <c r="AF2539" s="23">
        <v>1</v>
      </c>
      <c r="AG2539" s="23"/>
      <c r="AH2539" s="23"/>
      <c r="AI2539" s="23"/>
      <c r="AJ2539" s="23"/>
      <c r="AK2539" s="23">
        <v>14</v>
      </c>
      <c r="AL2539" s="23"/>
      <c r="AM2539" s="23"/>
      <c r="AN2539" s="23"/>
      <c r="AO2539" s="23">
        <v>5</v>
      </c>
      <c r="AP2539" s="23">
        <v>1</v>
      </c>
      <c r="AQ2539" s="23">
        <v>2</v>
      </c>
      <c r="AR2539" s="23">
        <v>1</v>
      </c>
      <c r="AS2539" s="23">
        <v>6</v>
      </c>
      <c r="AT2539" s="23"/>
      <c r="AU2539" s="14" t="str">
        <f>HYPERLINK("http://www.openstreetmap.org/?mlat=31.2648&amp;mlon=45.0688&amp;zoom=12#map=12/31.2648/45.0688","Maplink1")</f>
        <v>Maplink1</v>
      </c>
      <c r="AV2539" s="14" t="str">
        <f>HYPERLINK("https://www.google.iq/maps/search/+31.2648,45.0688/@31.2648,45.0688,14z?hl=en","Maplink2")</f>
        <v>Maplink2</v>
      </c>
      <c r="AW2539" s="14" t="str">
        <f>HYPERLINK("http://www.bing.com/maps/?lvl=14&amp;sty=h&amp;cp=31.2648~45.0688&amp;sp=point.31.2648_45.0688_Al Mamlaha","Maplink3")</f>
        <v>Maplink3</v>
      </c>
    </row>
    <row r="2540" spans="1:49" ht="15" customHeight="1" x14ac:dyDescent="0.25">
      <c r="A2540" s="21">
        <v>25496</v>
      </c>
      <c r="B2540" s="22" t="s">
        <v>19</v>
      </c>
      <c r="C2540" s="22" t="s">
        <v>4919</v>
      </c>
      <c r="D2540" s="22" t="s">
        <v>4933</v>
      </c>
      <c r="E2540" s="22" t="s">
        <v>4934</v>
      </c>
      <c r="F2540" s="22">
        <v>31.291889999999999</v>
      </c>
      <c r="G2540" s="22">
        <v>45.288015000000001</v>
      </c>
      <c r="H2540" s="21" t="s">
        <v>4865</v>
      </c>
      <c r="I2540" s="21" t="s">
        <v>4921</v>
      </c>
      <c r="J2540" s="21"/>
      <c r="K2540" s="24">
        <v>8</v>
      </c>
      <c r="L2540" s="24">
        <v>48</v>
      </c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8</v>
      </c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>
        <v>8</v>
      </c>
      <c r="AK2540" s="23"/>
      <c r="AL2540" s="23"/>
      <c r="AM2540" s="23"/>
      <c r="AN2540" s="23"/>
      <c r="AO2540" s="23"/>
      <c r="AP2540" s="23"/>
      <c r="AQ2540" s="23">
        <v>8</v>
      </c>
      <c r="AR2540" s="23"/>
      <c r="AS2540" s="23"/>
      <c r="AT2540" s="23"/>
      <c r="AU2540" s="14" t="str">
        <f>HYPERLINK("http://www.openstreetmap.org/?mlat=31.2919&amp;mlon=45.288&amp;zoom=12#map=12/31.2919/45.288","Maplink1")</f>
        <v>Maplink1</v>
      </c>
      <c r="AV2540" s="14" t="str">
        <f>HYPERLINK("https://www.google.iq/maps/search/+31.2919,45.288/@31.2919,45.288,14z?hl=en","Maplink2")</f>
        <v>Maplink2</v>
      </c>
      <c r="AW2540" s="14" t="str">
        <f>HYPERLINK("http://www.bing.com/maps/?lvl=14&amp;sty=h&amp;cp=31.2919~45.288&amp;sp=point.31.2919_45.288_Al Maredh","Maplink3")</f>
        <v>Maplink3</v>
      </c>
    </row>
    <row r="2541" spans="1:49" ht="15" customHeight="1" x14ac:dyDescent="0.25">
      <c r="A2541" s="21">
        <v>25495</v>
      </c>
      <c r="B2541" s="22" t="s">
        <v>19</v>
      </c>
      <c r="C2541" s="22" t="s">
        <v>4919</v>
      </c>
      <c r="D2541" s="22" t="s">
        <v>4935</v>
      </c>
      <c r="E2541" s="22" t="s">
        <v>4936</v>
      </c>
      <c r="F2541" s="22">
        <v>31.271573</v>
      </c>
      <c r="G2541" s="22">
        <v>45.327519000000002</v>
      </c>
      <c r="H2541" s="21" t="s">
        <v>4865</v>
      </c>
      <c r="I2541" s="21" t="s">
        <v>4921</v>
      </c>
      <c r="J2541" s="21"/>
      <c r="K2541" s="24">
        <v>5</v>
      </c>
      <c r="L2541" s="24">
        <v>30</v>
      </c>
      <c r="M2541" s="23"/>
      <c r="N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>
        <v>5</v>
      </c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>
        <v>5</v>
      </c>
      <c r="AK2541" s="23"/>
      <c r="AL2541" s="23"/>
      <c r="AM2541" s="23"/>
      <c r="AN2541" s="23"/>
      <c r="AO2541" s="23"/>
      <c r="AP2541" s="23"/>
      <c r="AQ2541" s="23">
        <v>5</v>
      </c>
      <c r="AR2541" s="23"/>
      <c r="AS2541" s="23"/>
      <c r="AT2541" s="23"/>
      <c r="AU2541" s="14" t="str">
        <f>HYPERLINK("http://www.openstreetmap.org/?mlat=31.2716&amp;mlon=45.3275&amp;zoom=12#map=12/31.2716/45.3275","Maplink1")</f>
        <v>Maplink1</v>
      </c>
      <c r="AV2541" s="14" t="str">
        <f>HYPERLINK("https://www.google.iq/maps/search/+31.2716,45.3275/@31.2716,45.3275,14z?hl=en","Maplink2")</f>
        <v>Maplink2</v>
      </c>
      <c r="AW2541" s="14" t="str">
        <f>HYPERLINK("http://www.bing.com/maps/?lvl=14&amp;sty=h&amp;cp=31.2716~45.3275&amp;sp=point.31.2716_45.3275_Al Sailo","Maplink3")</f>
        <v>Maplink3</v>
      </c>
    </row>
    <row r="2542" spans="1:49" ht="15" customHeight="1" x14ac:dyDescent="0.25">
      <c r="A2542" s="21">
        <v>21434</v>
      </c>
      <c r="B2542" s="22" t="s">
        <v>19</v>
      </c>
      <c r="C2542" s="22" t="s">
        <v>4919</v>
      </c>
      <c r="D2542" s="22" t="s">
        <v>7471</v>
      </c>
      <c r="E2542" s="22" t="s">
        <v>4920</v>
      </c>
      <c r="F2542" s="22">
        <v>31.279520999999999</v>
      </c>
      <c r="G2542" s="22">
        <v>45.262861999999998</v>
      </c>
      <c r="H2542" s="21" t="s">
        <v>4865</v>
      </c>
      <c r="I2542" s="21" t="s">
        <v>4921</v>
      </c>
      <c r="J2542" s="21" t="s">
        <v>4922</v>
      </c>
      <c r="K2542" s="24">
        <v>16</v>
      </c>
      <c r="L2542" s="24">
        <v>96</v>
      </c>
      <c r="M2542" s="23">
        <v>4</v>
      </c>
      <c r="N2542" s="23"/>
      <c r="O2542" s="23"/>
      <c r="P2542" s="23"/>
      <c r="Q2542" s="23"/>
      <c r="R2542" s="23">
        <v>1</v>
      </c>
      <c r="S2542" s="23"/>
      <c r="T2542" s="23"/>
      <c r="U2542" s="23"/>
      <c r="V2542" s="23"/>
      <c r="W2542" s="23"/>
      <c r="X2542" s="23"/>
      <c r="Y2542" s="23">
        <v>11</v>
      </c>
      <c r="Z2542" s="23"/>
      <c r="AA2542" s="23"/>
      <c r="AB2542" s="23"/>
      <c r="AC2542" s="23"/>
      <c r="AD2542" s="23"/>
      <c r="AE2542" s="23"/>
      <c r="AF2542" s="23">
        <v>1</v>
      </c>
      <c r="AG2542" s="23"/>
      <c r="AH2542" s="23"/>
      <c r="AI2542" s="23"/>
      <c r="AJ2542" s="23"/>
      <c r="AK2542" s="23">
        <v>15</v>
      </c>
      <c r="AL2542" s="23"/>
      <c r="AM2542" s="23"/>
      <c r="AN2542" s="23"/>
      <c r="AO2542" s="23"/>
      <c r="AP2542" s="23">
        <v>11</v>
      </c>
      <c r="AQ2542" s="23">
        <v>2</v>
      </c>
      <c r="AR2542" s="23">
        <v>2</v>
      </c>
      <c r="AS2542" s="23">
        <v>1</v>
      </c>
      <c r="AT2542" s="23"/>
      <c r="AU2542" s="14" t="str">
        <f>HYPERLINK("http://www.openstreetmap.org/?mlat=31.2795&amp;mlon=45.2629&amp;zoom=12#map=12/31.2795/45.2629","Maplink1")</f>
        <v>Maplink1</v>
      </c>
      <c r="AV2542" s="14" t="str">
        <f>HYPERLINK("https://www.google.iq/maps/search/+31.2795,45.2629/@31.2795,45.2629,14z?hl=en","Maplink2")</f>
        <v>Maplink2</v>
      </c>
      <c r="AW2542" s="14" t="str">
        <f>HYPERLINK("http://www.bing.com/maps/?lvl=14&amp;sty=h&amp;cp=31.2795~45.2629&amp;sp=point.31.2795_45.2629_Al Angaa","Maplink3")</f>
        <v>Maplink3</v>
      </c>
    </row>
    <row r="2543" spans="1:49" ht="15" customHeight="1" x14ac:dyDescent="0.25">
      <c r="A2543" s="21">
        <v>25430</v>
      </c>
      <c r="B2543" s="22" t="s">
        <v>19</v>
      </c>
      <c r="C2543" s="22" t="s">
        <v>4919</v>
      </c>
      <c r="D2543" s="22" t="s">
        <v>4914</v>
      </c>
      <c r="E2543" s="22" t="s">
        <v>1975</v>
      </c>
      <c r="F2543" s="22">
        <v>31.336334999999998</v>
      </c>
      <c r="G2543" s="22">
        <v>45.296227000000002</v>
      </c>
      <c r="H2543" s="21" t="s">
        <v>4865</v>
      </c>
      <c r="I2543" s="21" t="s">
        <v>4921</v>
      </c>
      <c r="J2543" s="21"/>
      <c r="K2543" s="24">
        <v>28</v>
      </c>
      <c r="L2543" s="24">
        <v>168</v>
      </c>
      <c r="M2543" s="23">
        <v>6</v>
      </c>
      <c r="N2543" s="23"/>
      <c r="O2543" s="23"/>
      <c r="P2543" s="23"/>
      <c r="Q2543" s="23"/>
      <c r="R2543" s="23">
        <v>3</v>
      </c>
      <c r="S2543" s="23"/>
      <c r="T2543" s="23"/>
      <c r="U2543" s="23"/>
      <c r="V2543" s="23"/>
      <c r="W2543" s="23"/>
      <c r="X2543" s="23"/>
      <c r="Y2543" s="23">
        <v>18</v>
      </c>
      <c r="Z2543" s="23"/>
      <c r="AA2543" s="23">
        <v>1</v>
      </c>
      <c r="AB2543" s="23"/>
      <c r="AC2543" s="23"/>
      <c r="AD2543" s="23"/>
      <c r="AE2543" s="23"/>
      <c r="AF2543" s="23">
        <v>16</v>
      </c>
      <c r="AG2543" s="23"/>
      <c r="AH2543" s="23"/>
      <c r="AI2543" s="23"/>
      <c r="AJ2543" s="23"/>
      <c r="AK2543" s="23">
        <v>12</v>
      </c>
      <c r="AL2543" s="23"/>
      <c r="AM2543" s="23"/>
      <c r="AN2543" s="23"/>
      <c r="AO2543" s="23"/>
      <c r="AP2543" s="23">
        <v>6</v>
      </c>
      <c r="AQ2543" s="23">
        <v>12</v>
      </c>
      <c r="AR2543" s="23">
        <v>6</v>
      </c>
      <c r="AS2543" s="23">
        <v>4</v>
      </c>
      <c r="AT2543" s="23"/>
      <c r="AU2543" s="14" t="str">
        <f>HYPERLINK("http://www.openstreetmap.org/?mlat=31.3363&amp;mlon=45.2962&amp;zoom=12#map=12/31.3363/45.2962","Maplink1")</f>
        <v>Maplink1</v>
      </c>
      <c r="AV2543" s="14" t="str">
        <f>HYPERLINK("https://www.google.iq/maps/search/+31.3363,45.2962/@31.3363,45.2962,14z?hl=en","Maplink2")</f>
        <v>Maplink2</v>
      </c>
      <c r="AW2543" s="14" t="str">
        <f>HYPERLINK("http://www.bing.com/maps/?lvl=14&amp;sty=h&amp;cp=31.3363~45.2962&amp;sp=point.31.3363_45.2962_Al Zahra","Maplink3")</f>
        <v>Maplink3</v>
      </c>
    </row>
    <row r="2544" spans="1:49" ht="15" customHeight="1" x14ac:dyDescent="0.25">
      <c r="A2544" s="21">
        <v>1492</v>
      </c>
      <c r="B2544" s="22" t="s">
        <v>19</v>
      </c>
      <c r="C2544" s="22" t="s">
        <v>4919</v>
      </c>
      <c r="D2544" s="22" t="s">
        <v>4937</v>
      </c>
      <c r="E2544" s="22" t="s">
        <v>4938</v>
      </c>
      <c r="F2544" s="22">
        <v>31.306944000000001</v>
      </c>
      <c r="G2544" s="22">
        <v>45.283332999999999</v>
      </c>
      <c r="H2544" s="21" t="s">
        <v>4865</v>
      </c>
      <c r="I2544" s="21" t="s">
        <v>4921</v>
      </c>
      <c r="J2544" s="21" t="s">
        <v>4939</v>
      </c>
      <c r="K2544" s="24">
        <v>20</v>
      </c>
      <c r="L2544" s="24">
        <v>120</v>
      </c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>
        <v>20</v>
      </c>
      <c r="Z2544" s="23"/>
      <c r="AA2544" s="23"/>
      <c r="AB2544" s="23"/>
      <c r="AC2544" s="23"/>
      <c r="AD2544" s="23"/>
      <c r="AE2544" s="23"/>
      <c r="AF2544" s="23">
        <v>12</v>
      </c>
      <c r="AG2544" s="23"/>
      <c r="AH2544" s="23"/>
      <c r="AI2544" s="23"/>
      <c r="AJ2544" s="23"/>
      <c r="AK2544" s="23">
        <v>8</v>
      </c>
      <c r="AL2544" s="23"/>
      <c r="AM2544" s="23"/>
      <c r="AN2544" s="23"/>
      <c r="AO2544" s="23"/>
      <c r="AP2544" s="23">
        <v>6</v>
      </c>
      <c r="AQ2544" s="23">
        <v>14</v>
      </c>
      <c r="AR2544" s="23"/>
      <c r="AS2544" s="23"/>
      <c r="AT2544" s="23"/>
      <c r="AU2544" s="14" t="str">
        <f>HYPERLINK("http://www.openstreetmap.org/?mlat=31.3069&amp;mlon=45.2833&amp;zoom=12#map=12/31.3069/45.2833","Maplink1")</f>
        <v>Maplink1</v>
      </c>
      <c r="AV2544" s="14" t="str">
        <f>HYPERLINK("https://www.google.iq/maps/search/+31.3069,45.2833/@31.3069,45.2833,14z?hl=en","Maplink2")</f>
        <v>Maplink2</v>
      </c>
      <c r="AW2544" s="14" t="str">
        <f>HYPERLINK("http://www.bing.com/maps/?lvl=14&amp;sty=h&amp;cp=31.3069~45.2833&amp;sp=point.31.3069_45.2833_Al-haydariyah","Maplink3")</f>
        <v>Maplink3</v>
      </c>
    </row>
    <row r="2545" spans="1:49" ht="15" customHeight="1" x14ac:dyDescent="0.25">
      <c r="A2545" s="21">
        <v>1596</v>
      </c>
      <c r="B2545" s="22" t="s">
        <v>19</v>
      </c>
      <c r="C2545" s="22" t="s">
        <v>4919</v>
      </c>
      <c r="D2545" s="22" t="s">
        <v>4940</v>
      </c>
      <c r="E2545" s="22" t="s">
        <v>4941</v>
      </c>
      <c r="F2545" s="22">
        <v>31.316922000000002</v>
      </c>
      <c r="G2545" s="22">
        <v>45.289329000000002</v>
      </c>
      <c r="H2545" s="21" t="s">
        <v>4865</v>
      </c>
      <c r="I2545" s="21" t="s">
        <v>4921</v>
      </c>
      <c r="J2545" s="21" t="s">
        <v>4942</v>
      </c>
      <c r="K2545" s="24">
        <v>27</v>
      </c>
      <c r="L2545" s="24">
        <v>162</v>
      </c>
      <c r="M2545" s="23">
        <v>9</v>
      </c>
      <c r="N2545" s="23"/>
      <c r="O2545" s="23">
        <v>5</v>
      </c>
      <c r="P2545" s="23"/>
      <c r="Q2545" s="23"/>
      <c r="R2545" s="23">
        <v>1</v>
      </c>
      <c r="S2545" s="23"/>
      <c r="T2545" s="23"/>
      <c r="U2545" s="23"/>
      <c r="V2545" s="23"/>
      <c r="W2545" s="23"/>
      <c r="X2545" s="23"/>
      <c r="Y2545" s="23">
        <v>10</v>
      </c>
      <c r="Z2545" s="23"/>
      <c r="AA2545" s="23">
        <v>2</v>
      </c>
      <c r="AB2545" s="23"/>
      <c r="AC2545" s="23"/>
      <c r="AD2545" s="23"/>
      <c r="AE2545" s="23"/>
      <c r="AF2545" s="23">
        <v>1</v>
      </c>
      <c r="AG2545" s="23"/>
      <c r="AH2545" s="23"/>
      <c r="AI2545" s="23"/>
      <c r="AJ2545" s="23"/>
      <c r="AK2545" s="23">
        <v>26</v>
      </c>
      <c r="AL2545" s="23"/>
      <c r="AM2545" s="23"/>
      <c r="AN2545" s="23"/>
      <c r="AO2545" s="23">
        <v>10</v>
      </c>
      <c r="AP2545" s="23">
        <v>7</v>
      </c>
      <c r="AQ2545" s="23">
        <v>3</v>
      </c>
      <c r="AR2545" s="23">
        <v>2</v>
      </c>
      <c r="AS2545" s="23">
        <v>5</v>
      </c>
      <c r="AT2545" s="23"/>
      <c r="AU2545" s="14" t="str">
        <f>HYPERLINK("http://www.openstreetmap.org/?mlat=31.3169&amp;mlon=45.2893&amp;zoom=12#map=12/31.3169/45.2893","Maplink1")</f>
        <v>Maplink1</v>
      </c>
      <c r="AV2545" s="14" t="str">
        <f>HYPERLINK("https://www.google.iq/maps/search/+31.3169,45.2893/@31.3169,45.2893,14z?hl=en","Maplink2")</f>
        <v>Maplink2</v>
      </c>
      <c r="AW2545" s="14" t="str">
        <f>HYPERLINK("http://www.bing.com/maps/?lvl=14&amp;sty=h&amp;cp=31.3169~45.2893&amp;sp=point.31.3169_45.2893_Al-Qushlah","Maplink3")</f>
        <v>Maplink3</v>
      </c>
    </row>
    <row r="2546" spans="1:49" ht="15" customHeight="1" x14ac:dyDescent="0.25">
      <c r="A2546" s="21">
        <v>2033</v>
      </c>
      <c r="B2546" s="22" t="s">
        <v>19</v>
      </c>
      <c r="C2546" s="22" t="s">
        <v>4919</v>
      </c>
      <c r="D2546" s="22" t="s">
        <v>4943</v>
      </c>
      <c r="E2546" s="22" t="s">
        <v>4944</v>
      </c>
      <c r="F2546" s="22">
        <v>31.283975999999999</v>
      </c>
      <c r="G2546" s="22">
        <v>45.278807999999998</v>
      </c>
      <c r="H2546" s="21" t="s">
        <v>4865</v>
      </c>
      <c r="I2546" s="21" t="s">
        <v>4921</v>
      </c>
      <c r="J2546" s="21" t="s">
        <v>4945</v>
      </c>
      <c r="K2546" s="24">
        <v>18</v>
      </c>
      <c r="L2546" s="24">
        <v>108</v>
      </c>
      <c r="M2546" s="23">
        <v>6</v>
      </c>
      <c r="N2546" s="23"/>
      <c r="O2546" s="23"/>
      <c r="P2546" s="23"/>
      <c r="Q2546" s="23"/>
      <c r="R2546" s="23"/>
      <c r="S2546" s="23"/>
      <c r="T2546" s="23"/>
      <c r="U2546" s="23">
        <v>1</v>
      </c>
      <c r="V2546" s="23"/>
      <c r="W2546" s="23"/>
      <c r="X2546" s="23"/>
      <c r="Y2546" s="23">
        <v>9</v>
      </c>
      <c r="Z2546" s="23"/>
      <c r="AA2546" s="23">
        <v>2</v>
      </c>
      <c r="AB2546" s="23"/>
      <c r="AC2546" s="23"/>
      <c r="AD2546" s="23"/>
      <c r="AE2546" s="23"/>
      <c r="AF2546" s="23">
        <v>3</v>
      </c>
      <c r="AG2546" s="23"/>
      <c r="AH2546" s="23"/>
      <c r="AI2546" s="23"/>
      <c r="AJ2546" s="23"/>
      <c r="AK2546" s="23">
        <v>15</v>
      </c>
      <c r="AL2546" s="23"/>
      <c r="AM2546" s="23"/>
      <c r="AN2546" s="23"/>
      <c r="AO2546" s="23">
        <v>2</v>
      </c>
      <c r="AP2546" s="23">
        <v>3</v>
      </c>
      <c r="AQ2546" s="23">
        <v>4</v>
      </c>
      <c r="AR2546" s="23">
        <v>3</v>
      </c>
      <c r="AS2546" s="23">
        <v>6</v>
      </c>
      <c r="AT2546" s="23"/>
      <c r="AU2546" s="14" t="str">
        <f>HYPERLINK("http://www.openstreetmap.org/?mlat=31.284&amp;mlon=45.2788&amp;zoom=12#map=12/31.284/45.2788","Maplink1")</f>
        <v>Maplink1</v>
      </c>
      <c r="AV2546" s="14" t="str">
        <f>HYPERLINK("https://www.google.iq/maps/search/+31.284,45.2788/@31.284,45.2788,14z?hl=en","Maplink2")</f>
        <v>Maplink2</v>
      </c>
      <c r="AW2546" s="14" t="str">
        <f>HYPERLINK("http://www.bing.com/maps/?lvl=14&amp;sty=h&amp;cp=31.284~45.2788&amp;sp=point.31.284_45.2788_Al-Samawa-Al Maaly","Maplink3")</f>
        <v>Maplink3</v>
      </c>
    </row>
    <row r="2547" spans="1:49" ht="15" customHeight="1" x14ac:dyDescent="0.25">
      <c r="A2547" s="21">
        <v>1480</v>
      </c>
      <c r="B2547" s="22" t="s">
        <v>19</v>
      </c>
      <c r="C2547" s="22" t="s">
        <v>4919</v>
      </c>
      <c r="D2547" s="22" t="s">
        <v>4946</v>
      </c>
      <c r="E2547" s="22" t="s">
        <v>120</v>
      </c>
      <c r="F2547" s="22">
        <v>31.299861</v>
      </c>
      <c r="G2547" s="22">
        <v>45.260677000000001</v>
      </c>
      <c r="H2547" s="21" t="s">
        <v>4865</v>
      </c>
      <c r="I2547" s="21" t="s">
        <v>4921</v>
      </c>
      <c r="J2547" s="21" t="s">
        <v>4947</v>
      </c>
      <c r="K2547" s="24">
        <v>37</v>
      </c>
      <c r="L2547" s="24">
        <v>222</v>
      </c>
      <c r="M2547" s="23">
        <v>33</v>
      </c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2</v>
      </c>
      <c r="Z2547" s="23"/>
      <c r="AA2547" s="23">
        <v>2</v>
      </c>
      <c r="AB2547" s="23"/>
      <c r="AC2547" s="23"/>
      <c r="AD2547" s="23"/>
      <c r="AE2547" s="23"/>
      <c r="AF2547" s="23">
        <v>13</v>
      </c>
      <c r="AG2547" s="23"/>
      <c r="AH2547" s="23"/>
      <c r="AI2547" s="23"/>
      <c r="AJ2547" s="23">
        <v>1</v>
      </c>
      <c r="AK2547" s="23">
        <v>23</v>
      </c>
      <c r="AL2547" s="23"/>
      <c r="AM2547" s="23"/>
      <c r="AN2547" s="23"/>
      <c r="AO2547" s="23">
        <v>2</v>
      </c>
      <c r="AP2547" s="23">
        <v>3</v>
      </c>
      <c r="AQ2547" s="23">
        <v>2</v>
      </c>
      <c r="AR2547" s="23">
        <v>17</v>
      </c>
      <c r="AS2547" s="23">
        <v>13</v>
      </c>
      <c r="AT2547" s="23"/>
      <c r="AU2547" s="14" t="str">
        <f>HYPERLINK("http://www.openstreetmap.org/?mlat=31.2999&amp;mlon=45.2607&amp;zoom=12#map=12/31.2999/45.2607","Maplink1")</f>
        <v>Maplink1</v>
      </c>
      <c r="AV2547" s="14" t="str">
        <f>HYPERLINK("https://www.google.iq/maps/search/+31.2999,45.2607/@31.2999,45.2607,14z?hl=en","Maplink2")</f>
        <v>Maplink2</v>
      </c>
      <c r="AW2547" s="14" t="str">
        <f>HYPERLINK("http://www.bing.com/maps/?lvl=14&amp;sty=h&amp;cp=31.2999~45.2607&amp;sp=point.31.2999_45.2607_Al-Samawa-Al-Hay Al-Askary","Maplink3")</f>
        <v>Maplink3</v>
      </c>
    </row>
    <row r="2548" spans="1:49" ht="15" customHeight="1" x14ac:dyDescent="0.25">
      <c r="A2548" s="21">
        <v>25784</v>
      </c>
      <c r="B2548" s="22" t="s">
        <v>19</v>
      </c>
      <c r="C2548" s="22" t="s">
        <v>4919</v>
      </c>
      <c r="D2548" s="22" t="s">
        <v>4948</v>
      </c>
      <c r="E2548" s="22" t="s">
        <v>4949</v>
      </c>
      <c r="F2548" s="22">
        <v>31.298484999999999</v>
      </c>
      <c r="G2548" s="22">
        <v>45.274168000000003</v>
      </c>
      <c r="H2548" s="21" t="s">
        <v>4865</v>
      </c>
      <c r="I2548" s="21" t="s">
        <v>4921</v>
      </c>
      <c r="J2548" s="21"/>
      <c r="K2548" s="24">
        <v>13</v>
      </c>
      <c r="L2548" s="24">
        <v>78</v>
      </c>
      <c r="M2548" s="23">
        <v>4</v>
      </c>
      <c r="N2548" s="23"/>
      <c r="O2548" s="23">
        <v>1</v>
      </c>
      <c r="P2548" s="23"/>
      <c r="Q2548" s="23"/>
      <c r="R2548" s="23"/>
      <c r="S2548" s="23"/>
      <c r="T2548" s="23"/>
      <c r="U2548" s="23">
        <v>1</v>
      </c>
      <c r="V2548" s="23"/>
      <c r="W2548" s="23"/>
      <c r="X2548" s="23"/>
      <c r="Y2548" s="23">
        <v>7</v>
      </c>
      <c r="Z2548" s="23"/>
      <c r="AA2548" s="23"/>
      <c r="AB2548" s="23"/>
      <c r="AC2548" s="23"/>
      <c r="AD2548" s="23"/>
      <c r="AE2548" s="23"/>
      <c r="AF2548" s="23">
        <v>2</v>
      </c>
      <c r="AG2548" s="23"/>
      <c r="AH2548" s="23"/>
      <c r="AI2548" s="23"/>
      <c r="AJ2548" s="23"/>
      <c r="AK2548" s="23">
        <v>11</v>
      </c>
      <c r="AL2548" s="23"/>
      <c r="AM2548" s="23"/>
      <c r="AN2548" s="23"/>
      <c r="AO2548" s="23"/>
      <c r="AP2548" s="23">
        <v>2</v>
      </c>
      <c r="AQ2548" s="23">
        <v>5</v>
      </c>
      <c r="AR2548" s="23">
        <v>3</v>
      </c>
      <c r="AS2548" s="23">
        <v>2</v>
      </c>
      <c r="AT2548" s="23">
        <v>1</v>
      </c>
      <c r="AU2548" s="14" t="str">
        <f>HYPERLINK("http://www.openstreetmap.org/?mlat=31.2985&amp;mlon=45.2742&amp;zoom=12#map=12/31.2985/45.2742","Maplink1")</f>
        <v>Maplink1</v>
      </c>
      <c r="AV2548" s="14" t="str">
        <f>HYPERLINK("https://www.google.iq/maps/search/+31.2985,45.2742/@31.2985,45.2742,14z?hl=en","Maplink2")</f>
        <v>Maplink2</v>
      </c>
      <c r="AW2548" s="14" t="str">
        <f>HYPERLINK("http://www.bing.com/maps/?lvl=14&amp;sty=h&amp;cp=31.2985~45.2742&amp;sp=point.31.2985_45.2742_Al-Samawa-Hay Al-Hakim","Maplink3")</f>
        <v>Maplink3</v>
      </c>
    </row>
    <row r="2549" spans="1:49" ht="15" customHeight="1" x14ac:dyDescent="0.25">
      <c r="A2549" s="21">
        <v>21433</v>
      </c>
      <c r="B2549" s="22" t="s">
        <v>19</v>
      </c>
      <c r="C2549" s="22" t="s">
        <v>4919</v>
      </c>
      <c r="D2549" s="22" t="s">
        <v>4950</v>
      </c>
      <c r="E2549" s="22" t="s">
        <v>129</v>
      </c>
      <c r="F2549" s="22">
        <v>31.308478000000001</v>
      </c>
      <c r="G2549" s="22">
        <v>45.296776000000001</v>
      </c>
      <c r="H2549" s="21" t="s">
        <v>4865</v>
      </c>
      <c r="I2549" s="21" t="s">
        <v>4921</v>
      </c>
      <c r="J2549" s="21" t="s">
        <v>4951</v>
      </c>
      <c r="K2549" s="24">
        <v>11</v>
      </c>
      <c r="L2549" s="24">
        <v>66</v>
      </c>
      <c r="M2549" s="23"/>
      <c r="N2549" s="23"/>
      <c r="O2549" s="23">
        <v>2</v>
      </c>
      <c r="P2549" s="23"/>
      <c r="Q2549" s="23"/>
      <c r="R2549" s="23"/>
      <c r="S2549" s="23"/>
      <c r="T2549" s="23"/>
      <c r="U2549" s="23"/>
      <c r="V2549" s="23"/>
      <c r="W2549" s="23"/>
      <c r="X2549" s="23"/>
      <c r="Y2549" s="23">
        <v>9</v>
      </c>
      <c r="Z2549" s="23"/>
      <c r="AA2549" s="23"/>
      <c r="AB2549" s="23"/>
      <c r="AC2549" s="23"/>
      <c r="AD2549" s="23"/>
      <c r="AE2549" s="23"/>
      <c r="AF2549" s="23">
        <v>3</v>
      </c>
      <c r="AG2549" s="23"/>
      <c r="AH2549" s="23"/>
      <c r="AI2549" s="23"/>
      <c r="AJ2549" s="23"/>
      <c r="AK2549" s="23">
        <v>8</v>
      </c>
      <c r="AL2549" s="23"/>
      <c r="AM2549" s="23"/>
      <c r="AN2549" s="23"/>
      <c r="AO2549" s="23">
        <v>2</v>
      </c>
      <c r="AP2549" s="23"/>
      <c r="AQ2549" s="23">
        <v>9</v>
      </c>
      <c r="AR2549" s="23"/>
      <c r="AS2549" s="23"/>
      <c r="AT2549" s="23"/>
      <c r="AU2549" s="14" t="str">
        <f>HYPERLINK("http://www.openstreetmap.org/?mlat=31.3085&amp;mlon=45.2968&amp;zoom=12#map=12/31.3085/45.2968","Maplink1")</f>
        <v>Maplink1</v>
      </c>
      <c r="AV2549" s="14" t="str">
        <f>HYPERLINK("https://www.google.iq/maps/search/+31.3085,45.2968/@31.3085,45.2968,14z?hl=en","Maplink2")</f>
        <v>Maplink2</v>
      </c>
      <c r="AW2549" s="14" t="str">
        <f>HYPERLINK("http://www.bing.com/maps/?lvl=14&amp;sty=h&amp;cp=31.3085~45.2968&amp;sp=point.31.3085_45.2968_Al-Shuhada","Maplink3")</f>
        <v>Maplink3</v>
      </c>
    </row>
    <row r="2550" spans="1:49" ht="15" customHeight="1" x14ac:dyDescent="0.25">
      <c r="A2550" s="21">
        <v>1562</v>
      </c>
      <c r="B2550" s="22" t="s">
        <v>19</v>
      </c>
      <c r="C2550" s="22" t="s">
        <v>4919</v>
      </c>
      <c r="D2550" s="22" t="s">
        <v>4952</v>
      </c>
      <c r="E2550" s="22" t="s">
        <v>4953</v>
      </c>
      <c r="F2550" s="22">
        <v>31.296617000000001</v>
      </c>
      <c r="G2550" s="22">
        <v>45.265380999999998</v>
      </c>
      <c r="H2550" s="21" t="s">
        <v>4865</v>
      </c>
      <c r="I2550" s="21" t="s">
        <v>4921</v>
      </c>
      <c r="J2550" s="21" t="s">
        <v>4954</v>
      </c>
      <c r="K2550" s="24">
        <v>8</v>
      </c>
      <c r="L2550" s="24">
        <v>48</v>
      </c>
      <c r="M2550" s="23">
        <v>5</v>
      </c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>
        <v>3</v>
      </c>
      <c r="Z2550" s="23"/>
      <c r="AA2550" s="23"/>
      <c r="AB2550" s="23"/>
      <c r="AC2550" s="23"/>
      <c r="AD2550" s="23"/>
      <c r="AE2550" s="23"/>
      <c r="AF2550" s="23">
        <v>4</v>
      </c>
      <c r="AG2550" s="23"/>
      <c r="AH2550" s="23"/>
      <c r="AI2550" s="23"/>
      <c r="AJ2550" s="23"/>
      <c r="AK2550" s="23">
        <v>4</v>
      </c>
      <c r="AL2550" s="23"/>
      <c r="AM2550" s="23"/>
      <c r="AN2550" s="23"/>
      <c r="AO2550" s="23">
        <v>1</v>
      </c>
      <c r="AP2550" s="23"/>
      <c r="AQ2550" s="23">
        <v>3</v>
      </c>
      <c r="AR2550" s="23">
        <v>3</v>
      </c>
      <c r="AS2550" s="23">
        <v>1</v>
      </c>
      <c r="AT2550" s="23"/>
      <c r="AU2550" s="14" t="str">
        <f>HYPERLINK("http://www.openstreetmap.org/?mlat=31.2966&amp;mlon=45.2654&amp;zoom=12#map=12/31.2966/45.2654","Maplink1")</f>
        <v>Maplink1</v>
      </c>
      <c r="AV2550" s="14" t="str">
        <f>HYPERLINK("https://www.google.iq/maps/search/+31.2966,45.2654/@31.2966,45.2654,14z?hl=en","Maplink2")</f>
        <v>Maplink2</v>
      </c>
      <c r="AW2550" s="14" t="str">
        <f>HYPERLINK("http://www.bing.com/maps/?lvl=14&amp;sty=h&amp;cp=31.2966~45.2654&amp;sp=point.31.2966_45.2654_Hay 270 Dar","Maplink3")</f>
        <v>Maplink3</v>
      </c>
    </row>
    <row r="2551" spans="1:49" ht="15" customHeight="1" x14ac:dyDescent="0.25">
      <c r="A2551" s="21">
        <v>2045</v>
      </c>
      <c r="B2551" s="22" t="s">
        <v>19</v>
      </c>
      <c r="C2551" s="22" t="s">
        <v>4919</v>
      </c>
      <c r="D2551" s="22" t="s">
        <v>4955</v>
      </c>
      <c r="E2551" s="22" t="s">
        <v>4956</v>
      </c>
      <c r="F2551" s="22">
        <v>31.307264</v>
      </c>
      <c r="G2551" s="22">
        <v>45.311123000000002</v>
      </c>
      <c r="H2551" s="21" t="s">
        <v>4865</v>
      </c>
      <c r="I2551" s="21" t="s">
        <v>4921</v>
      </c>
      <c r="J2551" s="21" t="s">
        <v>4957</v>
      </c>
      <c r="K2551" s="24">
        <v>20</v>
      </c>
      <c r="L2551" s="24">
        <v>120</v>
      </c>
      <c r="M2551" s="23">
        <v>18</v>
      </c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>
        <v>2</v>
      </c>
      <c r="Z2551" s="23"/>
      <c r="AA2551" s="23"/>
      <c r="AB2551" s="23"/>
      <c r="AC2551" s="23"/>
      <c r="AD2551" s="23"/>
      <c r="AE2551" s="23"/>
      <c r="AF2551" s="23">
        <v>6</v>
      </c>
      <c r="AG2551" s="23"/>
      <c r="AH2551" s="23"/>
      <c r="AI2551" s="23"/>
      <c r="AJ2551" s="23"/>
      <c r="AK2551" s="23">
        <v>4</v>
      </c>
      <c r="AL2551" s="23">
        <v>10</v>
      </c>
      <c r="AM2551" s="23"/>
      <c r="AN2551" s="23"/>
      <c r="AO2551" s="23"/>
      <c r="AP2551" s="23"/>
      <c r="AQ2551" s="23"/>
      <c r="AR2551" s="23">
        <v>11</v>
      </c>
      <c r="AS2551" s="23">
        <v>9</v>
      </c>
      <c r="AT2551" s="23"/>
      <c r="AU2551" s="14" t="str">
        <f>HYPERLINK("http://www.openstreetmap.org/?mlat=31.3073&amp;mlon=45.3111&amp;zoom=12#map=12/31.3073/45.3111","Maplink1")</f>
        <v>Maplink1</v>
      </c>
      <c r="AV2551" s="14" t="str">
        <f>HYPERLINK("https://www.google.iq/maps/search/+31.3073,45.3111/@31.3073,45.3111,14z?hl=en","Maplink2")</f>
        <v>Maplink2</v>
      </c>
      <c r="AW2551" s="14" t="str">
        <f>HYPERLINK("http://www.bing.com/maps/?lvl=14&amp;sty=h&amp;cp=31.3073~45.3111&amp;sp=point.31.3073_45.3111_Hay 9 Nissan","Maplink3")</f>
        <v>Maplink3</v>
      </c>
    </row>
    <row r="2552" spans="1:49" ht="15" customHeight="1" x14ac:dyDescent="0.25">
      <c r="A2552" s="21">
        <v>1570</v>
      </c>
      <c r="B2552" s="22" t="s">
        <v>19</v>
      </c>
      <c r="C2552" s="22" t="s">
        <v>4919</v>
      </c>
      <c r="D2552" s="22" t="s">
        <v>4958</v>
      </c>
      <c r="E2552" s="22" t="s">
        <v>4959</v>
      </c>
      <c r="F2552" s="22">
        <v>31.309087999999999</v>
      </c>
      <c r="G2552" s="22">
        <v>45.275356000000002</v>
      </c>
      <c r="H2552" s="21" t="s">
        <v>4865</v>
      </c>
      <c r="I2552" s="21" t="s">
        <v>4921</v>
      </c>
      <c r="J2552" s="21" t="s">
        <v>4960</v>
      </c>
      <c r="K2552" s="24">
        <v>13</v>
      </c>
      <c r="L2552" s="24">
        <v>78</v>
      </c>
      <c r="M2552" s="23">
        <v>2</v>
      </c>
      <c r="N2552" s="23"/>
      <c r="O2552" s="23"/>
      <c r="P2552" s="23"/>
      <c r="Q2552" s="23"/>
      <c r="R2552" s="23"/>
      <c r="S2552" s="23"/>
      <c r="T2552" s="23"/>
      <c r="U2552" s="23">
        <v>1</v>
      </c>
      <c r="V2552" s="23"/>
      <c r="W2552" s="23"/>
      <c r="X2552" s="23"/>
      <c r="Y2552" s="23">
        <v>10</v>
      </c>
      <c r="Z2552" s="23"/>
      <c r="AA2552" s="23"/>
      <c r="AB2552" s="23"/>
      <c r="AC2552" s="23"/>
      <c r="AD2552" s="23"/>
      <c r="AE2552" s="23"/>
      <c r="AF2552" s="23">
        <v>3</v>
      </c>
      <c r="AG2552" s="23"/>
      <c r="AH2552" s="23"/>
      <c r="AI2552" s="23"/>
      <c r="AJ2552" s="23"/>
      <c r="AK2552" s="23">
        <v>10</v>
      </c>
      <c r="AL2552" s="23"/>
      <c r="AM2552" s="23"/>
      <c r="AN2552" s="23"/>
      <c r="AO2552" s="23">
        <v>3</v>
      </c>
      <c r="AP2552" s="23"/>
      <c r="AQ2552" s="23">
        <v>10</v>
      </c>
      <c r="AR2552" s="23"/>
      <c r="AS2552" s="23"/>
      <c r="AT2552" s="23"/>
      <c r="AU2552" s="14" t="str">
        <f>HYPERLINK("http://www.openstreetmap.org/?mlat=31.3091&amp;mlon=45.2754&amp;zoom=12#map=12/31.3091/45.2754","Maplink1")</f>
        <v>Maplink1</v>
      </c>
      <c r="AV2552" s="14" t="str">
        <f>HYPERLINK("https://www.google.iq/maps/search/+31.3091,45.2754/@31.3091,45.2754,14z?hl=en","Maplink2")</f>
        <v>Maplink2</v>
      </c>
      <c r="AW2552" s="14" t="str">
        <f>HYPERLINK("http://www.bing.com/maps/?lvl=14&amp;sty=h&amp;cp=31.3091~45.2754&amp;sp=point.31.3091_45.2754_Hay Al Bani","Maplink3")</f>
        <v>Maplink3</v>
      </c>
    </row>
    <row r="2553" spans="1:49" ht="15" customHeight="1" x14ac:dyDescent="0.25">
      <c r="A2553" s="21">
        <v>29574</v>
      </c>
      <c r="B2553" s="22" t="s">
        <v>19</v>
      </c>
      <c r="C2553" s="22" t="s">
        <v>4919</v>
      </c>
      <c r="D2553" s="22" t="s">
        <v>7483</v>
      </c>
      <c r="E2553" s="22" t="s">
        <v>180</v>
      </c>
      <c r="F2553" s="22">
        <v>31.337778</v>
      </c>
      <c r="G2553" s="22">
        <v>45.273612999999997</v>
      </c>
      <c r="H2553" s="21" t="s">
        <v>4865</v>
      </c>
      <c r="I2553" s="21" t="s">
        <v>4921</v>
      </c>
      <c r="J2553" s="21"/>
      <c r="K2553" s="24">
        <v>4</v>
      </c>
      <c r="L2553" s="24">
        <v>24</v>
      </c>
      <c r="M2553" s="23">
        <v>2</v>
      </c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2</v>
      </c>
      <c r="Z2553" s="23"/>
      <c r="AA2553" s="23"/>
      <c r="AB2553" s="23"/>
      <c r="AC2553" s="23"/>
      <c r="AD2553" s="23"/>
      <c r="AE2553" s="23"/>
      <c r="AF2553" s="23">
        <v>2</v>
      </c>
      <c r="AG2553" s="23"/>
      <c r="AH2553" s="23"/>
      <c r="AI2553" s="23"/>
      <c r="AJ2553" s="23"/>
      <c r="AK2553" s="23">
        <v>2</v>
      </c>
      <c r="AL2553" s="23"/>
      <c r="AM2553" s="23"/>
      <c r="AN2553" s="23"/>
      <c r="AO2553" s="23"/>
      <c r="AP2553" s="23"/>
      <c r="AQ2553" s="23">
        <v>2</v>
      </c>
      <c r="AR2553" s="23"/>
      <c r="AS2553" s="23">
        <v>2</v>
      </c>
      <c r="AT2553" s="23"/>
      <c r="AU2553" s="14" t="str">
        <f>HYPERLINK("http://www.openstreetmap.org/?mlat=31.3378&amp;mlon=45.2736&amp;zoom=12#map=12/31.3378/45.2736","Maplink1")</f>
        <v>Maplink1</v>
      </c>
      <c r="AV2553" s="14" t="str">
        <f>HYPERLINK("https://www.google.iq/maps/search/+31.3378,45.2736/@31.3378,45.2736,14z?hl=en","Maplink2")</f>
        <v>Maplink2</v>
      </c>
      <c r="AW2553" s="14" t="str">
        <f>HYPERLINK("http://www.bing.com/maps/?lvl=14&amp;sty=h&amp;cp=31.3378~45.2736&amp;sp=point.31.3378_45.2736","Maplink3")</f>
        <v>Maplink3</v>
      </c>
    </row>
    <row r="2554" spans="1:49" ht="15" customHeight="1" x14ac:dyDescent="0.25">
      <c r="A2554" s="21">
        <v>2060</v>
      </c>
      <c r="B2554" s="22" t="s">
        <v>19</v>
      </c>
      <c r="C2554" s="22" t="s">
        <v>4919</v>
      </c>
      <c r="D2554" s="22" t="s">
        <v>4961</v>
      </c>
      <c r="E2554" s="22" t="s">
        <v>4962</v>
      </c>
      <c r="F2554" s="22">
        <v>31.313991000000001</v>
      </c>
      <c r="G2554" s="22">
        <v>45.284081999999998</v>
      </c>
      <c r="H2554" s="21"/>
      <c r="I2554" s="21"/>
      <c r="J2554" s="21" t="s">
        <v>4963</v>
      </c>
      <c r="K2554" s="24">
        <v>29</v>
      </c>
      <c r="L2554" s="24">
        <v>174</v>
      </c>
      <c r="M2554" s="23">
        <v>14</v>
      </c>
      <c r="N2554" s="23"/>
      <c r="O2554" s="23"/>
      <c r="P2554" s="23"/>
      <c r="Q2554" s="23"/>
      <c r="R2554" s="23">
        <v>1</v>
      </c>
      <c r="S2554" s="23"/>
      <c r="T2554" s="23"/>
      <c r="U2554" s="23">
        <v>1</v>
      </c>
      <c r="V2554" s="23"/>
      <c r="W2554" s="23"/>
      <c r="X2554" s="23"/>
      <c r="Y2554" s="23">
        <v>13</v>
      </c>
      <c r="Z2554" s="23"/>
      <c r="AA2554" s="23"/>
      <c r="AB2554" s="23"/>
      <c r="AC2554" s="23"/>
      <c r="AD2554" s="23"/>
      <c r="AE2554" s="23"/>
      <c r="AF2554" s="23">
        <v>16</v>
      </c>
      <c r="AG2554" s="23"/>
      <c r="AH2554" s="23"/>
      <c r="AI2554" s="23"/>
      <c r="AJ2554" s="23"/>
      <c r="AK2554" s="23">
        <v>13</v>
      </c>
      <c r="AL2554" s="23"/>
      <c r="AM2554" s="23"/>
      <c r="AN2554" s="23"/>
      <c r="AO2554" s="23"/>
      <c r="AP2554" s="23">
        <v>1</v>
      </c>
      <c r="AQ2554" s="23">
        <v>9</v>
      </c>
      <c r="AR2554" s="23">
        <v>15</v>
      </c>
      <c r="AS2554" s="23">
        <v>4</v>
      </c>
      <c r="AT2554" s="23"/>
      <c r="AU2554" s="14" t="str">
        <f>HYPERLINK("http://www.openstreetmap.org/?mlat=31.314&amp;mlon=45.2841&amp;zoom=12#map=12/31.314/45.2841","Maplink1")</f>
        <v>Maplink1</v>
      </c>
      <c r="AV2554" s="14" t="str">
        <f>HYPERLINK("https://www.google.iq/maps/search/+31.314,45.2841/@31.314,45.2841,14z?hl=en","Maplink2")</f>
        <v>Maplink2</v>
      </c>
      <c r="AW2554" s="14" t="str">
        <f>HYPERLINK("http://www.bing.com/maps/?lvl=14&amp;sty=h&amp;cp=31.314~45.2841&amp;sp=point.31.314_45.2841_Hay Al Gharbi ","Maplink3")</f>
        <v>Maplink3</v>
      </c>
    </row>
    <row r="2555" spans="1:49" ht="15" customHeight="1" x14ac:dyDescent="0.25">
      <c r="A2555" s="21">
        <v>27380</v>
      </c>
      <c r="B2555" s="22" t="s">
        <v>19</v>
      </c>
      <c r="C2555" s="22" t="s">
        <v>4919</v>
      </c>
      <c r="D2555" s="22" t="s">
        <v>4964</v>
      </c>
      <c r="E2555" s="22" t="s">
        <v>4965</v>
      </c>
      <c r="F2555" s="22">
        <v>31.311568000000001</v>
      </c>
      <c r="G2555" s="22">
        <v>45.271839</v>
      </c>
      <c r="H2555" s="21" t="s">
        <v>4865</v>
      </c>
      <c r="I2555" s="21" t="s">
        <v>4921</v>
      </c>
      <c r="J2555" s="21"/>
      <c r="K2555" s="24">
        <v>26</v>
      </c>
      <c r="L2555" s="24">
        <v>156</v>
      </c>
      <c r="M2555" s="23">
        <v>6</v>
      </c>
      <c r="N2555" s="23"/>
      <c r="O2555" s="23"/>
      <c r="P2555" s="23"/>
      <c r="Q2555" s="23"/>
      <c r="R2555" s="23">
        <v>2</v>
      </c>
      <c r="S2555" s="23"/>
      <c r="T2555" s="23"/>
      <c r="U2555" s="23">
        <v>2</v>
      </c>
      <c r="V2555" s="23"/>
      <c r="W2555" s="23"/>
      <c r="X2555" s="23"/>
      <c r="Y2555" s="23">
        <v>12</v>
      </c>
      <c r="Z2555" s="23"/>
      <c r="AA2555" s="23">
        <v>4</v>
      </c>
      <c r="AB2555" s="23"/>
      <c r="AC2555" s="23"/>
      <c r="AD2555" s="23"/>
      <c r="AE2555" s="23"/>
      <c r="AF2555" s="23">
        <v>6</v>
      </c>
      <c r="AG2555" s="23"/>
      <c r="AH2555" s="23"/>
      <c r="AI2555" s="23"/>
      <c r="AJ2555" s="23"/>
      <c r="AK2555" s="23">
        <v>20</v>
      </c>
      <c r="AL2555" s="23"/>
      <c r="AM2555" s="23"/>
      <c r="AN2555" s="23"/>
      <c r="AO2555" s="23">
        <v>3</v>
      </c>
      <c r="AP2555" s="23">
        <v>18</v>
      </c>
      <c r="AQ2555" s="23"/>
      <c r="AR2555" s="23"/>
      <c r="AS2555" s="23">
        <v>5</v>
      </c>
      <c r="AT2555" s="23"/>
      <c r="AU2555" s="14" t="str">
        <f>HYPERLINK("http://www.openstreetmap.org/?mlat=31.3116&amp;mlon=45.2718&amp;zoom=12#map=12/31.3116/45.2718","Maplink1")</f>
        <v>Maplink1</v>
      </c>
      <c r="AV2555" s="14" t="str">
        <f>HYPERLINK("https://www.google.iq/maps/search/+31.3116,45.2718/@31.3116,45.2718,14z?hl=en","Maplink2")</f>
        <v>Maplink2</v>
      </c>
      <c r="AW2555" s="14" t="str">
        <f>HYPERLINK("http://www.bing.com/maps/?lvl=14&amp;sty=h&amp;cp=31.3116~45.2718&amp;sp=point.31.3116_45.2718_Hay Al Jadhan","Maplink3")</f>
        <v>Maplink3</v>
      </c>
    </row>
    <row r="2556" spans="1:49" ht="15" customHeight="1" x14ac:dyDescent="0.25">
      <c r="A2556" s="21">
        <v>2010</v>
      </c>
      <c r="B2556" s="22" t="s">
        <v>19</v>
      </c>
      <c r="C2556" s="22" t="s">
        <v>4919</v>
      </c>
      <c r="D2556" s="22" t="s">
        <v>4966</v>
      </c>
      <c r="E2556" s="22" t="s">
        <v>4967</v>
      </c>
      <c r="F2556" s="22">
        <v>31.339269999999999</v>
      </c>
      <c r="G2556" s="22">
        <v>45.259538999999997</v>
      </c>
      <c r="H2556" s="21" t="s">
        <v>4865</v>
      </c>
      <c r="I2556" s="21" t="s">
        <v>4921</v>
      </c>
      <c r="J2556" s="21" t="s">
        <v>4968</v>
      </c>
      <c r="K2556" s="24">
        <v>15</v>
      </c>
      <c r="L2556" s="24">
        <v>90</v>
      </c>
      <c r="M2556" s="23">
        <v>7</v>
      </c>
      <c r="N2556" s="23"/>
      <c r="O2556" s="23"/>
      <c r="P2556" s="23"/>
      <c r="Q2556" s="23"/>
      <c r="R2556" s="23">
        <v>2</v>
      </c>
      <c r="S2556" s="23"/>
      <c r="T2556" s="23"/>
      <c r="U2556" s="23"/>
      <c r="V2556" s="23"/>
      <c r="W2556" s="23"/>
      <c r="X2556" s="23"/>
      <c r="Y2556" s="23">
        <v>4</v>
      </c>
      <c r="Z2556" s="23"/>
      <c r="AA2556" s="23">
        <v>2</v>
      </c>
      <c r="AB2556" s="23"/>
      <c r="AC2556" s="23"/>
      <c r="AD2556" s="23"/>
      <c r="AE2556" s="23"/>
      <c r="AF2556" s="23">
        <v>5</v>
      </c>
      <c r="AG2556" s="23"/>
      <c r="AH2556" s="23"/>
      <c r="AI2556" s="23"/>
      <c r="AJ2556" s="23"/>
      <c r="AK2556" s="23">
        <v>10</v>
      </c>
      <c r="AL2556" s="23"/>
      <c r="AM2556" s="23"/>
      <c r="AN2556" s="23"/>
      <c r="AO2556" s="23"/>
      <c r="AP2556" s="23">
        <v>2</v>
      </c>
      <c r="AQ2556" s="23">
        <v>2</v>
      </c>
      <c r="AR2556" s="23">
        <v>6</v>
      </c>
      <c r="AS2556" s="23">
        <v>5</v>
      </c>
      <c r="AT2556" s="23"/>
      <c r="AU2556" s="14" t="str">
        <f>HYPERLINK("http://www.openstreetmap.org/?mlat=31.3393&amp;mlon=45.2595&amp;zoom=12#map=12/31.3393/45.2595","Maplink1")</f>
        <v>Maplink1</v>
      </c>
      <c r="AV2556" s="14" t="str">
        <f>HYPERLINK("https://www.google.iq/maps/search/+31.3393,45.2595/@31.3393,45.2595,14z?hl=en","Maplink2")</f>
        <v>Maplink2</v>
      </c>
      <c r="AW2556" s="14" t="str">
        <f>HYPERLINK("http://www.bing.com/maps/?lvl=14&amp;sty=h&amp;cp=31.3393~45.2595&amp;sp=point.31.3393_45.2595_Hay Al Jarboaia","Maplink3")</f>
        <v>Maplink3</v>
      </c>
    </row>
    <row r="2557" spans="1:49" ht="15" customHeight="1" x14ac:dyDescent="0.25">
      <c r="A2557" s="21">
        <v>29572</v>
      </c>
      <c r="B2557" s="22" t="s">
        <v>19</v>
      </c>
      <c r="C2557" s="22" t="s">
        <v>4919</v>
      </c>
      <c r="D2557" s="22" t="s">
        <v>7484</v>
      </c>
      <c r="E2557" s="22" t="s">
        <v>879</v>
      </c>
      <c r="F2557" s="22">
        <v>31.303329999999999</v>
      </c>
      <c r="G2557" s="22">
        <v>45.276668999999998</v>
      </c>
      <c r="H2557" s="21" t="s">
        <v>4865</v>
      </c>
      <c r="I2557" s="21" t="s">
        <v>4921</v>
      </c>
      <c r="J2557" s="21"/>
      <c r="K2557" s="24">
        <v>1</v>
      </c>
      <c r="L2557" s="24">
        <v>6</v>
      </c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>
        <v>1</v>
      </c>
      <c r="Z2557" s="23"/>
      <c r="AA2557" s="23"/>
      <c r="AB2557" s="23"/>
      <c r="AC2557" s="23"/>
      <c r="AD2557" s="23"/>
      <c r="AE2557" s="23"/>
      <c r="AF2557" s="23">
        <v>1</v>
      </c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23">
        <v>1</v>
      </c>
      <c r="AS2557" s="23"/>
      <c r="AT2557" s="23"/>
      <c r="AU2557" s="14" t="str">
        <f>HYPERLINK("http://www.openstreetmap.org/?mlat=31.3033&amp;mlon=45.2767&amp;zoom=12#map=12/31.3033/45.2767","Maplink1")</f>
        <v>Maplink1</v>
      </c>
      <c r="AV2557" s="14" t="str">
        <f>HYPERLINK("https://www.google.iq/maps/search/+31.3033,45.2767/@31.3033,45.2767,14z?hl=en","Maplink2")</f>
        <v>Maplink2</v>
      </c>
      <c r="AW2557" s="14" t="str">
        <f>HYPERLINK("http://www.bing.com/maps/?lvl=14&amp;sty=h&amp;cp=31.3033~45.2767&amp;sp=point.31.3033_45.2767","Maplink3")</f>
        <v>Maplink3</v>
      </c>
    </row>
    <row r="2558" spans="1:49" ht="15" customHeight="1" x14ac:dyDescent="0.25">
      <c r="A2558" s="21">
        <v>27232</v>
      </c>
      <c r="B2558" s="22" t="s">
        <v>19</v>
      </c>
      <c r="C2558" s="22" t="s">
        <v>4919</v>
      </c>
      <c r="D2558" s="22" t="s">
        <v>4969</v>
      </c>
      <c r="E2558" s="22" t="s">
        <v>4885</v>
      </c>
      <c r="F2558" s="22">
        <v>31.330020999999999</v>
      </c>
      <c r="G2558" s="22">
        <v>45.415458000000001</v>
      </c>
      <c r="H2558" s="21"/>
      <c r="I2558" s="21"/>
      <c r="J2558" s="21"/>
      <c r="K2558" s="24">
        <v>13</v>
      </c>
      <c r="L2558" s="24">
        <v>78</v>
      </c>
      <c r="M2558" s="23">
        <v>3</v>
      </c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>
        <v>10</v>
      </c>
      <c r="Z2558" s="23"/>
      <c r="AA2558" s="23"/>
      <c r="AB2558" s="23"/>
      <c r="AC2558" s="23"/>
      <c r="AD2558" s="23"/>
      <c r="AE2558" s="23"/>
      <c r="AF2558" s="23">
        <v>2</v>
      </c>
      <c r="AG2558" s="23"/>
      <c r="AH2558" s="23"/>
      <c r="AI2558" s="23">
        <v>9</v>
      </c>
      <c r="AJ2558" s="23"/>
      <c r="AK2558" s="23">
        <v>2</v>
      </c>
      <c r="AL2558" s="23"/>
      <c r="AM2558" s="23"/>
      <c r="AN2558" s="23"/>
      <c r="AO2558" s="23"/>
      <c r="AP2558" s="23"/>
      <c r="AQ2558" s="23">
        <v>10</v>
      </c>
      <c r="AR2558" s="23">
        <v>3</v>
      </c>
      <c r="AS2558" s="23"/>
      <c r="AT2558" s="23"/>
      <c r="AU2558" s="14" t="str">
        <f>HYPERLINK("http://www.openstreetmap.org/?mlat=31.33&amp;mlon=45.4155&amp;zoom=12#map=12/31.33/45.4155","Maplink1")</f>
        <v>Maplink1</v>
      </c>
      <c r="AV2558" s="14" t="str">
        <f>HYPERLINK("https://www.google.iq/maps/search/+31.33,45.4155/@31.33,45.4155,14z?hl=en","Maplink2")</f>
        <v>Maplink2</v>
      </c>
      <c r="AW2558" s="14" t="str">
        <f>HYPERLINK("http://www.bing.com/maps/?lvl=14&amp;sty=h&amp;cp=31.33~45.4155&amp;sp=point.31.33_45.4155_Hay Al Kawthar","Maplink3")</f>
        <v>Maplink3</v>
      </c>
    </row>
    <row r="2559" spans="1:49" ht="15" customHeight="1" x14ac:dyDescent="0.25">
      <c r="A2559" s="21">
        <v>1586</v>
      </c>
      <c r="B2559" s="22" t="s">
        <v>19</v>
      </c>
      <c r="C2559" s="22" t="s">
        <v>4919</v>
      </c>
      <c r="D2559" s="22" t="s">
        <v>4970</v>
      </c>
      <c r="E2559" s="22" t="s">
        <v>464</v>
      </c>
      <c r="F2559" s="22">
        <v>31.314941000000001</v>
      </c>
      <c r="G2559" s="22">
        <v>45.279451999999999</v>
      </c>
      <c r="H2559" s="21"/>
      <c r="I2559" s="21"/>
      <c r="J2559" s="21" t="s">
        <v>4971</v>
      </c>
      <c r="K2559" s="24">
        <v>16</v>
      </c>
      <c r="L2559" s="24">
        <v>96</v>
      </c>
      <c r="M2559" s="23">
        <v>2</v>
      </c>
      <c r="N2559" s="23"/>
      <c r="O2559" s="23">
        <v>2</v>
      </c>
      <c r="P2559" s="23"/>
      <c r="Q2559" s="23"/>
      <c r="R2559" s="23"/>
      <c r="S2559" s="23"/>
      <c r="T2559" s="23"/>
      <c r="U2559" s="23"/>
      <c r="V2559" s="23"/>
      <c r="W2559" s="23"/>
      <c r="X2559" s="23"/>
      <c r="Y2559" s="23">
        <v>12</v>
      </c>
      <c r="Z2559" s="23"/>
      <c r="AA2559" s="23"/>
      <c r="AB2559" s="23"/>
      <c r="AC2559" s="23"/>
      <c r="AD2559" s="23"/>
      <c r="AE2559" s="23"/>
      <c r="AF2559" s="23">
        <v>2</v>
      </c>
      <c r="AG2559" s="23"/>
      <c r="AH2559" s="23"/>
      <c r="AI2559" s="23"/>
      <c r="AJ2559" s="23"/>
      <c r="AK2559" s="23">
        <v>14</v>
      </c>
      <c r="AL2559" s="23"/>
      <c r="AM2559" s="23"/>
      <c r="AN2559" s="23"/>
      <c r="AO2559" s="23">
        <v>2</v>
      </c>
      <c r="AP2559" s="23">
        <v>8</v>
      </c>
      <c r="AQ2559" s="23">
        <v>2</v>
      </c>
      <c r="AR2559" s="23"/>
      <c r="AS2559" s="23">
        <v>4</v>
      </c>
      <c r="AT2559" s="23"/>
      <c r="AU2559" s="14" t="str">
        <f>HYPERLINK("http://www.openstreetmap.org/?mlat=31.3149&amp;mlon=45.2795&amp;zoom=12#map=12/31.3149/45.2795","Maplink1")</f>
        <v>Maplink1</v>
      </c>
      <c r="AV2559" s="14" t="str">
        <f>HYPERLINK("https://www.google.iq/maps/search/+31.3149,45.2795/@31.3149,45.2795,14z?hl=en","Maplink2")</f>
        <v>Maplink2</v>
      </c>
      <c r="AW2559" s="14" t="str">
        <f>HYPERLINK("http://www.bing.com/maps/?lvl=14&amp;sty=h&amp;cp=31.3149~45.2795&amp;sp=point.31.3149_45.2795_Hay Al Mualmeen","Maplink3")</f>
        <v>Maplink3</v>
      </c>
    </row>
    <row r="2560" spans="1:49" ht="15" customHeight="1" x14ac:dyDescent="0.25">
      <c r="A2560" s="21">
        <v>27268</v>
      </c>
      <c r="B2560" s="22" t="s">
        <v>19</v>
      </c>
      <c r="C2560" s="22" t="s">
        <v>4919</v>
      </c>
      <c r="D2560" s="22" t="s">
        <v>4972</v>
      </c>
      <c r="E2560" s="22" t="s">
        <v>1019</v>
      </c>
      <c r="F2560" s="22">
        <v>31.311456</v>
      </c>
      <c r="G2560" s="22">
        <v>45.256461999999999</v>
      </c>
      <c r="H2560" s="21" t="s">
        <v>4865</v>
      </c>
      <c r="I2560" s="21" t="s">
        <v>4921</v>
      </c>
      <c r="J2560" s="21"/>
      <c r="K2560" s="24">
        <v>12</v>
      </c>
      <c r="L2560" s="24">
        <v>72</v>
      </c>
      <c r="M2560" s="23">
        <v>2</v>
      </c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>
        <v>4</v>
      </c>
      <c r="Z2560" s="23"/>
      <c r="AA2560" s="23">
        <v>6</v>
      </c>
      <c r="AB2560" s="23"/>
      <c r="AC2560" s="23"/>
      <c r="AD2560" s="23"/>
      <c r="AE2560" s="23"/>
      <c r="AF2560" s="23">
        <v>8</v>
      </c>
      <c r="AG2560" s="23"/>
      <c r="AH2560" s="23"/>
      <c r="AI2560" s="23"/>
      <c r="AJ2560" s="23"/>
      <c r="AK2560" s="23">
        <v>4</v>
      </c>
      <c r="AL2560" s="23"/>
      <c r="AM2560" s="23"/>
      <c r="AN2560" s="23"/>
      <c r="AO2560" s="23"/>
      <c r="AP2560" s="23">
        <v>1</v>
      </c>
      <c r="AQ2560" s="23">
        <v>3</v>
      </c>
      <c r="AR2560" s="23">
        <v>7</v>
      </c>
      <c r="AS2560" s="23">
        <v>1</v>
      </c>
      <c r="AT2560" s="23"/>
      <c r="AU2560" s="14" t="str">
        <f>HYPERLINK("http://www.openstreetmap.org/?mlat=31.3115&amp;mlon=45.2565&amp;zoom=12#map=12/31.3115/45.2565","Maplink1")</f>
        <v>Maplink1</v>
      </c>
      <c r="AV2560" s="14" t="str">
        <f>HYPERLINK("https://www.google.iq/maps/search/+31.3115,45.2565/@31.3115,45.2565,14z?hl=en","Maplink2")</f>
        <v>Maplink2</v>
      </c>
      <c r="AW2560" s="14" t="str">
        <f>HYPERLINK("http://www.bing.com/maps/?lvl=14&amp;sty=h&amp;cp=31.3115~45.2565&amp;sp=point.31.3115_45.2565_Hay Al Mualmeen 2","Maplink3")</f>
        <v>Maplink3</v>
      </c>
    </row>
    <row r="2561" spans="1:49" ht="15" customHeight="1" x14ac:dyDescent="0.25">
      <c r="A2561" s="21">
        <v>1478</v>
      </c>
      <c r="B2561" s="22" t="s">
        <v>19</v>
      </c>
      <c r="C2561" s="22" t="s">
        <v>4919</v>
      </c>
      <c r="D2561" s="22" t="s">
        <v>7485</v>
      </c>
      <c r="E2561" s="22" t="s">
        <v>261</v>
      </c>
      <c r="F2561" s="22">
        <v>31.308332</v>
      </c>
      <c r="G2561" s="22">
        <v>45.285831000000002</v>
      </c>
      <c r="H2561" s="21" t="s">
        <v>4865</v>
      </c>
      <c r="I2561" s="21" t="s">
        <v>4921</v>
      </c>
      <c r="J2561" s="21" t="s">
        <v>7486</v>
      </c>
      <c r="K2561" s="24">
        <v>2</v>
      </c>
      <c r="L2561" s="24">
        <v>12</v>
      </c>
      <c r="M2561" s="23">
        <v>1</v>
      </c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>
        <v>1</v>
      </c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>
        <v>2</v>
      </c>
      <c r="AL2561" s="23"/>
      <c r="AM2561" s="23"/>
      <c r="AN2561" s="23"/>
      <c r="AO2561" s="23"/>
      <c r="AP2561" s="23"/>
      <c r="AQ2561" s="23"/>
      <c r="AR2561" s="23">
        <v>1</v>
      </c>
      <c r="AS2561" s="23">
        <v>1</v>
      </c>
      <c r="AT2561" s="23"/>
      <c r="AU2561" s="14" t="str">
        <f>HYPERLINK("http://www.openstreetmap.org/?mlat=31.3083&amp;mlon=45.2858&amp;zoom=12#map=12/31.3083/45.2858","Maplink1")</f>
        <v>Maplink1</v>
      </c>
      <c r="AV2561" s="14" t="str">
        <f>HYPERLINK("https://www.google.iq/maps/search/+31.3083,45.2858/@31.3083,45.2858,14z?hl=en","Maplink2")</f>
        <v>Maplink2</v>
      </c>
      <c r="AW2561" s="14" t="str">
        <f>HYPERLINK("http://www.bing.com/maps/?lvl=14&amp;sty=h&amp;cp=31.3083~45.2858&amp;sp=point.31.3083_45.2858","Maplink3")</f>
        <v>Maplink3</v>
      </c>
    </row>
    <row r="2562" spans="1:49" ht="15" customHeight="1" x14ac:dyDescent="0.25">
      <c r="A2562" s="21">
        <v>2061</v>
      </c>
      <c r="B2562" s="22" t="s">
        <v>19</v>
      </c>
      <c r="C2562" s="22" t="s">
        <v>4919</v>
      </c>
      <c r="D2562" s="22" t="s">
        <v>4973</v>
      </c>
      <c r="E2562" s="22" t="s">
        <v>4974</v>
      </c>
      <c r="F2562" s="22">
        <v>31.3325</v>
      </c>
      <c r="G2562" s="22">
        <v>45.281387000000002</v>
      </c>
      <c r="H2562" s="21" t="s">
        <v>4865</v>
      </c>
      <c r="I2562" s="21" t="s">
        <v>4921</v>
      </c>
      <c r="J2562" s="21" t="s">
        <v>4975</v>
      </c>
      <c r="K2562" s="24">
        <v>8</v>
      </c>
      <c r="L2562" s="24">
        <v>48</v>
      </c>
      <c r="M2562" s="23">
        <v>5</v>
      </c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>
        <v>3</v>
      </c>
      <c r="Z2562" s="23"/>
      <c r="AA2562" s="23"/>
      <c r="AB2562" s="23"/>
      <c r="AC2562" s="23"/>
      <c r="AD2562" s="23"/>
      <c r="AE2562" s="23"/>
      <c r="AF2562" s="23">
        <v>3</v>
      </c>
      <c r="AG2562" s="23"/>
      <c r="AH2562" s="23"/>
      <c r="AI2562" s="23">
        <v>2</v>
      </c>
      <c r="AJ2562" s="23"/>
      <c r="AK2562" s="23">
        <v>3</v>
      </c>
      <c r="AL2562" s="23"/>
      <c r="AM2562" s="23"/>
      <c r="AN2562" s="23"/>
      <c r="AO2562" s="23"/>
      <c r="AP2562" s="23">
        <v>1</v>
      </c>
      <c r="AQ2562" s="23">
        <v>2</v>
      </c>
      <c r="AR2562" s="23"/>
      <c r="AS2562" s="23">
        <v>5</v>
      </c>
      <c r="AT2562" s="23"/>
      <c r="AU2562" s="14" t="str">
        <f>HYPERLINK("http://www.openstreetmap.org/?mlat=31.3325&amp;mlon=45.2814&amp;zoom=12#map=12/31.3325/45.2814","Maplink1")</f>
        <v>Maplink1</v>
      </c>
      <c r="AV2562" s="14" t="str">
        <f>HYPERLINK("https://www.google.iq/maps/search/+31.3325,45.2814/@31.3325,45.2814,14z?hl=en","Maplink2")</f>
        <v>Maplink2</v>
      </c>
      <c r="AW2562" s="14" t="str">
        <f>HYPERLINK("http://www.bing.com/maps/?lvl=14&amp;sty=h&amp;cp=31.3325~45.2814&amp;sp=point.31.3325_45.2814","Maplink3")</f>
        <v>Maplink3</v>
      </c>
    </row>
    <row r="2563" spans="1:49" ht="15" customHeight="1" x14ac:dyDescent="0.25">
      <c r="A2563" s="21">
        <v>1611</v>
      </c>
      <c r="B2563" s="22" t="s">
        <v>19</v>
      </c>
      <c r="C2563" s="22" t="s">
        <v>4919</v>
      </c>
      <c r="D2563" s="22" t="s">
        <v>4976</v>
      </c>
      <c r="E2563" s="22" t="s">
        <v>4977</v>
      </c>
      <c r="F2563" s="22">
        <v>31.328367</v>
      </c>
      <c r="G2563" s="22">
        <v>45.297046000000002</v>
      </c>
      <c r="H2563" s="21" t="s">
        <v>4865</v>
      </c>
      <c r="I2563" s="21" t="s">
        <v>4921</v>
      </c>
      <c r="J2563" s="21" t="s">
        <v>4978</v>
      </c>
      <c r="K2563" s="24">
        <v>25</v>
      </c>
      <c r="L2563" s="24">
        <v>150</v>
      </c>
      <c r="M2563" s="23">
        <v>6</v>
      </c>
      <c r="N2563" s="23"/>
      <c r="O2563" s="23"/>
      <c r="P2563" s="23"/>
      <c r="Q2563" s="23"/>
      <c r="R2563" s="23">
        <v>3</v>
      </c>
      <c r="S2563" s="23"/>
      <c r="T2563" s="23"/>
      <c r="U2563" s="23">
        <v>3</v>
      </c>
      <c r="V2563" s="23"/>
      <c r="W2563" s="23"/>
      <c r="X2563" s="23"/>
      <c r="Y2563" s="23">
        <v>13</v>
      </c>
      <c r="Z2563" s="23"/>
      <c r="AA2563" s="23"/>
      <c r="AB2563" s="23"/>
      <c r="AC2563" s="23"/>
      <c r="AD2563" s="23"/>
      <c r="AE2563" s="23"/>
      <c r="AF2563" s="23">
        <v>6</v>
      </c>
      <c r="AG2563" s="23"/>
      <c r="AH2563" s="23"/>
      <c r="AI2563" s="23"/>
      <c r="AJ2563" s="23"/>
      <c r="AK2563" s="23">
        <v>19</v>
      </c>
      <c r="AL2563" s="23"/>
      <c r="AM2563" s="23"/>
      <c r="AN2563" s="23"/>
      <c r="AO2563" s="23"/>
      <c r="AP2563" s="23">
        <v>12</v>
      </c>
      <c r="AQ2563" s="23">
        <v>3</v>
      </c>
      <c r="AR2563" s="23">
        <v>4</v>
      </c>
      <c r="AS2563" s="23">
        <v>6</v>
      </c>
      <c r="AT2563" s="23"/>
      <c r="AU2563" s="14" t="str">
        <f>HYPERLINK("http://www.openstreetmap.org/?mlat=31.3284&amp;mlon=45.297&amp;zoom=12#map=12/31.3284/45.297","Maplink1")</f>
        <v>Maplink1</v>
      </c>
      <c r="AV2563" s="14" t="str">
        <f>HYPERLINK("https://www.google.iq/maps/search/+31.3284,45.297/@31.3284,45.297,14z?hl=en","Maplink2")</f>
        <v>Maplink2</v>
      </c>
      <c r="AW2563" s="14" t="str">
        <f>HYPERLINK("http://www.bing.com/maps/?lvl=14&amp;sty=h&amp;cp=31.3284~45.297&amp;sp=point.31.3284_45.297_Hay Al Tamiem","Maplink3")</f>
        <v>Maplink3</v>
      </c>
    </row>
    <row r="2564" spans="1:49" ht="15" customHeight="1" x14ac:dyDescent="0.25">
      <c r="A2564" s="21">
        <v>27233</v>
      </c>
      <c r="B2564" s="22" t="s">
        <v>19</v>
      </c>
      <c r="C2564" s="22" t="s">
        <v>4919</v>
      </c>
      <c r="D2564" s="22" t="s">
        <v>4877</v>
      </c>
      <c r="E2564" s="22" t="s">
        <v>2196</v>
      </c>
      <c r="F2564" s="22">
        <v>31.332508000000001</v>
      </c>
      <c r="G2564" s="22">
        <v>45.419044999999997</v>
      </c>
      <c r="H2564" s="21"/>
      <c r="I2564" s="21"/>
      <c r="J2564" s="21"/>
      <c r="K2564" s="24">
        <v>5</v>
      </c>
      <c r="L2564" s="24">
        <v>30</v>
      </c>
      <c r="M2564" s="23">
        <v>1</v>
      </c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>
        <v>4</v>
      </c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>
        <v>4</v>
      </c>
      <c r="AJ2564" s="23"/>
      <c r="AK2564" s="23">
        <v>1</v>
      </c>
      <c r="AL2564" s="23"/>
      <c r="AM2564" s="23"/>
      <c r="AN2564" s="23"/>
      <c r="AO2564" s="23"/>
      <c r="AP2564" s="23"/>
      <c r="AQ2564" s="23">
        <v>4</v>
      </c>
      <c r="AR2564" s="23">
        <v>1</v>
      </c>
      <c r="AS2564" s="23"/>
      <c r="AT2564" s="23"/>
      <c r="AU2564" s="14" t="str">
        <f>HYPERLINK("http://www.openstreetmap.org/?mlat=31.3325&amp;mlon=45.419&amp;zoom=12#map=12/31.3325/45.419","Maplink1")</f>
        <v>Maplink1</v>
      </c>
      <c r="AV2564" s="14" t="str">
        <f>HYPERLINK("https://www.google.iq/maps/search/+31.3325,45.419/@31.3325,45.419,14z?hl=en","Maplink2")</f>
        <v>Maplink2</v>
      </c>
      <c r="AW2564" s="14" t="str">
        <f>HYPERLINK("http://www.bing.com/maps/?lvl=14&amp;sty=h&amp;cp=31.3325~45.419&amp;sp=point.31.3325_45.419_Hay Al Zahra","Maplink3")</f>
        <v>Maplink3</v>
      </c>
    </row>
    <row r="2565" spans="1:49" ht="15" customHeight="1" x14ac:dyDescent="0.25">
      <c r="A2565" s="21">
        <v>1485</v>
      </c>
      <c r="B2565" s="22" t="s">
        <v>19</v>
      </c>
      <c r="C2565" s="22" t="s">
        <v>4919</v>
      </c>
      <c r="D2565" s="22" t="s">
        <v>4979</v>
      </c>
      <c r="E2565" s="22" t="s">
        <v>2774</v>
      </c>
      <c r="F2565" s="22">
        <v>31.305447000000001</v>
      </c>
      <c r="G2565" s="22">
        <v>45.263053999999997</v>
      </c>
      <c r="H2565" s="21" t="s">
        <v>4865</v>
      </c>
      <c r="I2565" s="21" t="s">
        <v>4921</v>
      </c>
      <c r="J2565" s="21" t="s">
        <v>4980</v>
      </c>
      <c r="K2565" s="24">
        <v>11</v>
      </c>
      <c r="L2565" s="24">
        <v>66</v>
      </c>
      <c r="M2565" s="23">
        <v>6</v>
      </c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>
        <v>5</v>
      </c>
      <c r="Z2565" s="23"/>
      <c r="AA2565" s="23"/>
      <c r="AB2565" s="23"/>
      <c r="AC2565" s="23"/>
      <c r="AD2565" s="23"/>
      <c r="AE2565" s="23"/>
      <c r="AF2565" s="23">
        <v>5</v>
      </c>
      <c r="AG2565" s="23"/>
      <c r="AH2565" s="23"/>
      <c r="AI2565" s="23"/>
      <c r="AJ2565" s="23"/>
      <c r="AK2565" s="23">
        <v>6</v>
      </c>
      <c r="AL2565" s="23"/>
      <c r="AM2565" s="23"/>
      <c r="AN2565" s="23"/>
      <c r="AO2565" s="23"/>
      <c r="AP2565" s="23"/>
      <c r="AQ2565" s="23">
        <v>4</v>
      </c>
      <c r="AR2565" s="23">
        <v>1</v>
      </c>
      <c r="AS2565" s="23">
        <v>6</v>
      </c>
      <c r="AT2565" s="23"/>
      <c r="AU2565" s="14" t="str">
        <f>HYPERLINK("http://www.openstreetmap.org/?mlat=31.3054&amp;mlon=45.2631&amp;zoom=12#map=12/31.3054/45.2631","Maplink1")</f>
        <v>Maplink1</v>
      </c>
      <c r="AV2565" s="14" t="str">
        <f>HYPERLINK("https://www.google.iq/maps/search/+31.3054,45.2631/@31.3054,45.2631,14z?hl=en","Maplink2")</f>
        <v>Maplink2</v>
      </c>
      <c r="AW2565" s="14" t="str">
        <f>HYPERLINK("http://www.bing.com/maps/?lvl=14&amp;sty=h&amp;cp=31.3054~45.2631&amp;sp=point.31.3054_45.2631_Hay Al-Sadir","Maplink3")</f>
        <v>Maplink3</v>
      </c>
    </row>
    <row r="2566" spans="1:49" ht="15" customHeight="1" x14ac:dyDescent="0.25">
      <c r="A2566" s="21">
        <v>29573</v>
      </c>
      <c r="B2566" s="22" t="s">
        <v>19</v>
      </c>
      <c r="C2566" s="22" t="s">
        <v>4919</v>
      </c>
      <c r="D2566" s="22" t="s">
        <v>7487</v>
      </c>
      <c r="E2566" s="22" t="s">
        <v>7488</v>
      </c>
      <c r="F2566" s="22">
        <v>31.316668</v>
      </c>
      <c r="G2566" s="22">
        <v>45.296112000000001</v>
      </c>
      <c r="H2566" s="21" t="s">
        <v>4865</v>
      </c>
      <c r="I2566" s="21" t="s">
        <v>4921</v>
      </c>
      <c r="J2566" s="21"/>
      <c r="K2566" s="24">
        <v>1</v>
      </c>
      <c r="L2566" s="24">
        <v>6</v>
      </c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>
        <v>1</v>
      </c>
      <c r="Z2566" s="23"/>
      <c r="AA2566" s="23"/>
      <c r="AB2566" s="23"/>
      <c r="AC2566" s="23"/>
      <c r="AD2566" s="23"/>
      <c r="AE2566" s="23"/>
      <c r="AF2566" s="23">
        <v>1</v>
      </c>
      <c r="AG2566" s="23"/>
      <c r="AH2566" s="23"/>
      <c r="AI2566" s="23"/>
      <c r="AJ2566" s="23"/>
      <c r="AK2566" s="23"/>
      <c r="AL2566" s="23"/>
      <c r="AM2566" s="23"/>
      <c r="AN2566" s="23"/>
      <c r="AO2566" s="23"/>
      <c r="AP2566" s="23"/>
      <c r="AQ2566" s="23">
        <v>1</v>
      </c>
      <c r="AR2566" s="23"/>
      <c r="AS2566" s="23"/>
      <c r="AT2566" s="23"/>
      <c r="AU2566" s="14" t="str">
        <f>HYPERLINK("http://www.openstreetmap.org/?mlat=31.3167&amp;mlon=45.2961&amp;zoom=12#map=12/31.3167/45.2961","Maplink1")</f>
        <v>Maplink1</v>
      </c>
      <c r="AV2566" s="14" t="str">
        <f>HYPERLINK("https://www.google.iq/maps/search/+31.3167,45.2961/@31.3167,45.2961,14z?hl=en","Maplink2")</f>
        <v>Maplink2</v>
      </c>
      <c r="AW2566" s="14" t="str">
        <f>HYPERLINK("http://www.bing.com/maps/?lvl=14&amp;sty=h&amp;cp=31.3167~45.2961&amp;sp=point.31.3167_45.2961","Maplink3")</f>
        <v>Maplink3</v>
      </c>
    </row>
    <row r="2567" spans="1:49" ht="15" customHeight="1" x14ac:dyDescent="0.25">
      <c r="A2567" s="21">
        <v>21317</v>
      </c>
      <c r="B2567" s="22" t="s">
        <v>19</v>
      </c>
      <c r="C2567" s="22" t="s">
        <v>4919</v>
      </c>
      <c r="D2567" s="22" t="s">
        <v>4981</v>
      </c>
      <c r="E2567" s="22" t="s">
        <v>995</v>
      </c>
      <c r="F2567" s="22">
        <v>31.320833</v>
      </c>
      <c r="G2567" s="22">
        <v>45.263888999999999</v>
      </c>
      <c r="H2567" s="21" t="s">
        <v>4865</v>
      </c>
      <c r="I2567" s="21" t="s">
        <v>4921</v>
      </c>
      <c r="J2567" s="21" t="s">
        <v>4982</v>
      </c>
      <c r="K2567" s="24">
        <v>25</v>
      </c>
      <c r="L2567" s="24">
        <v>150</v>
      </c>
      <c r="M2567" s="23">
        <v>7</v>
      </c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>
        <v>17</v>
      </c>
      <c r="Z2567" s="23"/>
      <c r="AA2567" s="23">
        <v>1</v>
      </c>
      <c r="AB2567" s="23"/>
      <c r="AC2567" s="23"/>
      <c r="AD2567" s="23"/>
      <c r="AE2567" s="23"/>
      <c r="AF2567" s="23">
        <v>13</v>
      </c>
      <c r="AG2567" s="23"/>
      <c r="AH2567" s="23"/>
      <c r="AI2567" s="23"/>
      <c r="AJ2567" s="23"/>
      <c r="AK2567" s="23">
        <v>12</v>
      </c>
      <c r="AL2567" s="23"/>
      <c r="AM2567" s="23"/>
      <c r="AN2567" s="23"/>
      <c r="AO2567" s="23"/>
      <c r="AP2567" s="23"/>
      <c r="AQ2567" s="23">
        <v>18</v>
      </c>
      <c r="AR2567" s="23">
        <v>1</v>
      </c>
      <c r="AS2567" s="23">
        <v>6</v>
      </c>
      <c r="AT2567" s="23"/>
      <c r="AU2567" s="14" t="str">
        <f>HYPERLINK("http://www.openstreetmap.org/?mlat=31.3208&amp;mlon=45.2639&amp;zoom=12#map=12/31.3208/45.2639","Maplink1")</f>
        <v>Maplink1</v>
      </c>
      <c r="AV2567" s="14" t="str">
        <f>HYPERLINK("https://www.google.iq/maps/search/+31.3208,45.2639/@31.3208,45.2639,14z?hl=en","Maplink2")</f>
        <v>Maplink2</v>
      </c>
      <c r="AW2567" s="14" t="str">
        <f>HYPERLINK("http://www.bing.com/maps/?lvl=14&amp;sty=h&amp;cp=31.3208~45.2639&amp;sp=point.31.3208_45.2639","Maplink3")</f>
        <v>Maplink3</v>
      </c>
    </row>
    <row r="2568" spans="1:49" ht="15" customHeight="1" x14ac:dyDescent="0.25">
      <c r="A2568" s="21">
        <v>2076</v>
      </c>
      <c r="B2568" s="22" t="s">
        <v>19</v>
      </c>
      <c r="C2568" s="22" t="s">
        <v>4919</v>
      </c>
      <c r="D2568" s="22" t="s">
        <v>7489</v>
      </c>
      <c r="E2568" s="22" t="s">
        <v>7490</v>
      </c>
      <c r="F2568" s="22">
        <v>31.3125</v>
      </c>
      <c r="G2568" s="22">
        <v>45.248333000000002</v>
      </c>
      <c r="H2568" s="21" t="s">
        <v>4865</v>
      </c>
      <c r="I2568" s="21" t="s">
        <v>4921</v>
      </c>
      <c r="J2568" s="21" t="s">
        <v>7491</v>
      </c>
      <c r="K2568" s="24">
        <v>2</v>
      </c>
      <c r="L2568" s="24">
        <v>12</v>
      </c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>
        <v>2</v>
      </c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>
        <v>2</v>
      </c>
      <c r="AK2568" s="23"/>
      <c r="AL2568" s="23"/>
      <c r="AM2568" s="23"/>
      <c r="AN2568" s="23"/>
      <c r="AO2568" s="23"/>
      <c r="AP2568" s="23"/>
      <c r="AQ2568" s="23">
        <v>2</v>
      </c>
      <c r="AR2568" s="23"/>
      <c r="AS2568" s="23"/>
      <c r="AT2568" s="23"/>
      <c r="AU2568" s="14" t="str">
        <f>HYPERLINK("http://www.openstreetmap.org/?mlat=31.3125&amp;mlon=45.2483&amp;zoom=12#map=12/31.3125/45.2483","Maplink1")</f>
        <v>Maplink1</v>
      </c>
      <c r="AV2568" s="14" t="str">
        <f>HYPERLINK("https://www.google.iq/maps/search/+31.3125,45.2483/@31.3125,45.2483,14z?hl=en","Maplink2")</f>
        <v>Maplink2</v>
      </c>
      <c r="AW2568" s="14" t="str">
        <f>HYPERLINK("http://www.bing.com/maps/?lvl=14&amp;sty=h&amp;cp=31.3125~45.2483&amp;sp=point.31.3125_45.2483","Maplink3")</f>
        <v>Maplink3</v>
      </c>
    </row>
    <row r="2569" spans="1:49" ht="15" customHeight="1" x14ac:dyDescent="0.25">
      <c r="A2569" s="21">
        <v>29575</v>
      </c>
      <c r="B2569" s="22" t="s">
        <v>19</v>
      </c>
      <c r="C2569" s="22" t="s">
        <v>4919</v>
      </c>
      <c r="D2569" s="22" t="s">
        <v>7492</v>
      </c>
      <c r="E2569" s="22" t="s">
        <v>7493</v>
      </c>
      <c r="F2569" s="22">
        <v>31.303332999999999</v>
      </c>
      <c r="G2569" s="22">
        <v>45.300556</v>
      </c>
      <c r="H2569" s="21" t="s">
        <v>4865</v>
      </c>
      <c r="I2569" s="21" t="s">
        <v>4921</v>
      </c>
      <c r="J2569" s="21"/>
      <c r="K2569" s="24">
        <v>5</v>
      </c>
      <c r="L2569" s="24">
        <v>30</v>
      </c>
      <c r="M2569" s="23">
        <v>4</v>
      </c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1</v>
      </c>
      <c r="Z2569" s="23"/>
      <c r="AA2569" s="23"/>
      <c r="AB2569" s="23"/>
      <c r="AC2569" s="23"/>
      <c r="AD2569" s="23"/>
      <c r="AE2569" s="23"/>
      <c r="AF2569" s="23">
        <v>2</v>
      </c>
      <c r="AG2569" s="23"/>
      <c r="AH2569" s="23"/>
      <c r="AI2569" s="23"/>
      <c r="AJ2569" s="23"/>
      <c r="AK2569" s="23">
        <v>3</v>
      </c>
      <c r="AL2569" s="23"/>
      <c r="AM2569" s="23"/>
      <c r="AN2569" s="23"/>
      <c r="AO2569" s="23"/>
      <c r="AP2569" s="23"/>
      <c r="AQ2569" s="23">
        <v>1</v>
      </c>
      <c r="AR2569" s="23">
        <v>4</v>
      </c>
      <c r="AS2569" s="23"/>
      <c r="AT2569" s="23"/>
      <c r="AU2569" s="14" t="str">
        <f>HYPERLINK("http://www.openstreetmap.org/?mlat=31.3033&amp;mlon=45.3006&amp;zoom=12#map=12/31.3033/45.3006","Maplink1")</f>
        <v>Maplink1</v>
      </c>
      <c r="AV2569" s="14" t="str">
        <f>HYPERLINK("https://www.google.iq/maps/search/+31.3033,45.3006/@31.3033,45.3006,14z?hl=en","Maplink2")</f>
        <v>Maplink2</v>
      </c>
      <c r="AW2569" s="14" t="str">
        <f>HYPERLINK("http://www.bing.com/maps/?lvl=14&amp;sty=h&amp;cp=31.3033~45.3006&amp;sp=point.31.3033_45.3006","Maplink3")</f>
        <v>Maplink3</v>
      </c>
    </row>
    <row r="2570" spans="1:49" ht="15" customHeight="1" x14ac:dyDescent="0.25">
      <c r="A2570" s="21">
        <v>1573</v>
      </c>
      <c r="B2570" s="22" t="s">
        <v>19</v>
      </c>
      <c r="C2570" s="22" t="s">
        <v>4919</v>
      </c>
      <c r="D2570" s="22" t="s">
        <v>7494</v>
      </c>
      <c r="E2570" s="22" t="s">
        <v>7495</v>
      </c>
      <c r="F2570" s="22">
        <v>31.309723000000002</v>
      </c>
      <c r="G2570" s="22">
        <v>45.313609999999997</v>
      </c>
      <c r="H2570" s="21" t="s">
        <v>4865</v>
      </c>
      <c r="I2570" s="21" t="s">
        <v>4921</v>
      </c>
      <c r="J2570" s="21" t="s">
        <v>7496</v>
      </c>
      <c r="K2570" s="24">
        <v>12</v>
      </c>
      <c r="L2570" s="24">
        <v>72</v>
      </c>
      <c r="M2570" s="23">
        <v>4</v>
      </c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8</v>
      </c>
      <c r="Z2570" s="23"/>
      <c r="AA2570" s="23"/>
      <c r="AB2570" s="23"/>
      <c r="AC2570" s="23"/>
      <c r="AD2570" s="23"/>
      <c r="AE2570" s="23"/>
      <c r="AF2570" s="23">
        <v>4</v>
      </c>
      <c r="AG2570" s="23"/>
      <c r="AH2570" s="23"/>
      <c r="AI2570" s="23"/>
      <c r="AJ2570" s="23"/>
      <c r="AK2570" s="23">
        <v>8</v>
      </c>
      <c r="AL2570" s="23"/>
      <c r="AM2570" s="23"/>
      <c r="AN2570" s="23"/>
      <c r="AO2570" s="23"/>
      <c r="AP2570" s="23"/>
      <c r="AQ2570" s="23">
        <v>8</v>
      </c>
      <c r="AR2570" s="23">
        <v>2</v>
      </c>
      <c r="AS2570" s="23">
        <v>2</v>
      </c>
      <c r="AT2570" s="23"/>
      <c r="AU2570" s="14" t="str">
        <f>HYPERLINK("http://www.openstreetmap.org/?mlat=31.3097&amp;mlon=45.3136&amp;zoom=12#map=12/31.3097/45.3136","Maplink1")</f>
        <v>Maplink1</v>
      </c>
      <c r="AV2570" s="14" t="str">
        <f>HYPERLINK("https://www.google.iq/maps/search/+31.3097,45.3136/@31.3097,45.3136,14z?hl=en","Maplink2")</f>
        <v>Maplink2</v>
      </c>
      <c r="AW2570" s="14" t="str">
        <f>HYPERLINK("http://www.bing.com/maps/?lvl=14&amp;sty=h&amp;cp=31.3097~45.3136&amp;sp=point.31.3097_45.3136","Maplink3")</f>
        <v>Maplink3</v>
      </c>
    </row>
    <row r="2571" spans="1:49" ht="15" customHeight="1" x14ac:dyDescent="0.25">
      <c r="A2571" s="21">
        <v>29544</v>
      </c>
      <c r="B2571" s="22" t="s">
        <v>19</v>
      </c>
      <c r="C2571" s="22" t="s">
        <v>4919</v>
      </c>
      <c r="D2571" s="22" t="s">
        <v>7472</v>
      </c>
      <c r="E2571" s="22" t="s">
        <v>4923</v>
      </c>
      <c r="F2571" s="22">
        <v>31.311945000000001</v>
      </c>
      <c r="G2571" s="22">
        <v>45.463332999999999</v>
      </c>
      <c r="H2571" s="21" t="s">
        <v>4865</v>
      </c>
      <c r="I2571" s="21" t="s">
        <v>4921</v>
      </c>
      <c r="J2571" s="21"/>
      <c r="K2571" s="24">
        <v>2</v>
      </c>
      <c r="L2571" s="24">
        <v>12</v>
      </c>
      <c r="M2571" s="23">
        <v>1</v>
      </c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</v>
      </c>
      <c r="Z2571" s="23"/>
      <c r="AA2571" s="23"/>
      <c r="AB2571" s="23"/>
      <c r="AC2571" s="23"/>
      <c r="AD2571" s="23"/>
      <c r="AE2571" s="23"/>
      <c r="AF2571" s="23">
        <v>1</v>
      </c>
      <c r="AG2571" s="23"/>
      <c r="AH2571" s="23"/>
      <c r="AI2571" s="23"/>
      <c r="AJ2571" s="23"/>
      <c r="AK2571" s="23">
        <v>1</v>
      </c>
      <c r="AL2571" s="23"/>
      <c r="AM2571" s="23"/>
      <c r="AN2571" s="23"/>
      <c r="AO2571" s="23"/>
      <c r="AP2571" s="23"/>
      <c r="AQ2571" s="23">
        <v>1</v>
      </c>
      <c r="AR2571" s="23">
        <v>1</v>
      </c>
      <c r="AS2571" s="23"/>
      <c r="AT2571" s="23"/>
      <c r="AU2571" s="14" t="str">
        <f>HYPERLINK("http://www.openstreetmap.org/?mlat=31.3119&amp;mlon=45.4633&amp;zoom=12#map=12/31.3119/45.4633","Maplink1")</f>
        <v>Maplink1</v>
      </c>
      <c r="AV2571" s="14" t="str">
        <f>HYPERLINK("https://www.google.iq/maps/search/+31.3119,45.4633/@31.3119,45.4633,14z?hl=en","Maplink2")</f>
        <v>Maplink2</v>
      </c>
      <c r="AW2571" s="14" t="str">
        <f>HYPERLINK("http://www.bing.com/maps/?lvl=14&amp;sty=h&amp;cp=31.3119~45.4633&amp;sp=point.31.3119_45.4633","Maplink3")</f>
        <v>Maplink3</v>
      </c>
    </row>
    <row r="2572" spans="1:49" ht="15" customHeight="1" x14ac:dyDescent="0.25">
      <c r="A2572" s="21">
        <v>19905</v>
      </c>
      <c r="B2572" s="22" t="s">
        <v>20</v>
      </c>
      <c r="C2572" s="22" t="s">
        <v>4983</v>
      </c>
      <c r="D2572" s="22" t="s">
        <v>4984</v>
      </c>
      <c r="E2572" s="22" t="s">
        <v>4985</v>
      </c>
      <c r="F2572" s="22">
        <v>31.914709999999999</v>
      </c>
      <c r="G2572" s="22">
        <v>44.471249999999998</v>
      </c>
      <c r="H2572" s="21" t="s">
        <v>4986</v>
      </c>
      <c r="I2572" s="21" t="s">
        <v>4987</v>
      </c>
      <c r="J2572" s="21" t="s">
        <v>4988</v>
      </c>
      <c r="K2572" s="24">
        <v>26</v>
      </c>
      <c r="L2572" s="24">
        <v>156</v>
      </c>
      <c r="M2572" s="23">
        <v>1</v>
      </c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25</v>
      </c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>
        <v>2</v>
      </c>
      <c r="AK2572" s="23">
        <v>24</v>
      </c>
      <c r="AL2572" s="23"/>
      <c r="AM2572" s="23"/>
      <c r="AN2572" s="23"/>
      <c r="AO2572" s="23"/>
      <c r="AP2572" s="23">
        <v>25</v>
      </c>
      <c r="AQ2572" s="23"/>
      <c r="AR2572" s="23"/>
      <c r="AS2572" s="23">
        <v>1</v>
      </c>
      <c r="AT2572" s="23"/>
      <c r="AU2572" s="14" t="str">
        <f>HYPERLINK("http://www.openstreetmap.org/?mlat=31.9094&amp;mlon=44.4831&amp;zoom=12#map=12/31.9094/44.4831","Maplink1")</f>
        <v>Maplink1</v>
      </c>
      <c r="AV2572" s="14" t="str">
        <f>HYPERLINK("https://www.google.iq/maps/search/+31.9094,44.4831/@31.9094,44.4831,14z?hl=en","Maplink2")</f>
        <v>Maplink2</v>
      </c>
      <c r="AW2572" s="14" t="str">
        <f>HYPERLINK("http://www.bing.com/maps/?lvl=14&amp;sty=h&amp;cp=31.9094~44.4831&amp;sp=point.31.9094_44.4831_Al Jumhooriya","Maplink3")</f>
        <v>Maplink3</v>
      </c>
    </row>
    <row r="2573" spans="1:49" ht="15" customHeight="1" x14ac:dyDescent="0.25">
      <c r="A2573" s="21">
        <v>19588</v>
      </c>
      <c r="B2573" s="22" t="s">
        <v>20</v>
      </c>
      <c r="C2573" s="22" t="s">
        <v>4983</v>
      </c>
      <c r="D2573" s="22" t="s">
        <v>4989</v>
      </c>
      <c r="E2573" s="22" t="s">
        <v>4990</v>
      </c>
      <c r="F2573" s="22">
        <v>31.805319999999998</v>
      </c>
      <c r="G2573" s="22">
        <v>44.493613000000003</v>
      </c>
      <c r="H2573" s="21" t="s">
        <v>4986</v>
      </c>
      <c r="I2573" s="21" t="s">
        <v>4987</v>
      </c>
      <c r="J2573" s="21" t="s">
        <v>4991</v>
      </c>
      <c r="K2573" s="24">
        <v>156</v>
      </c>
      <c r="L2573" s="24">
        <v>936</v>
      </c>
      <c r="M2573" s="23"/>
      <c r="N2573" s="23"/>
      <c r="O2573" s="23">
        <v>6</v>
      </c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150</v>
      </c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>
        <v>56</v>
      </c>
      <c r="AK2573" s="23">
        <v>100</v>
      </c>
      <c r="AL2573" s="23"/>
      <c r="AM2573" s="23"/>
      <c r="AN2573" s="23"/>
      <c r="AO2573" s="23">
        <v>6</v>
      </c>
      <c r="AP2573" s="23">
        <v>84</v>
      </c>
      <c r="AQ2573" s="23"/>
      <c r="AR2573" s="23">
        <v>66</v>
      </c>
      <c r="AS2573" s="23"/>
      <c r="AT2573" s="23"/>
      <c r="AU2573" s="14" t="str">
        <f>HYPERLINK("http://www.openstreetmap.org/?mlat=31.8&amp;mlon=44.5&amp;zoom=12#map=12/31.8/44.5","Maplink1")</f>
        <v>Maplink1</v>
      </c>
      <c r="AV2573" s="14" t="str">
        <f>HYPERLINK("https://www.google.iq/maps/search/+31.8,44.5/@31.8,44.5,14z?hl=en","Maplink2")</f>
        <v>Maplink2</v>
      </c>
      <c r="AW2573" s="14" t="str">
        <f>HYPERLINK("http://www.bing.com/maps/?lvl=14&amp;sty=h&amp;cp=31.8~44.5&amp;sp=point.31.8_44.5_Al Mishkhab","Maplink3")</f>
        <v>Maplink3</v>
      </c>
    </row>
    <row r="2574" spans="1:49" ht="15" customHeight="1" x14ac:dyDescent="0.25">
      <c r="A2574" s="21">
        <v>24525</v>
      </c>
      <c r="B2574" s="22" t="s">
        <v>20</v>
      </c>
      <c r="C2574" s="22" t="s">
        <v>4983</v>
      </c>
      <c r="D2574" s="22" t="s">
        <v>4992</v>
      </c>
      <c r="E2574" s="22" t="s">
        <v>4993</v>
      </c>
      <c r="F2574" s="22">
        <v>31.804040000000001</v>
      </c>
      <c r="G2574" s="22">
        <v>44.483823000000001</v>
      </c>
      <c r="H2574" s="21" t="s">
        <v>4986</v>
      </c>
      <c r="I2574" s="21" t="s">
        <v>4987</v>
      </c>
      <c r="J2574" s="21"/>
      <c r="K2574" s="24">
        <v>20</v>
      </c>
      <c r="L2574" s="24">
        <v>120</v>
      </c>
      <c r="M2574" s="23">
        <v>7</v>
      </c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13</v>
      </c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>
        <v>20</v>
      </c>
      <c r="AL2574" s="23"/>
      <c r="AM2574" s="23"/>
      <c r="AN2574" s="23"/>
      <c r="AO2574" s="23"/>
      <c r="AP2574" s="23">
        <v>13</v>
      </c>
      <c r="AQ2574" s="23"/>
      <c r="AR2574" s="23"/>
      <c r="AS2574" s="23">
        <v>7</v>
      </c>
      <c r="AT2574" s="23"/>
      <c r="AU2574" s="14" t="str">
        <f>HYPERLINK("http://www.openstreetmap.org/?mlat=31.8044&amp;mlon=44.4912&amp;zoom=12#map=12/31.8044/44.4912","Maplink1")</f>
        <v>Maplink1</v>
      </c>
      <c r="AV2574" s="14" t="str">
        <f>HYPERLINK("https://www.google.iq/maps/search/+31.8044,44.4912/@31.8044,44.4912,14z?hl=en","Maplink2")</f>
        <v>Maplink2</v>
      </c>
      <c r="AW2574" s="14" t="str">
        <f>HYPERLINK("http://www.bing.com/maps/?lvl=14&amp;sty=h&amp;cp=31.8044~44.4912&amp;sp=point.31.8044_44.4912_Al Shahid Al Sader","Maplink3")</f>
        <v>Maplink3</v>
      </c>
    </row>
    <row r="2575" spans="1:49" ht="15" customHeight="1" x14ac:dyDescent="0.25">
      <c r="A2575" s="21">
        <v>25907</v>
      </c>
      <c r="B2575" s="22" t="s">
        <v>20</v>
      </c>
      <c r="C2575" s="22" t="s">
        <v>4983</v>
      </c>
      <c r="D2575" s="22" t="s">
        <v>4994</v>
      </c>
      <c r="E2575" s="22" t="s">
        <v>4995</v>
      </c>
      <c r="F2575" s="22">
        <v>31.92295</v>
      </c>
      <c r="G2575" s="22">
        <v>44.54786</v>
      </c>
      <c r="H2575" s="21" t="s">
        <v>4986</v>
      </c>
      <c r="I2575" s="21" t="s">
        <v>4987</v>
      </c>
      <c r="J2575" s="21"/>
      <c r="K2575" s="24">
        <v>13</v>
      </c>
      <c r="L2575" s="24">
        <v>78</v>
      </c>
      <c r="M2575" s="23">
        <v>5</v>
      </c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8</v>
      </c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23">
        <v>13</v>
      </c>
      <c r="AL2575" s="23"/>
      <c r="AM2575" s="23"/>
      <c r="AN2575" s="23"/>
      <c r="AO2575" s="23"/>
      <c r="AP2575" s="23"/>
      <c r="AQ2575" s="23">
        <v>8</v>
      </c>
      <c r="AR2575" s="23"/>
      <c r="AS2575" s="23">
        <v>5</v>
      </c>
      <c r="AT2575" s="23"/>
      <c r="AU2575" s="14" t="str">
        <f>HYPERLINK("http://www.openstreetmap.org/?mlat=31.898&amp;mlon=44.4398&amp;zoom=12#map=12/31.898/44.4398","Maplink1")</f>
        <v>Maplink1</v>
      </c>
      <c r="AV2575" s="14" t="str">
        <f>HYPERLINK("https://www.google.iq/maps/search/+31.898,44.4398/@31.898,44.4398,14z?hl=en","Maplink2")</f>
        <v>Maplink2</v>
      </c>
      <c r="AW2575" s="14" t="str">
        <f>HYPERLINK("http://www.bing.com/maps/?lvl=14&amp;sty=h&amp;cp=31.898~44.4398&amp;sp=point.31.898_44.4398_Al-Muhajeer","Maplink3")</f>
        <v>Maplink3</v>
      </c>
    </row>
    <row r="2576" spans="1:49" ht="15" customHeight="1" x14ac:dyDescent="0.25">
      <c r="A2576" s="21">
        <v>25433</v>
      </c>
      <c r="B2576" s="22" t="s">
        <v>20</v>
      </c>
      <c r="C2576" s="22" t="s">
        <v>4983</v>
      </c>
      <c r="D2576" s="22" t="s">
        <v>4955</v>
      </c>
      <c r="E2576" s="22" t="s">
        <v>4956</v>
      </c>
      <c r="F2576" s="22">
        <v>31.7057</v>
      </c>
      <c r="G2576" s="22">
        <v>44.474429999999998</v>
      </c>
      <c r="H2576" s="21" t="s">
        <v>4986</v>
      </c>
      <c r="I2576" s="21" t="s">
        <v>4987</v>
      </c>
      <c r="J2576" s="21"/>
      <c r="K2576" s="24">
        <v>15</v>
      </c>
      <c r="L2576" s="24">
        <v>90</v>
      </c>
      <c r="M2576" s="23">
        <v>7</v>
      </c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8</v>
      </c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>
        <v>15</v>
      </c>
      <c r="AL2576" s="23"/>
      <c r="AM2576" s="23"/>
      <c r="AN2576" s="23"/>
      <c r="AO2576" s="23"/>
      <c r="AP2576" s="23"/>
      <c r="AQ2576" s="23">
        <v>8</v>
      </c>
      <c r="AR2576" s="23"/>
      <c r="AS2576" s="23">
        <v>7</v>
      </c>
      <c r="AT2576" s="23"/>
      <c r="AU2576" s="14" t="str">
        <f>HYPERLINK("http://www.openstreetmap.org/?mlat=31.8856&amp;mlon=44.4817&amp;zoom=12#map=12/31.8856/44.4817","Maplink1")</f>
        <v>Maplink1</v>
      </c>
      <c r="AV2576" s="14" t="str">
        <f>HYPERLINK("https://www.google.iq/maps/search/+31.8856,44.4817/@31.8856,44.4817,14z?hl=en","Maplink2")</f>
        <v>Maplink2</v>
      </c>
      <c r="AW2576" s="14" t="str">
        <f>HYPERLINK("http://www.bing.com/maps/?lvl=14&amp;sty=h&amp;cp=31.8856~44.4817&amp;sp=point.31.8856_44.4817_Hay 9 Nissan","Maplink3")</f>
        <v>Maplink3</v>
      </c>
    </row>
    <row r="2577" spans="1:49" ht="15" customHeight="1" x14ac:dyDescent="0.25">
      <c r="A2577" s="21">
        <v>25366</v>
      </c>
      <c r="B2577" s="22" t="s">
        <v>20</v>
      </c>
      <c r="C2577" s="22" t="s">
        <v>4983</v>
      </c>
      <c r="D2577" s="22" t="s">
        <v>4997</v>
      </c>
      <c r="E2577" s="22" t="s">
        <v>4998</v>
      </c>
      <c r="F2577" s="22">
        <v>31.890519999999999</v>
      </c>
      <c r="G2577" s="22">
        <v>44.4816</v>
      </c>
      <c r="H2577" s="21" t="s">
        <v>4986</v>
      </c>
      <c r="I2577" s="21" t="s">
        <v>4987</v>
      </c>
      <c r="J2577" s="21"/>
      <c r="K2577" s="24">
        <v>17</v>
      </c>
      <c r="L2577" s="24">
        <v>102</v>
      </c>
      <c r="M2577" s="23">
        <v>8</v>
      </c>
      <c r="N2577" s="23"/>
      <c r="O2577" s="23"/>
      <c r="P2577" s="23"/>
      <c r="Q2577" s="23"/>
      <c r="R2577" s="23">
        <v>3</v>
      </c>
      <c r="S2577" s="23"/>
      <c r="T2577" s="23"/>
      <c r="U2577" s="23"/>
      <c r="V2577" s="23"/>
      <c r="W2577" s="23"/>
      <c r="X2577" s="23"/>
      <c r="Y2577" s="23">
        <v>6</v>
      </c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>
        <v>17</v>
      </c>
      <c r="AL2577" s="23"/>
      <c r="AM2577" s="23"/>
      <c r="AN2577" s="23"/>
      <c r="AO2577" s="23">
        <v>4</v>
      </c>
      <c r="AP2577" s="23">
        <v>3</v>
      </c>
      <c r="AQ2577" s="23"/>
      <c r="AR2577" s="23">
        <v>10</v>
      </c>
      <c r="AS2577" s="23"/>
      <c r="AT2577" s="23"/>
      <c r="AU2577" s="14" t="str">
        <f>HYPERLINK("http://www.openstreetmap.org/?mlat=31.9035&amp;mlon=44.4893&amp;zoom=12#map=12/31.9035/44.4893","Maplink1")</f>
        <v>Maplink1</v>
      </c>
      <c r="AV2577" s="14" t="str">
        <f>HYPERLINK("https://www.google.iq/maps/search/+31.9035,44.4893/@31.9035,44.4893,14z?hl=en","Maplink2")</f>
        <v>Maplink2</v>
      </c>
      <c r="AW2577" s="14" t="str">
        <f>HYPERLINK("http://www.bing.com/maps/?lvl=14&amp;sty=h&amp;cp=31.9035~44.4893&amp;sp=point.31.9035_44.4893_Hay Al Noaman","Maplink3")</f>
        <v>Maplink3</v>
      </c>
    </row>
    <row r="2578" spans="1:49" ht="15" customHeight="1" x14ac:dyDescent="0.25">
      <c r="A2578" s="21">
        <v>19911</v>
      </c>
      <c r="B2578" s="22" t="s">
        <v>20</v>
      </c>
      <c r="C2578" s="22" t="s">
        <v>4983</v>
      </c>
      <c r="D2578" s="22" t="s">
        <v>4999</v>
      </c>
      <c r="E2578" s="22" t="s">
        <v>5000</v>
      </c>
      <c r="F2578" s="22">
        <v>31.91478</v>
      </c>
      <c r="G2578" s="22">
        <v>44.480879999999999</v>
      </c>
      <c r="H2578" s="21" t="s">
        <v>4986</v>
      </c>
      <c r="I2578" s="21" t="s">
        <v>4987</v>
      </c>
      <c r="J2578" s="21" t="s">
        <v>5001</v>
      </c>
      <c r="K2578" s="24">
        <v>121</v>
      </c>
      <c r="L2578" s="24">
        <v>726</v>
      </c>
      <c r="M2578" s="23">
        <v>18</v>
      </c>
      <c r="N2578" s="23"/>
      <c r="O2578" s="23"/>
      <c r="P2578" s="23"/>
      <c r="Q2578" s="23"/>
      <c r="R2578" s="23">
        <v>5</v>
      </c>
      <c r="S2578" s="23"/>
      <c r="T2578" s="23"/>
      <c r="U2578" s="23"/>
      <c r="V2578" s="23"/>
      <c r="W2578" s="23"/>
      <c r="X2578" s="23"/>
      <c r="Y2578" s="23">
        <v>98</v>
      </c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>
        <v>61</v>
      </c>
      <c r="AK2578" s="23">
        <v>60</v>
      </c>
      <c r="AL2578" s="23"/>
      <c r="AM2578" s="23"/>
      <c r="AN2578" s="23"/>
      <c r="AO2578" s="23"/>
      <c r="AP2578" s="23">
        <v>98</v>
      </c>
      <c r="AQ2578" s="23"/>
      <c r="AR2578" s="23">
        <v>5</v>
      </c>
      <c r="AS2578" s="23">
        <v>18</v>
      </c>
      <c r="AT2578" s="23"/>
      <c r="AU2578" s="14" t="str">
        <f>HYPERLINK("http://www.openstreetmap.org/?mlat=31.9156&amp;mlon=44.4811&amp;zoom=12#map=12/31.9156/44.4811","Maplink1")</f>
        <v>Maplink1</v>
      </c>
      <c r="AV2578" s="14" t="str">
        <f>HYPERLINK("https://www.google.iq/maps/search/+31.9156,44.4811/@31.9156,44.4811,14z?hl=en","Maplink2")</f>
        <v>Maplink2</v>
      </c>
      <c r="AW2578" s="14" t="str">
        <f>HYPERLINK("http://www.bing.com/maps/?lvl=14&amp;sty=h&amp;cp=31.9156~44.4811&amp;sp=point.31.9156_44.4811_Hay almatat","Maplink3")</f>
        <v>Maplink3</v>
      </c>
    </row>
    <row r="2579" spans="1:49" ht="15" customHeight="1" x14ac:dyDescent="0.25">
      <c r="A2579" s="21">
        <v>19816</v>
      </c>
      <c r="B2579" s="22" t="s">
        <v>20</v>
      </c>
      <c r="C2579" s="22" t="s">
        <v>4983</v>
      </c>
      <c r="D2579" s="22" t="s">
        <v>5002</v>
      </c>
      <c r="E2579" s="22" t="s">
        <v>438</v>
      </c>
      <c r="F2579" s="22">
        <v>31.804167</v>
      </c>
      <c r="G2579" s="22">
        <v>44.4908</v>
      </c>
      <c r="H2579" s="21" t="s">
        <v>4986</v>
      </c>
      <c r="I2579" s="21" t="s">
        <v>4987</v>
      </c>
      <c r="J2579" s="21" t="s">
        <v>5003</v>
      </c>
      <c r="K2579" s="24">
        <v>12</v>
      </c>
      <c r="L2579" s="24">
        <v>72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12</v>
      </c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23">
        <v>12</v>
      </c>
      <c r="AL2579" s="23"/>
      <c r="AM2579" s="23"/>
      <c r="AN2579" s="23"/>
      <c r="AO2579" s="23"/>
      <c r="AP2579" s="23">
        <v>12</v>
      </c>
      <c r="AQ2579" s="23"/>
      <c r="AR2579" s="23"/>
      <c r="AS2579" s="23"/>
      <c r="AT2579" s="23"/>
      <c r="AU2579" s="14" t="str">
        <f>HYPERLINK("http://www.openstreetmap.org/?mlat=31.8042&amp;mlon=44.4942&amp;zoom=12#map=12/31.8042/44.4942","Maplink1")</f>
        <v>Maplink1</v>
      </c>
      <c r="AV2579" s="14" t="str">
        <f>HYPERLINK("https://www.google.iq/maps/search/+31.8042,44.4942/@31.8042,44.4942,14z?hl=en","Maplink2")</f>
        <v>Maplink2</v>
      </c>
      <c r="AW2579" s="14" t="str">
        <f>HYPERLINK("http://www.bing.com/maps/?lvl=14&amp;sty=h&amp;cp=31.8042~44.4942&amp;sp=point.31.8042_44.4942_Hay alsaray","Maplink3")</f>
        <v>Maplink3</v>
      </c>
    </row>
    <row r="2580" spans="1:49" ht="15" customHeight="1" x14ac:dyDescent="0.25">
      <c r="A2580" s="21">
        <v>19847</v>
      </c>
      <c r="B2580" s="22" t="s">
        <v>20</v>
      </c>
      <c r="C2580" s="22" t="s">
        <v>4983</v>
      </c>
      <c r="D2580" s="22" t="s">
        <v>5004</v>
      </c>
      <c r="E2580" s="22" t="s">
        <v>5005</v>
      </c>
      <c r="F2580" s="22">
        <v>31.889400999999999</v>
      </c>
      <c r="G2580" s="22">
        <v>44.476593999999999</v>
      </c>
      <c r="H2580" s="21" t="s">
        <v>4986</v>
      </c>
      <c r="I2580" s="21" t="s">
        <v>4987</v>
      </c>
      <c r="J2580" s="21" t="s">
        <v>5006</v>
      </c>
      <c r="K2580" s="24">
        <v>43</v>
      </c>
      <c r="L2580" s="24">
        <v>258</v>
      </c>
      <c r="M2580" s="23">
        <v>18</v>
      </c>
      <c r="N2580" s="23"/>
      <c r="O2580" s="23">
        <v>3</v>
      </c>
      <c r="P2580" s="23"/>
      <c r="Q2580" s="23"/>
      <c r="R2580" s="23">
        <v>1</v>
      </c>
      <c r="S2580" s="23"/>
      <c r="T2580" s="23"/>
      <c r="U2580" s="23"/>
      <c r="V2580" s="23"/>
      <c r="W2580" s="23"/>
      <c r="X2580" s="23"/>
      <c r="Y2580" s="23">
        <v>15</v>
      </c>
      <c r="Z2580" s="23"/>
      <c r="AA2580" s="23">
        <v>6</v>
      </c>
      <c r="AB2580" s="23"/>
      <c r="AC2580" s="23"/>
      <c r="AD2580" s="23"/>
      <c r="AE2580" s="23"/>
      <c r="AF2580" s="23"/>
      <c r="AG2580" s="23"/>
      <c r="AH2580" s="23"/>
      <c r="AI2580" s="23"/>
      <c r="AJ2580" s="23">
        <v>12</v>
      </c>
      <c r="AK2580" s="23">
        <v>31</v>
      </c>
      <c r="AL2580" s="23"/>
      <c r="AM2580" s="23"/>
      <c r="AN2580" s="23"/>
      <c r="AO2580" s="23">
        <v>1</v>
      </c>
      <c r="AP2580" s="23">
        <v>3</v>
      </c>
      <c r="AQ2580" s="23">
        <v>21</v>
      </c>
      <c r="AR2580" s="23">
        <v>18</v>
      </c>
      <c r="AS2580" s="23"/>
      <c r="AT2580" s="23"/>
      <c r="AU2580" s="14" t="str">
        <f>HYPERLINK("http://www.openstreetmap.org/?mlat=31.8917&amp;mlon=44.4672&amp;zoom=12#map=12/31.8917/44.4672","Maplink1")</f>
        <v>Maplink1</v>
      </c>
      <c r="AV2580" s="14" t="str">
        <f>HYPERLINK("https://www.google.iq/maps/search/+31.8917,44.4672/@31.8917,44.4672,14z?hl=en","Maplink2")</f>
        <v>Maplink2</v>
      </c>
      <c r="AW2580" s="14" t="str">
        <f>HYPERLINK("http://www.bing.com/maps/?lvl=14&amp;sty=h&amp;cp=31.8917~44.4672&amp;sp=point.31.8917_44.4672_Leshan","Maplink3")</f>
        <v>Maplink3</v>
      </c>
    </row>
    <row r="2581" spans="1:49" ht="15" customHeight="1" x14ac:dyDescent="0.25">
      <c r="A2581" s="21">
        <v>27146</v>
      </c>
      <c r="B2581" s="22" t="s">
        <v>20</v>
      </c>
      <c r="C2581" s="22" t="s">
        <v>4983</v>
      </c>
      <c r="D2581" s="22" t="s">
        <v>5007</v>
      </c>
      <c r="E2581" s="22" t="s">
        <v>5008</v>
      </c>
      <c r="F2581" s="22">
        <v>31.886922999999999</v>
      </c>
      <c r="G2581" s="22">
        <v>44.519199999999998</v>
      </c>
      <c r="H2581" s="21" t="s">
        <v>4986</v>
      </c>
      <c r="I2581" s="21" t="s">
        <v>4987</v>
      </c>
      <c r="J2581" s="21"/>
      <c r="K2581" s="24">
        <v>25</v>
      </c>
      <c r="L2581" s="24">
        <v>150</v>
      </c>
      <c r="M2581" s="23"/>
      <c r="N2581" s="23"/>
      <c r="O2581" s="23"/>
      <c r="P2581" s="23"/>
      <c r="Q2581" s="23"/>
      <c r="R2581" s="23">
        <v>5</v>
      </c>
      <c r="S2581" s="23"/>
      <c r="T2581" s="23"/>
      <c r="U2581" s="23"/>
      <c r="V2581" s="23"/>
      <c r="W2581" s="23"/>
      <c r="X2581" s="23"/>
      <c r="Y2581" s="23">
        <v>20</v>
      </c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>
        <v>15</v>
      </c>
      <c r="AK2581" s="23">
        <v>10</v>
      </c>
      <c r="AL2581" s="23"/>
      <c r="AM2581" s="23"/>
      <c r="AN2581" s="23"/>
      <c r="AO2581" s="23">
        <v>5</v>
      </c>
      <c r="AP2581" s="23">
        <v>20</v>
      </c>
      <c r="AQ2581" s="23"/>
      <c r="AR2581" s="23"/>
      <c r="AS2581" s="23"/>
      <c r="AT2581" s="23"/>
      <c r="AU2581" s="14" t="str">
        <f>HYPERLINK("http://www.openstreetmap.org/?mlat=31.8869&amp;mlon=44.4785&amp;zoom=12#map=12/31.8869/44.4785","Maplink1")</f>
        <v>Maplink1</v>
      </c>
      <c r="AV2581" s="14" t="str">
        <f>HYPERLINK("https://www.google.iq/maps/search/+31.8869,44.4785/@31.8869,44.4785,14z?hl=en","Maplink2")</f>
        <v>Maplink2</v>
      </c>
      <c r="AW2581" s="14" t="str">
        <f>HYPERLINK("http://www.bing.com/maps/?lvl=14&amp;sty=h&amp;cp=31.8869~44.4785&amp;sp=point.31.8869_44.4785_Suq Shaalan","Maplink3")</f>
        <v>Maplink3</v>
      </c>
    </row>
    <row r="2582" spans="1:49" ht="15" customHeight="1" x14ac:dyDescent="0.25">
      <c r="A2582" s="21">
        <v>24720</v>
      </c>
      <c r="B2582" s="22" t="s">
        <v>20</v>
      </c>
      <c r="C2582" s="22" t="s">
        <v>5009</v>
      </c>
      <c r="D2582" s="22" t="s">
        <v>5010</v>
      </c>
      <c r="E2582" s="22" t="s">
        <v>8066</v>
      </c>
      <c r="F2582" s="22">
        <v>32.137152</v>
      </c>
      <c r="G2582" s="22">
        <v>44.404403000000002</v>
      </c>
      <c r="H2582" s="21" t="s">
        <v>4986</v>
      </c>
      <c r="I2582" s="21" t="s">
        <v>5011</v>
      </c>
      <c r="J2582" s="21"/>
      <c r="K2582" s="24">
        <v>44</v>
      </c>
      <c r="L2582" s="24">
        <v>264</v>
      </c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>
        <v>44</v>
      </c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>
        <v>39</v>
      </c>
      <c r="AK2582" s="23">
        <v>5</v>
      </c>
      <c r="AL2582" s="23"/>
      <c r="AM2582" s="23"/>
      <c r="AN2582" s="23"/>
      <c r="AO2582" s="23"/>
      <c r="AP2582" s="23">
        <v>22</v>
      </c>
      <c r="AQ2582" s="23"/>
      <c r="AR2582" s="23">
        <v>22</v>
      </c>
      <c r="AS2582" s="23"/>
      <c r="AT2582" s="23"/>
      <c r="AU2582" s="14" t="str">
        <f>HYPERLINK("http://www.openstreetmap.org/?mlat=32.11&amp;mlon=44.4076&amp;zoom=12#map=12/32.11/44.4076","Maplink1")</f>
        <v>Maplink1</v>
      </c>
      <c r="AV2582" s="14" t="str">
        <f>HYPERLINK("https://www.google.iq/maps/search/+32.11,44.4076/@32.11,44.4076,14z?hl=en","Maplink2")</f>
        <v>Maplink2</v>
      </c>
      <c r="AW2582" s="14" t="str">
        <f>HYPERLINK("http://www.bing.com/maps/?lvl=14&amp;sty=h&amp;cp=32.11~44.4076&amp;sp=point.32.11_44.4076_Al Abasiyah-Al wahaby","Maplink3")</f>
        <v>Maplink3</v>
      </c>
    </row>
    <row r="2583" spans="1:49" ht="15" customHeight="1" x14ac:dyDescent="0.25">
      <c r="A2583" s="21">
        <v>24614</v>
      </c>
      <c r="B2583" s="22" t="s">
        <v>20</v>
      </c>
      <c r="C2583" s="22" t="s">
        <v>5009</v>
      </c>
      <c r="D2583" s="22" t="s">
        <v>5012</v>
      </c>
      <c r="E2583" s="22" t="s">
        <v>5013</v>
      </c>
      <c r="F2583" s="22">
        <v>32.074309999999997</v>
      </c>
      <c r="G2583" s="22">
        <v>44.434510000000003</v>
      </c>
      <c r="H2583" s="21" t="s">
        <v>4986</v>
      </c>
      <c r="I2583" s="21" t="s">
        <v>5011</v>
      </c>
      <c r="J2583" s="21"/>
      <c r="K2583" s="24">
        <v>51</v>
      </c>
      <c r="L2583" s="24">
        <v>306</v>
      </c>
      <c r="M2583" s="23"/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51</v>
      </c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>
        <v>45</v>
      </c>
      <c r="AK2583" s="23">
        <v>6</v>
      </c>
      <c r="AL2583" s="23"/>
      <c r="AM2583" s="23"/>
      <c r="AN2583" s="23"/>
      <c r="AO2583" s="23"/>
      <c r="AP2583" s="23"/>
      <c r="AQ2583" s="23"/>
      <c r="AR2583" s="23">
        <v>51</v>
      </c>
      <c r="AS2583" s="23"/>
      <c r="AT2583" s="23"/>
      <c r="AU2583" s="14" t="str">
        <f>HYPERLINK("http://www.openstreetmap.org/?mlat=32.078&amp;mlon=44.4401&amp;zoom=12#map=12/32.078/44.4401","Maplink1")</f>
        <v>Maplink1</v>
      </c>
      <c r="AV2583" s="14" t="str">
        <f>HYPERLINK("https://www.google.iq/maps/search/+32.078,44.4401/@32.078,44.4401,14z?hl=en","Maplink2")</f>
        <v>Maplink2</v>
      </c>
      <c r="AW2583" s="14" t="str">
        <f>HYPERLINK("http://www.bing.com/maps/?lvl=14&amp;sty=h&amp;cp=32.078~44.4401&amp;sp=point.32.078_44.4401_Al Abassiyah-Al Resalah 3","Maplink3")</f>
        <v>Maplink3</v>
      </c>
    </row>
    <row r="2584" spans="1:49" ht="15" customHeight="1" x14ac:dyDescent="0.25">
      <c r="A2584" s="21">
        <v>25635</v>
      </c>
      <c r="B2584" s="22" t="s">
        <v>20</v>
      </c>
      <c r="C2584" s="22" t="s">
        <v>5009</v>
      </c>
      <c r="D2584" s="22" t="s">
        <v>5014</v>
      </c>
      <c r="E2584" s="22" t="s">
        <v>8067</v>
      </c>
      <c r="F2584" s="22">
        <v>32.073979999999999</v>
      </c>
      <c r="G2584" s="22">
        <v>44.445749999999997</v>
      </c>
      <c r="H2584" s="21" t="s">
        <v>4986</v>
      </c>
      <c r="I2584" s="21" t="s">
        <v>5011</v>
      </c>
      <c r="J2584" s="21"/>
      <c r="K2584" s="24">
        <v>41</v>
      </c>
      <c r="L2584" s="24">
        <v>246</v>
      </c>
      <c r="M2584" s="23"/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>
        <v>41</v>
      </c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>
        <v>35</v>
      </c>
      <c r="AK2584" s="23">
        <v>6</v>
      </c>
      <c r="AL2584" s="23"/>
      <c r="AM2584" s="23"/>
      <c r="AN2584" s="23"/>
      <c r="AO2584" s="23"/>
      <c r="AP2584" s="23">
        <v>41</v>
      </c>
      <c r="AQ2584" s="23"/>
      <c r="AR2584" s="23"/>
      <c r="AS2584" s="23"/>
      <c r="AT2584" s="23"/>
      <c r="AU2584" s="14" t="str">
        <f>HYPERLINK("http://www.openstreetmap.org/?mlat=32.0795&amp;mlon=44.441&amp;zoom=12#map=12/32.0795/44.441","Maplink1")</f>
        <v>Maplink1</v>
      </c>
      <c r="AV2584" s="14" t="str">
        <f>HYPERLINK("https://www.google.iq/maps/search/+32.0795,44.441/@32.0795,44.441,14z?hl=en","Maplink2")</f>
        <v>Maplink2</v>
      </c>
      <c r="AW2584" s="14" t="str">
        <f>HYPERLINK("http://www.bing.com/maps/?lvl=14&amp;sty=h&amp;cp=32.0795~44.441&amp;sp=point.32.0795_44.441_Al Abassiyah-Al-Adal","Maplink3")</f>
        <v>Maplink3</v>
      </c>
    </row>
    <row r="2585" spans="1:49" ht="15" customHeight="1" x14ac:dyDescent="0.25">
      <c r="A2585" s="21">
        <v>25636</v>
      </c>
      <c r="B2585" s="22" t="s">
        <v>20</v>
      </c>
      <c r="C2585" s="22" t="s">
        <v>5009</v>
      </c>
      <c r="D2585" s="22" t="s">
        <v>5015</v>
      </c>
      <c r="E2585" s="22" t="s">
        <v>8068</v>
      </c>
      <c r="F2585" s="22">
        <v>32.079307</v>
      </c>
      <c r="G2585" s="22">
        <v>44.453724000000001</v>
      </c>
      <c r="H2585" s="21" t="s">
        <v>4986</v>
      </c>
      <c r="I2585" s="21" t="s">
        <v>5011</v>
      </c>
      <c r="J2585" s="21"/>
      <c r="K2585" s="24">
        <v>36</v>
      </c>
      <c r="L2585" s="24">
        <v>216</v>
      </c>
      <c r="M2585" s="23"/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>
        <v>36</v>
      </c>
      <c r="Z2585" s="23"/>
      <c r="AA2585" s="23"/>
      <c r="AB2585" s="23"/>
      <c r="AC2585" s="23"/>
      <c r="AD2585" s="23"/>
      <c r="AE2585" s="23"/>
      <c r="AF2585" s="23">
        <v>22</v>
      </c>
      <c r="AG2585" s="23"/>
      <c r="AH2585" s="23"/>
      <c r="AI2585" s="23"/>
      <c r="AJ2585" s="23"/>
      <c r="AK2585" s="23">
        <v>14</v>
      </c>
      <c r="AL2585" s="23"/>
      <c r="AM2585" s="23"/>
      <c r="AN2585" s="23"/>
      <c r="AO2585" s="23"/>
      <c r="AP2585" s="23">
        <v>36</v>
      </c>
      <c r="AQ2585" s="23"/>
      <c r="AR2585" s="23"/>
      <c r="AS2585" s="23"/>
      <c r="AT2585" s="23"/>
      <c r="AU2585" s="14" t="str">
        <f>HYPERLINK("http://www.openstreetmap.org/?mlat=32.0794&amp;mlon=44.44&amp;zoom=12#map=12/32.0794/44.44","Maplink1")</f>
        <v>Maplink1</v>
      </c>
      <c r="AV2585" s="14" t="str">
        <f>HYPERLINK("https://www.google.iq/maps/search/+32.0794,44.44/@32.0794,44.44,14z?hl=en","Maplink2")</f>
        <v>Maplink2</v>
      </c>
      <c r="AW2585" s="14" t="str">
        <f>HYPERLINK("http://www.bing.com/maps/?lvl=14&amp;sty=h&amp;cp=32.0794~44.44&amp;sp=point.32.0794_44.44_Al Abassiyah-Al-Zaidi","Maplink3")</f>
        <v>Maplink3</v>
      </c>
    </row>
    <row r="2586" spans="1:49" ht="15" customHeight="1" x14ac:dyDescent="0.25">
      <c r="A2586" s="21">
        <v>20173</v>
      </c>
      <c r="B2586" s="22" t="s">
        <v>20</v>
      </c>
      <c r="C2586" s="22" t="s">
        <v>5009</v>
      </c>
      <c r="D2586" s="22" t="s">
        <v>5016</v>
      </c>
      <c r="E2586" s="22" t="s">
        <v>8069</v>
      </c>
      <c r="F2586" s="22">
        <v>32.074722000000001</v>
      </c>
      <c r="G2586" s="22">
        <v>44.435699999999997</v>
      </c>
      <c r="H2586" s="21" t="s">
        <v>4986</v>
      </c>
      <c r="I2586" s="21" t="s">
        <v>5011</v>
      </c>
      <c r="J2586" s="21" t="s">
        <v>5017</v>
      </c>
      <c r="K2586" s="24">
        <v>45</v>
      </c>
      <c r="L2586" s="24">
        <v>270</v>
      </c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45</v>
      </c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>
        <v>18</v>
      </c>
      <c r="AK2586" s="23">
        <v>27</v>
      </c>
      <c r="AL2586" s="23"/>
      <c r="AM2586" s="23"/>
      <c r="AN2586" s="23"/>
      <c r="AO2586" s="23"/>
      <c r="AP2586" s="23">
        <v>45</v>
      </c>
      <c r="AQ2586" s="23"/>
      <c r="AR2586" s="23"/>
      <c r="AS2586" s="23"/>
      <c r="AT2586" s="23"/>
      <c r="AU2586" s="14" t="str">
        <f>HYPERLINK("http://www.openstreetmap.org/?mlat=32.0747&amp;mlon=44.4431&amp;zoom=12#map=12/32.0747/44.4431","Maplink1")</f>
        <v>Maplink1</v>
      </c>
      <c r="AV2586" s="14" t="str">
        <f>HYPERLINK("https://www.google.iq/maps/search/+32.0747,44.4431/@32.0747,44.4431,14z?hl=en","Maplink2")</f>
        <v>Maplink2</v>
      </c>
      <c r="AW2586" s="14" t="str">
        <f>HYPERLINK("http://www.bing.com/maps/?lvl=14&amp;sty=h&amp;cp=32.0747~44.4431&amp;sp=point.32.0747_44.4431_Al Abassiyah-Hay Al muntadher","Maplink3")</f>
        <v>Maplink3</v>
      </c>
    </row>
    <row r="2587" spans="1:49" ht="15" customHeight="1" x14ac:dyDescent="0.25">
      <c r="A2587" s="21">
        <v>24613</v>
      </c>
      <c r="B2587" s="22" t="s">
        <v>20</v>
      </c>
      <c r="C2587" s="22" t="s">
        <v>5009</v>
      </c>
      <c r="D2587" s="22" t="s">
        <v>5018</v>
      </c>
      <c r="E2587" s="22" t="s">
        <v>5019</v>
      </c>
      <c r="F2587" s="22">
        <v>32.075380000000003</v>
      </c>
      <c r="G2587" s="22">
        <v>44.437570000000001</v>
      </c>
      <c r="H2587" s="21" t="s">
        <v>4986</v>
      </c>
      <c r="I2587" s="21" t="s">
        <v>5011</v>
      </c>
      <c r="J2587" s="21"/>
      <c r="K2587" s="24">
        <v>67</v>
      </c>
      <c r="L2587" s="24">
        <v>402</v>
      </c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67</v>
      </c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>
        <v>41</v>
      </c>
      <c r="AK2587" s="23">
        <v>26</v>
      </c>
      <c r="AL2587" s="23"/>
      <c r="AM2587" s="23"/>
      <c r="AN2587" s="23"/>
      <c r="AO2587" s="23"/>
      <c r="AP2587" s="23">
        <v>26</v>
      </c>
      <c r="AQ2587" s="23"/>
      <c r="AR2587" s="23">
        <v>41</v>
      </c>
      <c r="AS2587" s="23"/>
      <c r="AT2587" s="23"/>
      <c r="AU2587" s="14" t="str">
        <f>HYPERLINK("http://www.openstreetmap.org/?mlat=32.0796&amp;mlon=44.4423&amp;zoom=12#map=12/32.0796/44.4423","Maplink1")</f>
        <v>Maplink1</v>
      </c>
      <c r="AV2587" s="14" t="str">
        <f>HYPERLINK("https://www.google.iq/maps/search/+32.0796,44.4423/@32.0796,44.4423,14z?hl=en","Maplink2")</f>
        <v>Maplink2</v>
      </c>
      <c r="AW2587" s="14" t="str">
        <f>HYPERLINK("http://www.bing.com/maps/?lvl=14&amp;sty=h&amp;cp=32.0796~44.4423&amp;sp=point.32.0796_44.4423_Al Abassiyah-Hay Al Resalah 2","Maplink3")</f>
        <v>Maplink3</v>
      </c>
    </row>
    <row r="2588" spans="1:49" ht="15" customHeight="1" x14ac:dyDescent="0.25">
      <c r="A2588" s="21">
        <v>25634</v>
      </c>
      <c r="B2588" s="22" t="s">
        <v>20</v>
      </c>
      <c r="C2588" s="22" t="s">
        <v>5009</v>
      </c>
      <c r="D2588" s="22" t="s">
        <v>5020</v>
      </c>
      <c r="E2588" s="22" t="s">
        <v>8070</v>
      </c>
      <c r="F2588" s="22">
        <v>32.046633</v>
      </c>
      <c r="G2588" s="22">
        <v>44.427092999999999</v>
      </c>
      <c r="H2588" s="21" t="s">
        <v>4986</v>
      </c>
      <c r="I2588" s="21" t="s">
        <v>5011</v>
      </c>
      <c r="J2588" s="21"/>
      <c r="K2588" s="24">
        <v>43</v>
      </c>
      <c r="L2588" s="24">
        <v>258</v>
      </c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>
        <v>43</v>
      </c>
      <c r="Z2588" s="23"/>
      <c r="AA2588" s="23"/>
      <c r="AB2588" s="23"/>
      <c r="AC2588" s="23"/>
      <c r="AD2588" s="23"/>
      <c r="AE2588" s="23"/>
      <c r="AF2588" s="23">
        <v>3</v>
      </c>
      <c r="AG2588" s="23"/>
      <c r="AH2588" s="23"/>
      <c r="AI2588" s="23"/>
      <c r="AJ2588" s="23">
        <v>40</v>
      </c>
      <c r="AK2588" s="23"/>
      <c r="AL2588" s="23"/>
      <c r="AM2588" s="23"/>
      <c r="AN2588" s="23"/>
      <c r="AO2588" s="23"/>
      <c r="AP2588" s="23"/>
      <c r="AQ2588" s="23">
        <v>43</v>
      </c>
      <c r="AR2588" s="23"/>
      <c r="AS2588" s="23"/>
      <c r="AT2588" s="23"/>
      <c r="AU2588" s="14" t="str">
        <f>HYPERLINK("http://www.openstreetmap.org/?mlat=32.0796&amp;mlon=44.443&amp;zoom=12#map=12/32.0796/44.443","Maplink1")</f>
        <v>Maplink1</v>
      </c>
      <c r="AV2588" s="14" t="str">
        <f>HYPERLINK("https://www.google.iq/maps/search/+32.0796,44.443/@32.0796,44.443,14z?hl=en","Maplink2")</f>
        <v>Maplink2</v>
      </c>
      <c r="AW2588" s="14" t="str">
        <f>HYPERLINK("http://www.bing.com/maps/?lvl=14&amp;sty=h&amp;cp=32.0796~44.443&amp;sp=point.32.0796_44.443_Al Abassiyah-Mamal","Maplink3")</f>
        <v>Maplink3</v>
      </c>
    </row>
    <row r="2589" spans="1:49" ht="15" customHeight="1" x14ac:dyDescent="0.25">
      <c r="A2589" s="21">
        <v>20298</v>
      </c>
      <c r="B2589" s="22" t="s">
        <v>20</v>
      </c>
      <c r="C2589" s="22" t="s">
        <v>5009</v>
      </c>
      <c r="D2589" s="22" t="s">
        <v>5021</v>
      </c>
      <c r="E2589" s="22" t="s">
        <v>5022</v>
      </c>
      <c r="F2589" s="22">
        <v>32.003320000000002</v>
      </c>
      <c r="G2589" s="22">
        <v>44.391939999999998</v>
      </c>
      <c r="H2589" s="21" t="s">
        <v>4986</v>
      </c>
      <c r="I2589" s="21" t="s">
        <v>5011</v>
      </c>
      <c r="J2589" s="21" t="s">
        <v>5023</v>
      </c>
      <c r="K2589" s="24">
        <v>90</v>
      </c>
      <c r="L2589" s="24">
        <v>540</v>
      </c>
      <c r="M2589" s="23"/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>
        <v>90</v>
      </c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>
        <v>90</v>
      </c>
      <c r="AL2589" s="23"/>
      <c r="AM2589" s="23"/>
      <c r="AN2589" s="23"/>
      <c r="AO2589" s="23"/>
      <c r="AP2589" s="23">
        <v>73</v>
      </c>
      <c r="AQ2589" s="23">
        <v>17</v>
      </c>
      <c r="AR2589" s="23"/>
      <c r="AS2589" s="23"/>
      <c r="AT2589" s="23"/>
      <c r="AU2589" s="14" t="str">
        <f>HYPERLINK("http://www.openstreetmap.org/?mlat=32.03&amp;mlon=44.39&amp;zoom=12#map=12/32.03/44.39","Maplink1")</f>
        <v>Maplink1</v>
      </c>
      <c r="AV2589" s="14" t="str">
        <f>HYPERLINK("https://www.google.iq/maps/search/+32.03,44.39/@32.03,44.39,14z?hl=en","Maplink2")</f>
        <v>Maplink2</v>
      </c>
      <c r="AW2589" s="14" t="str">
        <f>HYPERLINK("http://www.bing.com/maps/?lvl=14&amp;sty=h&amp;cp=32.03~44.39&amp;sp=point.32.03_44.39_Al Barakiya","Maplink3")</f>
        <v>Maplink3</v>
      </c>
    </row>
    <row r="2590" spans="1:49" ht="15" customHeight="1" x14ac:dyDescent="0.25">
      <c r="A2590" s="21">
        <v>24615</v>
      </c>
      <c r="B2590" s="22" t="s">
        <v>20</v>
      </c>
      <c r="C2590" s="22" t="s">
        <v>5009</v>
      </c>
      <c r="D2590" s="22" t="s">
        <v>5024</v>
      </c>
      <c r="E2590" s="22" t="s">
        <v>4949</v>
      </c>
      <c r="F2590" s="22">
        <v>31.995023</v>
      </c>
      <c r="G2590" s="22">
        <v>44.357309000000001</v>
      </c>
      <c r="H2590" s="21" t="s">
        <v>4986</v>
      </c>
      <c r="I2590" s="21" t="s">
        <v>5011</v>
      </c>
      <c r="J2590" s="21"/>
      <c r="K2590" s="24">
        <v>27</v>
      </c>
      <c r="L2590" s="24">
        <v>162</v>
      </c>
      <c r="M2590" s="23"/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>
        <v>27</v>
      </c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>
        <v>18</v>
      </c>
      <c r="AK2590" s="23">
        <v>9</v>
      </c>
      <c r="AL2590" s="23"/>
      <c r="AM2590" s="23"/>
      <c r="AN2590" s="23"/>
      <c r="AO2590" s="23"/>
      <c r="AP2590" s="23"/>
      <c r="AQ2590" s="23"/>
      <c r="AR2590" s="23">
        <v>27</v>
      </c>
      <c r="AS2590" s="23"/>
      <c r="AT2590" s="23"/>
      <c r="AU2590" s="14" t="str">
        <f>HYPERLINK("http://www.openstreetmap.org/?mlat=32.0806&amp;mlon=44.4439&amp;zoom=12#map=12/32.0806/44.4439","Maplink1")</f>
        <v>Maplink1</v>
      </c>
      <c r="AV2590" s="14" t="str">
        <f>HYPERLINK("https://www.google.iq/maps/search/+32.0806,44.4439/@32.0806,44.4439,14z?hl=en","Maplink2")</f>
        <v>Maplink2</v>
      </c>
      <c r="AW2590" s="14" t="str">
        <f>HYPERLINK("http://www.bing.com/maps/?lvl=14&amp;sty=h&amp;cp=32.0806~44.4439&amp;sp=point.32.0806_44.4439_Al Hakeem","Maplink3")</f>
        <v>Maplink3</v>
      </c>
    </row>
    <row r="2591" spans="1:49" ht="15" customHeight="1" x14ac:dyDescent="0.25">
      <c r="A2591" s="21">
        <v>20340</v>
      </c>
      <c r="B2591" s="22" t="s">
        <v>20</v>
      </c>
      <c r="C2591" s="22" t="s">
        <v>5009</v>
      </c>
      <c r="D2591" s="22" t="s">
        <v>5025</v>
      </c>
      <c r="E2591" s="22" t="s">
        <v>609</v>
      </c>
      <c r="F2591" s="22">
        <v>32.103444000000003</v>
      </c>
      <c r="G2591" s="22">
        <v>44.543801999999999</v>
      </c>
      <c r="H2591" s="21" t="s">
        <v>4986</v>
      </c>
      <c r="I2591" s="21" t="s">
        <v>5011</v>
      </c>
      <c r="J2591" s="21" t="s">
        <v>5026</v>
      </c>
      <c r="K2591" s="24">
        <v>55</v>
      </c>
      <c r="L2591" s="24">
        <v>330</v>
      </c>
      <c r="M2591" s="23"/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55</v>
      </c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>
        <v>10</v>
      </c>
      <c r="AK2591" s="23">
        <v>45</v>
      </c>
      <c r="AL2591" s="23"/>
      <c r="AM2591" s="23"/>
      <c r="AN2591" s="23"/>
      <c r="AO2591" s="23"/>
      <c r="AP2591" s="23"/>
      <c r="AQ2591" s="23">
        <v>55</v>
      </c>
      <c r="AR2591" s="23"/>
      <c r="AS2591" s="23"/>
      <c r="AT2591" s="23"/>
      <c r="AU2591" s="14" t="str">
        <f>HYPERLINK("http://www.openstreetmap.org/?mlat=32.0916&amp;mlon=44.542&amp;zoom=12#map=12/32.0916/44.542","Maplink1")</f>
        <v>Maplink1</v>
      </c>
      <c r="AV2591" s="14" t="str">
        <f>HYPERLINK("https://www.google.iq/maps/search/+32.0916,44.542/@32.0916,44.542,14z?hl=en","Maplink2")</f>
        <v>Maplink2</v>
      </c>
      <c r="AW2591" s="14" t="str">
        <f>HYPERLINK("http://www.bing.com/maps/?lvl=14&amp;sty=h&amp;cp=32.0916~44.542&amp;sp=point.32.0916_44.542_Al Hureya","Maplink3")</f>
        <v>Maplink3</v>
      </c>
    </row>
    <row r="2592" spans="1:49" ht="15" customHeight="1" x14ac:dyDescent="0.25">
      <c r="A2592" s="21">
        <v>24375</v>
      </c>
      <c r="B2592" s="22" t="s">
        <v>20</v>
      </c>
      <c r="C2592" s="22" t="s">
        <v>5009</v>
      </c>
      <c r="D2592" s="22" t="s">
        <v>5027</v>
      </c>
      <c r="E2592" s="22" t="s">
        <v>5028</v>
      </c>
      <c r="F2592" s="22">
        <v>32.028460000000003</v>
      </c>
      <c r="G2592" s="22">
        <v>44.40654</v>
      </c>
      <c r="H2592" s="21" t="s">
        <v>4986</v>
      </c>
      <c r="I2592" s="21" t="s">
        <v>5011</v>
      </c>
      <c r="J2592" s="21"/>
      <c r="K2592" s="24">
        <v>130</v>
      </c>
      <c r="L2592" s="24">
        <v>780</v>
      </c>
      <c r="M2592" s="23">
        <v>4</v>
      </c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126</v>
      </c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>
        <v>4</v>
      </c>
      <c r="AK2592" s="23">
        <v>126</v>
      </c>
      <c r="AL2592" s="23"/>
      <c r="AM2592" s="23"/>
      <c r="AN2592" s="23"/>
      <c r="AO2592" s="23"/>
      <c r="AP2592" s="23">
        <v>90</v>
      </c>
      <c r="AQ2592" s="23"/>
      <c r="AR2592" s="23">
        <v>12</v>
      </c>
      <c r="AS2592" s="23">
        <v>28</v>
      </c>
      <c r="AT2592" s="23"/>
      <c r="AU2592" s="14" t="str">
        <f>HYPERLINK("http://www.openstreetmap.org/?mlat=32.0185&amp;mlon=44.4154&amp;zoom=12#map=12/32.0185/44.4154","Maplink1")</f>
        <v>Maplink1</v>
      </c>
      <c r="AV2592" s="14" t="str">
        <f>HYPERLINK("https://www.google.iq/maps/search/+32.0185,44.4154/@32.0185,44.4154,14z?hl=en","Maplink2")</f>
        <v>Maplink2</v>
      </c>
      <c r="AW2592" s="14" t="str">
        <f>HYPERLINK("http://www.bing.com/maps/?lvl=14&amp;sty=h&amp;cp=32.0185~44.4154&amp;sp=point.32.0185_44.4154_Al Kreishat","Maplink3")</f>
        <v>Maplink3</v>
      </c>
    </row>
    <row r="2593" spans="1:49" ht="15" customHeight="1" x14ac:dyDescent="0.25">
      <c r="A2593" s="21">
        <v>19634</v>
      </c>
      <c r="B2593" s="22" t="s">
        <v>20</v>
      </c>
      <c r="C2593" s="22" t="s">
        <v>5009</v>
      </c>
      <c r="D2593" s="22" t="s">
        <v>5029</v>
      </c>
      <c r="E2593" s="22" t="s">
        <v>5030</v>
      </c>
      <c r="F2593" s="22">
        <v>32.038330000000002</v>
      </c>
      <c r="G2593" s="22">
        <v>44.382759999999998</v>
      </c>
      <c r="H2593" s="21" t="s">
        <v>4986</v>
      </c>
      <c r="I2593" s="21" t="s">
        <v>5011</v>
      </c>
      <c r="J2593" s="21" t="s">
        <v>5031</v>
      </c>
      <c r="K2593" s="24">
        <v>38</v>
      </c>
      <c r="L2593" s="24">
        <v>228</v>
      </c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38</v>
      </c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>
        <v>5</v>
      </c>
      <c r="AK2593" s="23">
        <v>33</v>
      </c>
      <c r="AL2593" s="23"/>
      <c r="AM2593" s="23"/>
      <c r="AN2593" s="23"/>
      <c r="AO2593" s="23"/>
      <c r="AP2593" s="23">
        <v>38</v>
      </c>
      <c r="AQ2593" s="23"/>
      <c r="AR2593" s="23"/>
      <c r="AS2593" s="23"/>
      <c r="AT2593" s="23"/>
      <c r="AU2593" s="14" t="str">
        <f>HYPERLINK("http://www.openstreetmap.org/?mlat=32.04&amp;mlon=44.3785&amp;zoom=12#map=12/32.04/44.3785","Maplink1")</f>
        <v>Maplink1</v>
      </c>
      <c r="AV2593" s="14" t="str">
        <f>HYPERLINK("https://www.google.iq/maps/search/+32.04,44.3785/@32.04,44.3785,14z?hl=en","Maplink2")</f>
        <v>Maplink2</v>
      </c>
      <c r="AW2593" s="14" t="str">
        <f>HYPERLINK("http://www.bing.com/maps/?lvl=14&amp;sty=h&amp;cp=32.04~44.3785&amp;sp=point.32.04_44.3785_Al Sahla","Maplink3")</f>
        <v>Maplink3</v>
      </c>
    </row>
    <row r="2594" spans="1:49" ht="15" customHeight="1" x14ac:dyDescent="0.25">
      <c r="A2594" s="21">
        <v>20089</v>
      </c>
      <c r="B2594" s="22" t="s">
        <v>20</v>
      </c>
      <c r="C2594" s="22" t="s">
        <v>5009</v>
      </c>
      <c r="D2594" s="22" t="s">
        <v>5032</v>
      </c>
      <c r="E2594" s="22" t="s">
        <v>5033</v>
      </c>
      <c r="F2594" s="22">
        <v>32.04318</v>
      </c>
      <c r="G2594" s="22">
        <v>44.379539999999999</v>
      </c>
      <c r="H2594" s="21" t="s">
        <v>4986</v>
      </c>
      <c r="I2594" s="21" t="s">
        <v>5011</v>
      </c>
      <c r="J2594" s="21" t="s">
        <v>5034</v>
      </c>
      <c r="K2594" s="24">
        <v>64</v>
      </c>
      <c r="L2594" s="24">
        <v>384</v>
      </c>
      <c r="M2594" s="23"/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>
        <v>53</v>
      </c>
      <c r="Z2594" s="23"/>
      <c r="AA2594" s="23">
        <v>11</v>
      </c>
      <c r="AB2594" s="23"/>
      <c r="AC2594" s="23"/>
      <c r="AD2594" s="23"/>
      <c r="AE2594" s="23"/>
      <c r="AF2594" s="23"/>
      <c r="AG2594" s="23"/>
      <c r="AH2594" s="23"/>
      <c r="AI2594" s="23"/>
      <c r="AJ2594" s="23">
        <v>11</v>
      </c>
      <c r="AK2594" s="23">
        <v>53</v>
      </c>
      <c r="AL2594" s="23"/>
      <c r="AM2594" s="23"/>
      <c r="AN2594" s="23"/>
      <c r="AO2594" s="23"/>
      <c r="AP2594" s="23"/>
      <c r="AQ2594" s="23"/>
      <c r="AR2594" s="23">
        <v>64</v>
      </c>
      <c r="AS2594" s="23"/>
      <c r="AT2594" s="23"/>
      <c r="AU2594" s="14" t="str">
        <f>HYPERLINK("http://www.openstreetmap.org/?mlat=32.039&amp;mlon=44.3779&amp;zoom=12#map=12/32.039/44.3779","Maplink1")</f>
        <v>Maplink1</v>
      </c>
      <c r="AV2594" s="14" t="str">
        <f>HYPERLINK("https://www.google.iq/maps/search/+32.039,44.3779/@32.039,44.3779,14z?hl=en","Maplink2")</f>
        <v>Maplink2</v>
      </c>
      <c r="AW2594" s="14" t="str">
        <f>HYPERLINK("http://www.bing.com/maps/?lvl=14&amp;sty=h&amp;cp=32.039~44.3779&amp;sp=point.32.039_44.3779_Al Suhailiya 1","Maplink3")</f>
        <v>Maplink3</v>
      </c>
    </row>
    <row r="2595" spans="1:49" ht="15" customHeight="1" x14ac:dyDescent="0.25">
      <c r="A2595" s="21">
        <v>25644</v>
      </c>
      <c r="B2595" s="22" t="s">
        <v>20</v>
      </c>
      <c r="C2595" s="22" t="s">
        <v>5009</v>
      </c>
      <c r="D2595" s="22" t="s">
        <v>5035</v>
      </c>
      <c r="E2595" s="22" t="s">
        <v>5036</v>
      </c>
      <c r="F2595" s="22">
        <v>32.036929999999998</v>
      </c>
      <c r="G2595" s="22">
        <v>44.388060000000003</v>
      </c>
      <c r="H2595" s="21" t="s">
        <v>4986</v>
      </c>
      <c r="I2595" s="21" t="s">
        <v>5011</v>
      </c>
      <c r="J2595" s="21"/>
      <c r="K2595" s="24">
        <v>70</v>
      </c>
      <c r="L2595" s="24">
        <v>420</v>
      </c>
      <c r="M2595" s="23"/>
      <c r="N2595" s="23"/>
      <c r="O2595" s="23"/>
      <c r="P2595" s="23"/>
      <c r="Q2595" s="23"/>
      <c r="R2595" s="23">
        <v>4</v>
      </c>
      <c r="S2595" s="23"/>
      <c r="T2595" s="23"/>
      <c r="U2595" s="23"/>
      <c r="V2595" s="23"/>
      <c r="W2595" s="23"/>
      <c r="X2595" s="23"/>
      <c r="Y2595" s="23">
        <v>66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>
        <v>4</v>
      </c>
      <c r="AK2595" s="23">
        <v>66</v>
      </c>
      <c r="AL2595" s="23"/>
      <c r="AM2595" s="23"/>
      <c r="AN2595" s="23"/>
      <c r="AO2595" s="23">
        <v>66</v>
      </c>
      <c r="AP2595" s="23"/>
      <c r="AQ2595" s="23"/>
      <c r="AR2595" s="23">
        <v>4</v>
      </c>
      <c r="AS2595" s="23"/>
      <c r="AT2595" s="23"/>
      <c r="AU2595" s="14" t="str">
        <f>HYPERLINK("http://www.openstreetmap.org/?mlat=32.039&amp;mlon=44.3779&amp;zoom=12#map=12/32.039/44.3779","Maplink1")</f>
        <v>Maplink1</v>
      </c>
      <c r="AV2595" s="14" t="str">
        <f>HYPERLINK("https://www.google.iq/maps/search/+32.039,44.3779/@32.039,44.3779,14z?hl=en","Maplink2")</f>
        <v>Maplink2</v>
      </c>
      <c r="AW2595" s="14" t="str">
        <f>HYPERLINK("http://www.bing.com/maps/?lvl=14&amp;sty=h&amp;cp=32.039~44.3779&amp;sp=point.32.039_44.3779_Al Suhailiya 2","Maplink3")</f>
        <v>Maplink3</v>
      </c>
    </row>
    <row r="2596" spans="1:49" ht="15" customHeight="1" x14ac:dyDescent="0.25">
      <c r="A2596" s="21">
        <v>28477</v>
      </c>
      <c r="B2596" s="22" t="s">
        <v>20</v>
      </c>
      <c r="C2596" s="22" t="s">
        <v>5009</v>
      </c>
      <c r="D2596" s="22" t="s">
        <v>5037</v>
      </c>
      <c r="E2596" s="22" t="s">
        <v>291</v>
      </c>
      <c r="F2596" s="22">
        <v>32.032910000000001</v>
      </c>
      <c r="G2596" s="22">
        <v>44.39602</v>
      </c>
      <c r="H2596" s="21" t="s">
        <v>4986</v>
      </c>
      <c r="I2596" s="21" t="s">
        <v>5011</v>
      </c>
      <c r="J2596" s="21"/>
      <c r="K2596" s="24">
        <v>11</v>
      </c>
      <c r="L2596" s="24">
        <v>66</v>
      </c>
      <c r="M2596" s="23"/>
      <c r="N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>
        <v>11</v>
      </c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>
        <v>11</v>
      </c>
      <c r="AL2596" s="23"/>
      <c r="AM2596" s="23"/>
      <c r="AN2596" s="23"/>
      <c r="AO2596" s="23"/>
      <c r="AP2596" s="23"/>
      <c r="AQ2596" s="23"/>
      <c r="AR2596" s="23">
        <v>11</v>
      </c>
      <c r="AS2596" s="23"/>
      <c r="AT2596" s="23"/>
      <c r="AU2596" s="14" t="str">
        <f>HYPERLINK("http://www.openstreetmap.org/?mlat=32.0332&amp;mlon=44.3963&amp;zoom=12#map=12/32.0332/44.3963","Maplink1")</f>
        <v>Maplink1</v>
      </c>
      <c r="AV2596" s="14" t="str">
        <f>HYPERLINK("https://www.google.iq/maps/search/+32.0332,44.3963/@32.0332,44.3963,14z?hl=en","Maplink2")</f>
        <v>Maplink2</v>
      </c>
      <c r="AW2596" s="14" t="str">
        <f>HYPERLINK("http://www.bing.com/maps/?lvl=14&amp;sty=h&amp;cp=32.0332~44.3963&amp;sp=point.32.0332_44.3963_Al Angaa","Maplink3")</f>
        <v>Maplink3</v>
      </c>
    </row>
    <row r="2597" spans="1:49" ht="15" customHeight="1" x14ac:dyDescent="0.25">
      <c r="A2597" s="21">
        <v>25855</v>
      </c>
      <c r="B2597" s="22" t="s">
        <v>20</v>
      </c>
      <c r="C2597" s="22" t="s">
        <v>5009</v>
      </c>
      <c r="D2597" s="22" t="s">
        <v>5038</v>
      </c>
      <c r="E2597" s="22" t="s">
        <v>5039</v>
      </c>
      <c r="F2597" s="22">
        <v>32.010800000000003</v>
      </c>
      <c r="G2597" s="22">
        <v>44.455649999999999</v>
      </c>
      <c r="H2597" s="21" t="s">
        <v>4986</v>
      </c>
      <c r="I2597" s="21" t="s">
        <v>5011</v>
      </c>
      <c r="J2597" s="21"/>
      <c r="K2597" s="24">
        <v>15</v>
      </c>
      <c r="L2597" s="24">
        <v>90</v>
      </c>
      <c r="M2597" s="23">
        <v>5</v>
      </c>
      <c r="N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>
        <v>10</v>
      </c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>
        <v>5</v>
      </c>
      <c r="AJ2597" s="23"/>
      <c r="AK2597" s="23">
        <v>10</v>
      </c>
      <c r="AL2597" s="23"/>
      <c r="AM2597" s="23"/>
      <c r="AN2597" s="23"/>
      <c r="AO2597" s="23">
        <v>5</v>
      </c>
      <c r="AP2597" s="23"/>
      <c r="AQ2597" s="23"/>
      <c r="AR2597" s="23">
        <v>10</v>
      </c>
      <c r="AS2597" s="23"/>
      <c r="AT2597" s="23"/>
      <c r="AU2597" s="14" t="str">
        <f>HYPERLINK("http://www.openstreetmap.org/?mlat=31.9741&amp;mlon=44.4716&amp;zoom=12#map=12/31.9741/44.4716","Maplink1")</f>
        <v>Maplink1</v>
      </c>
      <c r="AV2597" s="14" t="str">
        <f>HYPERLINK("https://www.google.iq/maps/search/+31.9741,44.4716/@31.9741,44.4716,14z?hl=en","Maplink2")</f>
        <v>Maplink2</v>
      </c>
      <c r="AW2597" s="14" t="str">
        <f>HYPERLINK("http://www.bing.com/maps/?lvl=14&amp;sty=h&amp;cp=31.9741~44.4716&amp;sp=point.31.9741_44.4716_Al-kufa Area-Al Issa","Maplink3")</f>
        <v>Maplink3</v>
      </c>
    </row>
    <row r="2598" spans="1:49" ht="15" customHeight="1" x14ac:dyDescent="0.25">
      <c r="A2598" s="21">
        <v>24374</v>
      </c>
      <c r="B2598" s="22" t="s">
        <v>20</v>
      </c>
      <c r="C2598" s="22" t="s">
        <v>5009</v>
      </c>
      <c r="D2598" s="22" t="s">
        <v>5040</v>
      </c>
      <c r="E2598" s="22" t="s">
        <v>5041</v>
      </c>
      <c r="F2598" s="22">
        <v>32.059449999999998</v>
      </c>
      <c r="G2598" s="22">
        <v>44.401980000000002</v>
      </c>
      <c r="H2598" s="21" t="s">
        <v>4986</v>
      </c>
      <c r="I2598" s="21" t="s">
        <v>5011</v>
      </c>
      <c r="J2598" s="21"/>
      <c r="K2598" s="24">
        <v>74</v>
      </c>
      <c r="L2598" s="24">
        <v>444</v>
      </c>
      <c r="M2598" s="23"/>
      <c r="N2598" s="23"/>
      <c r="O2598" s="23"/>
      <c r="P2598" s="23"/>
      <c r="Q2598" s="23"/>
      <c r="R2598" s="23"/>
      <c r="S2598" s="23"/>
      <c r="T2598" s="23"/>
      <c r="U2598" s="23">
        <v>23</v>
      </c>
      <c r="V2598" s="23"/>
      <c r="W2598" s="23"/>
      <c r="X2598" s="23"/>
      <c r="Y2598" s="23">
        <v>51</v>
      </c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>
        <v>7</v>
      </c>
      <c r="AK2598" s="23">
        <v>67</v>
      </c>
      <c r="AL2598" s="23"/>
      <c r="AM2598" s="23"/>
      <c r="AN2598" s="23"/>
      <c r="AO2598" s="23"/>
      <c r="AP2598" s="23">
        <v>28</v>
      </c>
      <c r="AQ2598" s="23"/>
      <c r="AR2598" s="23">
        <v>46</v>
      </c>
      <c r="AS2598" s="23"/>
      <c r="AT2598" s="23"/>
      <c r="AU2598" s="14" t="str">
        <f>HYPERLINK("http://www.openstreetmap.org/?mlat=32.0548&amp;mlon=44.3874&amp;zoom=12#map=12/32.0548/44.3874","Maplink1")</f>
        <v>Maplink1</v>
      </c>
      <c r="AV2598" s="14" t="str">
        <f>HYPERLINK("https://www.google.iq/maps/search/+32.0548,44.3874/@32.0548,44.3874,14z?hl=en","Maplink2")</f>
        <v>Maplink2</v>
      </c>
      <c r="AW2598" s="14" t="str">
        <f>HYPERLINK("http://www.bing.com/maps/?lvl=14&amp;sty=h&amp;cp=32.0548~44.3874&amp;sp=point.32.0548_44.3874_Albu Hadary","Maplink3")</f>
        <v>Maplink3</v>
      </c>
    </row>
    <row r="2599" spans="1:49" ht="15" customHeight="1" x14ac:dyDescent="0.25">
      <c r="A2599" s="21">
        <v>23485</v>
      </c>
      <c r="B2599" s="22" t="s">
        <v>20</v>
      </c>
      <c r="C2599" s="22" t="s">
        <v>5009</v>
      </c>
      <c r="D2599" s="22" t="s">
        <v>5042</v>
      </c>
      <c r="E2599" s="22" t="s">
        <v>5043</v>
      </c>
      <c r="F2599" s="22">
        <v>32.038573</v>
      </c>
      <c r="G2599" s="22">
        <v>44.427684999999997</v>
      </c>
      <c r="H2599" s="21" t="s">
        <v>4986</v>
      </c>
      <c r="I2599" s="21" t="s">
        <v>5011</v>
      </c>
      <c r="J2599" s="21" t="s">
        <v>5044</v>
      </c>
      <c r="K2599" s="24">
        <v>43</v>
      </c>
      <c r="L2599" s="24">
        <v>258</v>
      </c>
      <c r="M2599" s="23"/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43</v>
      </c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>
        <v>33</v>
      </c>
      <c r="AK2599" s="23">
        <v>10</v>
      </c>
      <c r="AL2599" s="23"/>
      <c r="AM2599" s="23"/>
      <c r="AN2599" s="23"/>
      <c r="AO2599" s="23"/>
      <c r="AP2599" s="23">
        <v>43</v>
      </c>
      <c r="AQ2599" s="23"/>
      <c r="AR2599" s="23"/>
      <c r="AS2599" s="23"/>
      <c r="AT2599" s="23"/>
      <c r="AU2599" s="14" t="str">
        <f>HYPERLINK("http://www.openstreetmap.org/?mlat=32.0185&amp;mlon=44.4447&amp;zoom=12#map=12/32.0185/44.4447","Maplink1")</f>
        <v>Maplink1</v>
      </c>
      <c r="AV2599" s="14" t="str">
        <f>HYPERLINK("https://www.google.iq/maps/search/+32.0185,44.4447/@32.0185,44.4447,14z?hl=en","Maplink2")</f>
        <v>Maplink2</v>
      </c>
      <c r="AW2599" s="14" t="str">
        <f>HYPERLINK("http://www.bing.com/maps/?lvl=14&amp;sty=h&amp;cp=32.0185~44.4447&amp;sp=point.32.0185_44.4447_Albu Noman","Maplink3")</f>
        <v>Maplink3</v>
      </c>
    </row>
    <row r="2600" spans="1:49" ht="15" customHeight="1" x14ac:dyDescent="0.25">
      <c r="A2600" s="21">
        <v>24311</v>
      </c>
      <c r="B2600" s="22" t="s">
        <v>20</v>
      </c>
      <c r="C2600" s="22" t="s">
        <v>5009</v>
      </c>
      <c r="D2600" s="22" t="s">
        <v>5045</v>
      </c>
      <c r="E2600" s="22" t="s">
        <v>5046</v>
      </c>
      <c r="F2600" s="22">
        <v>32.079459999999997</v>
      </c>
      <c r="G2600" s="22">
        <v>44.377800000000001</v>
      </c>
      <c r="H2600" s="21" t="s">
        <v>4986</v>
      </c>
      <c r="I2600" s="21" t="s">
        <v>5011</v>
      </c>
      <c r="J2600" s="21" t="s">
        <v>5047</v>
      </c>
      <c r="K2600" s="24">
        <v>300</v>
      </c>
      <c r="L2600" s="24">
        <v>1800</v>
      </c>
      <c r="M2600" s="23"/>
      <c r="N2600" s="23"/>
      <c r="O2600" s="23"/>
      <c r="P2600" s="23"/>
      <c r="Q2600" s="23"/>
      <c r="R2600" s="23"/>
      <c r="S2600" s="23"/>
      <c r="T2600" s="23"/>
      <c r="U2600" s="23">
        <v>10</v>
      </c>
      <c r="V2600" s="23"/>
      <c r="W2600" s="23"/>
      <c r="X2600" s="23"/>
      <c r="Y2600" s="23">
        <v>290</v>
      </c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>
        <v>274</v>
      </c>
      <c r="AK2600" s="23">
        <v>26</v>
      </c>
      <c r="AL2600" s="23"/>
      <c r="AM2600" s="23"/>
      <c r="AN2600" s="23"/>
      <c r="AO2600" s="23"/>
      <c r="AP2600" s="23">
        <v>194</v>
      </c>
      <c r="AQ2600" s="23"/>
      <c r="AR2600" s="23">
        <v>106</v>
      </c>
      <c r="AS2600" s="23"/>
      <c r="AT2600" s="23"/>
      <c r="AU2600" s="14" t="str">
        <f>HYPERLINK("http://www.openstreetmap.org/?mlat=32.0512&amp;mlon=44.3778&amp;zoom=12#map=12/32.0512/44.3778","Maplink1")</f>
        <v>Maplink1</v>
      </c>
      <c r="AV2600" s="14" t="str">
        <f>HYPERLINK("https://www.google.iq/maps/search/+32.0512,44.3778/@32.0512,44.3778,14z?hl=en","Maplink2")</f>
        <v>Maplink2</v>
      </c>
      <c r="AW2600" s="14" t="str">
        <f>HYPERLINK("http://www.bing.com/maps/?lvl=14&amp;sty=h&amp;cp=32.0512~44.3778&amp;sp=point.32.0512_44.3778_Alwat Al Fahal","Maplink3")</f>
        <v>Maplink3</v>
      </c>
    </row>
    <row r="2601" spans="1:49" ht="15" customHeight="1" x14ac:dyDescent="0.25">
      <c r="A2601" s="21">
        <v>25891</v>
      </c>
      <c r="B2601" s="22" t="s">
        <v>20</v>
      </c>
      <c r="C2601" s="22" t="s">
        <v>5009</v>
      </c>
      <c r="D2601" s="22" t="s">
        <v>5048</v>
      </c>
      <c r="E2601" s="22" t="s">
        <v>5049</v>
      </c>
      <c r="F2601" s="22">
        <v>31.9712</v>
      </c>
      <c r="G2601" s="22">
        <v>44.438699999999997</v>
      </c>
      <c r="H2601" s="21" t="s">
        <v>4986</v>
      </c>
      <c r="I2601" s="21" t="s">
        <v>5011</v>
      </c>
      <c r="J2601" s="21"/>
      <c r="K2601" s="24">
        <v>16</v>
      </c>
      <c r="L2601" s="24">
        <v>96</v>
      </c>
      <c r="M2601" s="23">
        <v>2</v>
      </c>
      <c r="N2601" s="23"/>
      <c r="O2601" s="23">
        <v>5</v>
      </c>
      <c r="P2601" s="23"/>
      <c r="Q2601" s="23"/>
      <c r="R2601" s="23">
        <v>2</v>
      </c>
      <c r="S2601" s="23"/>
      <c r="T2601" s="23"/>
      <c r="U2601" s="23"/>
      <c r="V2601" s="23"/>
      <c r="W2601" s="23"/>
      <c r="X2601" s="23"/>
      <c r="Y2601" s="23">
        <v>7</v>
      </c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>
        <v>16</v>
      </c>
      <c r="AL2601" s="23"/>
      <c r="AM2601" s="23"/>
      <c r="AN2601" s="23"/>
      <c r="AO2601" s="23">
        <v>2</v>
      </c>
      <c r="AP2601" s="23"/>
      <c r="AQ2601" s="23">
        <v>7</v>
      </c>
      <c r="AR2601" s="23"/>
      <c r="AS2601" s="23">
        <v>7</v>
      </c>
      <c r="AT2601" s="23"/>
      <c r="AU2601" s="14" t="str">
        <f>HYPERLINK("http://www.openstreetmap.org/?mlat=32.0142&amp;mlon=44.4078&amp;zoom=12#map=12/32.0142/44.4078","Maplink1")</f>
        <v>Maplink1</v>
      </c>
      <c r="AV2601" s="14" t="str">
        <f>HYPERLINK("https://www.google.iq/maps/search/+32.0142,44.4078/@32.0142,44.4078,14z?hl=en","Maplink2")</f>
        <v>Maplink2</v>
      </c>
      <c r="AW2601" s="14" t="str">
        <f>HYPERLINK("http://www.bing.com/maps/?lvl=14&amp;sty=h&amp;cp=32.0142~44.4078&amp;sp=point.32.0142_44.4078_Door Al-Maamal","Maplink3")</f>
        <v>Maplink3</v>
      </c>
    </row>
    <row r="2602" spans="1:49" ht="15" customHeight="1" x14ac:dyDescent="0.25">
      <c r="A2602" s="21">
        <v>22621</v>
      </c>
      <c r="B2602" s="22" t="s">
        <v>20</v>
      </c>
      <c r="C2602" s="22" t="s">
        <v>5009</v>
      </c>
      <c r="D2602" s="22" t="s">
        <v>5050</v>
      </c>
      <c r="E2602" s="22" t="s">
        <v>8071</v>
      </c>
      <c r="F2602" s="22">
        <v>32.029649999999997</v>
      </c>
      <c r="G2602" s="22">
        <v>44.39414</v>
      </c>
      <c r="H2602" s="21" t="s">
        <v>4986</v>
      </c>
      <c r="I2602" s="21" t="s">
        <v>5011</v>
      </c>
      <c r="J2602" s="21" t="s">
        <v>5051</v>
      </c>
      <c r="K2602" s="24">
        <v>2</v>
      </c>
      <c r="L2602" s="24">
        <v>12</v>
      </c>
      <c r="M2602" s="23"/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2</v>
      </c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>
        <v>2</v>
      </c>
      <c r="AL2602" s="23"/>
      <c r="AM2602" s="23"/>
      <c r="AN2602" s="23"/>
      <c r="AO2602" s="23"/>
      <c r="AP2602" s="23"/>
      <c r="AQ2602" s="23">
        <v>2</v>
      </c>
      <c r="AR2602" s="23"/>
      <c r="AS2602" s="23"/>
      <c r="AT2602" s="23"/>
      <c r="AU2602" s="14" t="str">
        <f>HYPERLINK("http://www.openstreetmap.org/?mlat=32.0304&amp;mlon=44.3835&amp;zoom=12#map=12/32.0304/44.3835","Maplink1")</f>
        <v>Maplink1</v>
      </c>
      <c r="AV2602" s="14" t="str">
        <f>HYPERLINK("https://www.google.iq/maps/search/+32.0304,44.3835/@32.0304,44.3835,14z?hl=en","Maplink2")</f>
        <v>Maplink2</v>
      </c>
      <c r="AW2602" s="14" t="str">
        <f>HYPERLINK("http://www.bing.com/maps/?lvl=14&amp;sty=h&amp;cp=32.0304~44.3835&amp;sp=point.32.0304_44.3835_Hay Al Mualmin-Mahalla 208","Maplink3")</f>
        <v>Maplink3</v>
      </c>
    </row>
    <row r="2603" spans="1:49" ht="15" customHeight="1" x14ac:dyDescent="0.25">
      <c r="A2603" s="21">
        <v>20041</v>
      </c>
      <c r="B2603" s="22" t="s">
        <v>20</v>
      </c>
      <c r="C2603" s="22" t="s">
        <v>5009</v>
      </c>
      <c r="D2603" s="22" t="s">
        <v>5052</v>
      </c>
      <c r="E2603" s="22" t="s">
        <v>5053</v>
      </c>
      <c r="F2603" s="22">
        <v>32.032020000000003</v>
      </c>
      <c r="G2603" s="22">
        <v>44.408169999999998</v>
      </c>
      <c r="H2603" s="21" t="s">
        <v>4986</v>
      </c>
      <c r="I2603" s="21" t="s">
        <v>5011</v>
      </c>
      <c r="J2603" s="21" t="s">
        <v>5054</v>
      </c>
      <c r="K2603" s="24">
        <v>22</v>
      </c>
      <c r="L2603" s="24">
        <v>132</v>
      </c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22</v>
      </c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23">
        <v>22</v>
      </c>
      <c r="AL2603" s="23"/>
      <c r="AM2603" s="23"/>
      <c r="AN2603" s="23"/>
      <c r="AO2603" s="23"/>
      <c r="AP2603" s="23"/>
      <c r="AQ2603" s="23">
        <v>22</v>
      </c>
      <c r="AR2603" s="23"/>
      <c r="AS2603" s="23"/>
      <c r="AT2603" s="23"/>
      <c r="AU2603" s="14" t="str">
        <f>HYPERLINK("http://www.openstreetmap.org/?mlat=32.0206&amp;mlon=44.3556&amp;zoom=12#map=12/32.0206/44.3556","Maplink1")</f>
        <v>Maplink1</v>
      </c>
      <c r="AV2603" s="14" t="str">
        <f>HYPERLINK("https://www.google.iq/maps/search/+32.0206,44.3556/@32.0206,44.3556,14z?hl=en","Maplink2")</f>
        <v>Maplink2</v>
      </c>
      <c r="AW2603" s="14" t="str">
        <f>HYPERLINK("http://www.bing.com/maps/?lvl=14&amp;sty=h&amp;cp=32.0206~44.3556&amp;sp=point.32.0206_44.3556_Hay alfurat","Maplink3")</f>
        <v>Maplink3</v>
      </c>
    </row>
    <row r="2604" spans="1:49" ht="15" customHeight="1" x14ac:dyDescent="0.25">
      <c r="A2604" s="21">
        <v>25434</v>
      </c>
      <c r="B2604" s="22" t="s">
        <v>20</v>
      </c>
      <c r="C2604" s="22" t="s">
        <v>5009</v>
      </c>
      <c r="D2604" s="22" t="s">
        <v>5055</v>
      </c>
      <c r="E2604" s="22" t="s">
        <v>8072</v>
      </c>
      <c r="F2604" s="22">
        <v>32.031750000000002</v>
      </c>
      <c r="G2604" s="22">
        <v>44.384369999999997</v>
      </c>
      <c r="H2604" s="21" t="s">
        <v>4986</v>
      </c>
      <c r="I2604" s="21" t="s">
        <v>5011</v>
      </c>
      <c r="J2604" s="21"/>
      <c r="K2604" s="24">
        <v>7</v>
      </c>
      <c r="L2604" s="24">
        <v>42</v>
      </c>
      <c r="M2604" s="23">
        <v>3</v>
      </c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4</v>
      </c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>
        <v>7</v>
      </c>
      <c r="AL2604" s="23"/>
      <c r="AM2604" s="23"/>
      <c r="AN2604" s="23"/>
      <c r="AO2604" s="23">
        <v>3</v>
      </c>
      <c r="AP2604" s="23"/>
      <c r="AQ2604" s="23">
        <v>2</v>
      </c>
      <c r="AR2604" s="23">
        <v>2</v>
      </c>
      <c r="AS2604" s="23"/>
      <c r="AT2604" s="23"/>
      <c r="AU2604" s="14" t="str">
        <f>HYPERLINK("http://www.openstreetmap.org/?mlat=32.0311&amp;mlon=44.3809&amp;zoom=12#map=12/32.0311/44.3809","Maplink1")</f>
        <v>Maplink1</v>
      </c>
      <c r="AV2604" s="14" t="str">
        <f>HYPERLINK("https://www.google.iq/maps/search/+32.0311,44.3809/@32.0311,44.3809,14z?hl=en","Maplink2")</f>
        <v>Maplink2</v>
      </c>
      <c r="AW2604" s="14" t="str">
        <f>HYPERLINK("http://www.bing.com/maps/?lvl=14&amp;sty=h&amp;cp=32.0311~44.3809&amp;sp=point.32.0311_44.3809_Hay Askary-Mutanabi","Maplink3")</f>
        <v>Maplink3</v>
      </c>
    </row>
    <row r="2605" spans="1:49" ht="15" customHeight="1" x14ac:dyDescent="0.25">
      <c r="A2605" s="21">
        <v>20054</v>
      </c>
      <c r="B2605" s="22" t="s">
        <v>20</v>
      </c>
      <c r="C2605" s="22" t="s">
        <v>5009</v>
      </c>
      <c r="D2605" s="22" t="s">
        <v>5056</v>
      </c>
      <c r="E2605" s="22" t="s">
        <v>5057</v>
      </c>
      <c r="F2605" s="22">
        <v>32.027670000000001</v>
      </c>
      <c r="G2605" s="22">
        <v>44.38776</v>
      </c>
      <c r="H2605" s="21" t="s">
        <v>4986</v>
      </c>
      <c r="I2605" s="21" t="s">
        <v>5011</v>
      </c>
      <c r="J2605" s="21" t="s">
        <v>5058</v>
      </c>
      <c r="K2605" s="24">
        <v>4</v>
      </c>
      <c r="L2605" s="24">
        <v>24</v>
      </c>
      <c r="M2605" s="23">
        <v>2</v>
      </c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2</v>
      </c>
      <c r="Z2605" s="23"/>
      <c r="AA2605" s="23"/>
      <c r="AB2605" s="23"/>
      <c r="AC2605" s="23"/>
      <c r="AD2605" s="23"/>
      <c r="AE2605" s="23"/>
      <c r="AF2605" s="23">
        <v>2</v>
      </c>
      <c r="AG2605" s="23"/>
      <c r="AH2605" s="23"/>
      <c r="AI2605" s="23"/>
      <c r="AJ2605" s="23"/>
      <c r="AK2605" s="23">
        <v>2</v>
      </c>
      <c r="AL2605" s="23"/>
      <c r="AM2605" s="23"/>
      <c r="AN2605" s="23"/>
      <c r="AO2605" s="23"/>
      <c r="AP2605" s="23">
        <v>2</v>
      </c>
      <c r="AQ2605" s="23"/>
      <c r="AR2605" s="23">
        <v>2</v>
      </c>
      <c r="AS2605" s="23"/>
      <c r="AT2605" s="23"/>
      <c r="AU2605" s="14" t="str">
        <f>HYPERLINK("http://www.openstreetmap.org/?mlat=32.0258&amp;mlon=44.3903&amp;zoom=12#map=12/32.0258/44.3903","Maplink1")</f>
        <v>Maplink1</v>
      </c>
      <c r="AV2605" s="14" t="str">
        <f>HYPERLINK("https://www.google.iq/maps/search/+32.0258,44.3903/@32.0258,44.3903,14z?hl=en","Maplink2")</f>
        <v>Maplink2</v>
      </c>
      <c r="AW2605" s="14" t="str">
        <f>HYPERLINK("http://www.bing.com/maps/?lvl=14&amp;sty=h&amp;cp=32.0258~44.3903&amp;sp=point.32.0258_44.3903_Hay Kinda 1","Maplink3")</f>
        <v>Maplink3</v>
      </c>
    </row>
    <row r="2606" spans="1:49" ht="15" customHeight="1" x14ac:dyDescent="0.25">
      <c r="A2606" s="21">
        <v>20122</v>
      </c>
      <c r="B2606" s="22" t="s">
        <v>20</v>
      </c>
      <c r="C2606" s="22" t="s">
        <v>5009</v>
      </c>
      <c r="D2606" s="22" t="s">
        <v>5059</v>
      </c>
      <c r="E2606" s="22" t="s">
        <v>5060</v>
      </c>
      <c r="F2606" s="22">
        <v>32.047789999999999</v>
      </c>
      <c r="G2606" s="22">
        <v>44.367489999999997</v>
      </c>
      <c r="H2606" s="21" t="s">
        <v>4986</v>
      </c>
      <c r="I2606" s="21" t="s">
        <v>5011</v>
      </c>
      <c r="J2606" s="21" t="s">
        <v>5061</v>
      </c>
      <c r="K2606" s="24">
        <v>40</v>
      </c>
      <c r="L2606" s="24">
        <v>240</v>
      </c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40</v>
      </c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>
        <v>40</v>
      </c>
      <c r="AL2606" s="23"/>
      <c r="AM2606" s="23"/>
      <c r="AN2606" s="23"/>
      <c r="AO2606" s="23"/>
      <c r="AP2606" s="23"/>
      <c r="AQ2606" s="23">
        <v>40</v>
      </c>
      <c r="AR2606" s="23"/>
      <c r="AS2606" s="23"/>
      <c r="AT2606" s="23"/>
      <c r="AU2606" s="14" t="str">
        <f>HYPERLINK("http://www.openstreetmap.org/?mlat=32.0489&amp;mlon=44.3669&amp;zoom=12#map=12/32.0489/44.3669","Maplink1")</f>
        <v>Maplink1</v>
      </c>
      <c r="AV2606" s="14" t="str">
        <f>HYPERLINK("https://www.google.iq/maps/search/+32.0489,44.3669/@32.0489,44.3669,14z?hl=en","Maplink2")</f>
        <v>Maplink2</v>
      </c>
      <c r="AW2606" s="14" t="str">
        <f>HYPERLINK("http://www.bing.com/maps/?lvl=14&amp;sty=h&amp;cp=32.0489~44.3669&amp;sp=point.32.0489_44.3669_Hay missan 230","Maplink3")</f>
        <v>Maplink3</v>
      </c>
    </row>
    <row r="2607" spans="1:49" ht="15" customHeight="1" x14ac:dyDescent="0.25">
      <c r="A2607" s="21">
        <v>20130</v>
      </c>
      <c r="B2607" s="22" t="s">
        <v>20</v>
      </c>
      <c r="C2607" s="22" t="s">
        <v>5009</v>
      </c>
      <c r="D2607" s="22" t="s">
        <v>5062</v>
      </c>
      <c r="E2607" s="22" t="s">
        <v>5063</v>
      </c>
      <c r="F2607" s="22">
        <v>32.051862999999997</v>
      </c>
      <c r="G2607" s="22">
        <v>44.35774</v>
      </c>
      <c r="H2607" s="21" t="s">
        <v>4986</v>
      </c>
      <c r="I2607" s="21" t="s">
        <v>5011</v>
      </c>
      <c r="J2607" s="21" t="s">
        <v>5064</v>
      </c>
      <c r="K2607" s="24">
        <v>6</v>
      </c>
      <c r="L2607" s="24">
        <v>36</v>
      </c>
      <c r="M2607" s="23"/>
      <c r="N2607" s="23"/>
      <c r="O2607" s="23"/>
      <c r="P2607" s="23"/>
      <c r="Q2607" s="23"/>
      <c r="R2607" s="23"/>
      <c r="S2607" s="23"/>
      <c r="T2607" s="23"/>
      <c r="U2607" s="23">
        <v>1</v>
      </c>
      <c r="V2607" s="23"/>
      <c r="W2607" s="23"/>
      <c r="X2607" s="23"/>
      <c r="Y2607" s="23">
        <v>5</v>
      </c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>
        <v>6</v>
      </c>
      <c r="AL2607" s="23"/>
      <c r="AM2607" s="23"/>
      <c r="AN2607" s="23"/>
      <c r="AO2607" s="23">
        <v>1</v>
      </c>
      <c r="AP2607" s="23"/>
      <c r="AQ2607" s="23">
        <v>5</v>
      </c>
      <c r="AR2607" s="23"/>
      <c r="AS2607" s="23"/>
      <c r="AT2607" s="23"/>
      <c r="AU2607" s="14" t="str">
        <f>HYPERLINK("http://www.openstreetmap.org/?mlat=32.0514&amp;mlon=44.3661&amp;zoom=12#map=12/32.0514/44.3661","Maplink1")</f>
        <v>Maplink1</v>
      </c>
      <c r="AV2607" s="14" t="str">
        <f>HYPERLINK("https://www.google.iq/maps/search/+32.0514,44.3661/@32.0514,44.3661,14z?hl=en","Maplink2")</f>
        <v>Maplink2</v>
      </c>
      <c r="AW2607" s="14" t="str">
        <f>HYPERLINK("http://www.bing.com/maps/?lvl=14&amp;sty=h&amp;cp=32.0514~44.3661&amp;sp=point.32.0514_44.3661_Hay missan 232","Maplink3")</f>
        <v>Maplink3</v>
      </c>
    </row>
    <row r="2608" spans="1:49" ht="15" customHeight="1" x14ac:dyDescent="0.25">
      <c r="A2608" s="21">
        <v>20132</v>
      </c>
      <c r="B2608" s="22" t="s">
        <v>20</v>
      </c>
      <c r="C2608" s="22" t="s">
        <v>5009</v>
      </c>
      <c r="D2608" s="22" t="s">
        <v>5065</v>
      </c>
      <c r="E2608" s="22" t="s">
        <v>5066</v>
      </c>
      <c r="F2608" s="22">
        <v>32.058923999999998</v>
      </c>
      <c r="G2608" s="22">
        <v>44.360760999999997</v>
      </c>
      <c r="H2608" s="21" t="s">
        <v>4986</v>
      </c>
      <c r="I2608" s="21" t="s">
        <v>5011</v>
      </c>
      <c r="J2608" s="21" t="s">
        <v>5067</v>
      </c>
      <c r="K2608" s="24">
        <v>39</v>
      </c>
      <c r="L2608" s="24">
        <v>234</v>
      </c>
      <c r="M2608" s="23">
        <v>8</v>
      </c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31</v>
      </c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>
        <v>1</v>
      </c>
      <c r="AK2608" s="23">
        <v>38</v>
      </c>
      <c r="AL2608" s="23"/>
      <c r="AM2608" s="23"/>
      <c r="AN2608" s="23"/>
      <c r="AO2608" s="23"/>
      <c r="AP2608" s="23">
        <v>1</v>
      </c>
      <c r="AQ2608" s="23">
        <v>30</v>
      </c>
      <c r="AR2608" s="23">
        <v>8</v>
      </c>
      <c r="AS2608" s="23"/>
      <c r="AT2608" s="23"/>
      <c r="AU2608" s="14" t="str">
        <f>HYPERLINK("http://www.openstreetmap.org/?mlat=32.0517&amp;mlon=44.3658&amp;zoom=12#map=12/32.0517/44.3658","Maplink1")</f>
        <v>Maplink1</v>
      </c>
      <c r="AV2608" s="14" t="str">
        <f>HYPERLINK("https://www.google.iq/maps/search/+32.0517,44.3658/@32.0517,44.3658,14z?hl=en","Maplink2")</f>
        <v>Maplink2</v>
      </c>
      <c r="AW2608" s="14" t="str">
        <f>HYPERLINK("http://www.bing.com/maps/?lvl=14&amp;sty=h&amp;cp=32.0517~44.3658&amp;sp=point.32.0517_44.3658_Hay missan 234","Maplink3")</f>
        <v>Maplink3</v>
      </c>
    </row>
    <row r="2609" spans="1:49" ht="15" customHeight="1" x14ac:dyDescent="0.25">
      <c r="A2609" s="21">
        <v>20161</v>
      </c>
      <c r="B2609" s="22" t="s">
        <v>20</v>
      </c>
      <c r="C2609" s="22" t="s">
        <v>5009</v>
      </c>
      <c r="D2609" s="22" t="s">
        <v>5068</v>
      </c>
      <c r="E2609" s="22" t="s">
        <v>5069</v>
      </c>
      <c r="F2609" s="22">
        <v>32.064970000000002</v>
      </c>
      <c r="G2609" s="22">
        <v>44.357370000000003</v>
      </c>
      <c r="H2609" s="21" t="s">
        <v>4986</v>
      </c>
      <c r="I2609" s="21" t="s">
        <v>5011</v>
      </c>
      <c r="J2609" s="21" t="s">
        <v>5070</v>
      </c>
      <c r="K2609" s="24">
        <v>45</v>
      </c>
      <c r="L2609" s="24">
        <v>270</v>
      </c>
      <c r="M2609" s="23">
        <v>10</v>
      </c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>
        <v>35</v>
      </c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>
        <v>45</v>
      </c>
      <c r="AL2609" s="23"/>
      <c r="AM2609" s="23"/>
      <c r="AN2609" s="23"/>
      <c r="AO2609" s="23">
        <v>10</v>
      </c>
      <c r="AP2609" s="23">
        <v>35</v>
      </c>
      <c r="AQ2609" s="23"/>
      <c r="AR2609" s="23"/>
      <c r="AS2609" s="23"/>
      <c r="AT2609" s="23"/>
      <c r="AU2609" s="14" t="str">
        <f>HYPERLINK("http://www.openstreetmap.org/?mlat=32.0678&amp;mlon=44.36&amp;zoom=12#map=12/32.0678/44.36","Maplink1")</f>
        <v>Maplink1</v>
      </c>
      <c r="AV2609" s="14" t="str">
        <f>HYPERLINK("https://www.google.iq/maps/search/+32.0678,44.36/@32.0678,44.36,14z?hl=en","Maplink2")</f>
        <v>Maplink2</v>
      </c>
      <c r="AW2609" s="14" t="str">
        <f>HYPERLINK("http://www.bing.com/maps/?lvl=14&amp;sty=h&amp;cp=32.0678~44.36&amp;sp=point.32.0678_44.36_Hay missan 236","Maplink3")</f>
        <v>Maplink3</v>
      </c>
    </row>
    <row r="2610" spans="1:49" ht="15" customHeight="1" x14ac:dyDescent="0.25">
      <c r="A2610" s="21">
        <v>20148</v>
      </c>
      <c r="B2610" s="22" t="s">
        <v>20</v>
      </c>
      <c r="C2610" s="22" t="s">
        <v>5009</v>
      </c>
      <c r="D2610" s="22" t="s">
        <v>5071</v>
      </c>
      <c r="E2610" s="22" t="s">
        <v>5072</v>
      </c>
      <c r="F2610" s="22">
        <v>32.06326</v>
      </c>
      <c r="G2610" s="22">
        <v>44.363770000000002</v>
      </c>
      <c r="H2610" s="21" t="s">
        <v>4986</v>
      </c>
      <c r="I2610" s="21" t="s">
        <v>5011</v>
      </c>
      <c r="J2610" s="21" t="s">
        <v>5073</v>
      </c>
      <c r="K2610" s="24">
        <v>20</v>
      </c>
      <c r="L2610" s="24">
        <v>120</v>
      </c>
      <c r="M2610" s="23">
        <v>3</v>
      </c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>
        <v>17</v>
      </c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>
        <v>20</v>
      </c>
      <c r="AL2610" s="23"/>
      <c r="AM2610" s="23"/>
      <c r="AN2610" s="23"/>
      <c r="AO2610" s="23"/>
      <c r="AP2610" s="23"/>
      <c r="AQ2610" s="23">
        <v>3</v>
      </c>
      <c r="AR2610" s="23">
        <v>17</v>
      </c>
      <c r="AS2610" s="23"/>
      <c r="AT2610" s="23"/>
      <c r="AU2610" s="14" t="str">
        <f>HYPERLINK("http://www.openstreetmap.org/?mlat=32.0614&amp;mlon=44.3617&amp;zoom=12#map=12/32.0614/44.3617","Maplink1")</f>
        <v>Maplink1</v>
      </c>
      <c r="AV2610" s="14" t="str">
        <f>HYPERLINK("https://www.google.iq/maps/search/+32.0614,44.3617/@32.0614,44.3617,14z?hl=en","Maplink2")</f>
        <v>Maplink2</v>
      </c>
      <c r="AW2610" s="14" t="str">
        <f>HYPERLINK("http://www.bing.com/maps/?lvl=14&amp;sty=h&amp;cp=32.0614~44.3617&amp;sp=point.32.0614_44.3617_Hay missan block 238","Maplink3")</f>
        <v>Maplink3</v>
      </c>
    </row>
    <row r="2611" spans="1:49" ht="15" customHeight="1" x14ac:dyDescent="0.25">
      <c r="A2611" s="21">
        <v>20158</v>
      </c>
      <c r="B2611" s="22" t="s">
        <v>20</v>
      </c>
      <c r="C2611" s="22" t="s">
        <v>5009</v>
      </c>
      <c r="D2611" s="22" t="s">
        <v>5074</v>
      </c>
      <c r="E2611" s="22" t="s">
        <v>5075</v>
      </c>
      <c r="F2611" s="22">
        <v>32.054600000000001</v>
      </c>
      <c r="G2611" s="22">
        <v>44.368839999999999</v>
      </c>
      <c r="H2611" s="21" t="s">
        <v>4986</v>
      </c>
      <c r="I2611" s="21" t="s">
        <v>5011</v>
      </c>
      <c r="J2611" s="21" t="s">
        <v>5076</v>
      </c>
      <c r="K2611" s="24">
        <v>32</v>
      </c>
      <c r="L2611" s="24">
        <v>192</v>
      </c>
      <c r="M2611" s="23">
        <v>8</v>
      </c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>
        <v>24</v>
      </c>
      <c r="Z2611" s="23"/>
      <c r="AA2611" s="23"/>
      <c r="AB2611" s="23"/>
      <c r="AC2611" s="23"/>
      <c r="AD2611" s="23"/>
      <c r="AE2611" s="23"/>
      <c r="AF2611" s="23">
        <v>8</v>
      </c>
      <c r="AG2611" s="23"/>
      <c r="AH2611" s="23"/>
      <c r="AI2611" s="23"/>
      <c r="AJ2611" s="23"/>
      <c r="AK2611" s="23">
        <v>24</v>
      </c>
      <c r="AL2611" s="23"/>
      <c r="AM2611" s="23"/>
      <c r="AN2611" s="23"/>
      <c r="AO2611" s="23"/>
      <c r="AP2611" s="23">
        <v>8</v>
      </c>
      <c r="AQ2611" s="23">
        <v>5</v>
      </c>
      <c r="AR2611" s="23">
        <v>19</v>
      </c>
      <c r="AS2611" s="23"/>
      <c r="AT2611" s="23"/>
      <c r="AU2611" s="14" t="str">
        <f>HYPERLINK("http://www.openstreetmap.org/?mlat=32.0653&amp;mlon=44.3653&amp;zoom=12#map=12/32.0653/44.3653","Maplink1")</f>
        <v>Maplink1</v>
      </c>
      <c r="AV2611" s="14" t="str">
        <f>HYPERLINK("https://www.google.iq/maps/search/+32.0653,44.3653/@32.0653,44.3653,14z?hl=en","Maplink2")</f>
        <v>Maplink2</v>
      </c>
      <c r="AW2611" s="14" t="str">
        <f>HYPERLINK("http://www.bing.com/maps/?lvl=14&amp;sty=h&amp;cp=32.0653~44.3653&amp;sp=point.32.0653_44.3653_Hay missan block 242","Maplink3")</f>
        <v>Maplink3</v>
      </c>
    </row>
    <row r="2612" spans="1:49" ht="15" customHeight="1" x14ac:dyDescent="0.25">
      <c r="A2612" s="21">
        <v>20347</v>
      </c>
      <c r="B2612" s="22" t="s">
        <v>20</v>
      </c>
      <c r="C2612" s="22" t="s">
        <v>5009</v>
      </c>
      <c r="D2612" s="22" t="s">
        <v>5077</v>
      </c>
      <c r="E2612" s="22" t="s">
        <v>5078</v>
      </c>
      <c r="F2612" s="22">
        <v>32.021630000000002</v>
      </c>
      <c r="G2612" s="22">
        <v>44.397799999999997</v>
      </c>
      <c r="H2612" s="21" t="s">
        <v>4986</v>
      </c>
      <c r="I2612" s="21" t="s">
        <v>5011</v>
      </c>
      <c r="J2612" s="21" t="s">
        <v>5079</v>
      </c>
      <c r="K2612" s="24">
        <v>40</v>
      </c>
      <c r="L2612" s="24">
        <v>240</v>
      </c>
      <c r="M2612" s="23">
        <v>5</v>
      </c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>
        <v>35</v>
      </c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>
        <v>40</v>
      </c>
      <c r="AL2612" s="23"/>
      <c r="AM2612" s="23"/>
      <c r="AN2612" s="23"/>
      <c r="AO2612" s="23">
        <v>2</v>
      </c>
      <c r="AP2612" s="23"/>
      <c r="AQ2612" s="23">
        <v>38</v>
      </c>
      <c r="AR2612" s="23"/>
      <c r="AS2612" s="23"/>
      <c r="AT2612" s="23"/>
      <c r="AU2612" s="14" t="str">
        <f>HYPERLINK("http://www.openstreetmap.org/?mlat=32.0019&amp;mlon=44.2248&amp;zoom=12#map=12/32.0019/44.2248","Maplink1")</f>
        <v>Maplink1</v>
      </c>
      <c r="AV2612" s="14" t="str">
        <f>HYPERLINK("https://www.google.iq/maps/search/+32.0019,44.2248/@32.0019,44.2248,14z?hl=en","Maplink2")</f>
        <v>Maplink2</v>
      </c>
      <c r="AW2612" s="14" t="str">
        <f>HYPERLINK("http://www.bing.com/maps/?lvl=14&amp;sty=h&amp;cp=32.0019~44.2248&amp;sp=point.32.0019_44.2248_Maytham Al Tamar","Maplink3")</f>
        <v>Maplink3</v>
      </c>
    </row>
    <row r="2613" spans="1:49" ht="15" customHeight="1" x14ac:dyDescent="0.25">
      <c r="A2613" s="21">
        <v>25890</v>
      </c>
      <c r="B2613" s="22" t="s">
        <v>20</v>
      </c>
      <c r="C2613" s="22" t="s">
        <v>5009</v>
      </c>
      <c r="D2613" s="22" t="s">
        <v>5080</v>
      </c>
      <c r="E2613" s="22" t="s">
        <v>5081</v>
      </c>
      <c r="F2613" s="22">
        <v>31.987525000000002</v>
      </c>
      <c r="G2613" s="22">
        <v>44.313611999999999</v>
      </c>
      <c r="H2613" s="21" t="s">
        <v>4986</v>
      </c>
      <c r="I2613" s="21" t="s">
        <v>5011</v>
      </c>
      <c r="J2613" s="21"/>
      <c r="K2613" s="24">
        <v>6</v>
      </c>
      <c r="L2613" s="24">
        <v>36</v>
      </c>
      <c r="M2613" s="23">
        <v>6</v>
      </c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>
        <v>6</v>
      </c>
      <c r="AL2613" s="23"/>
      <c r="AM2613" s="23"/>
      <c r="AN2613" s="23"/>
      <c r="AO2613" s="23"/>
      <c r="AP2613" s="23"/>
      <c r="AQ2613" s="23"/>
      <c r="AR2613" s="23"/>
      <c r="AS2613" s="23">
        <v>6</v>
      </c>
      <c r="AT2613" s="23"/>
      <c r="AU2613" s="14" t="str">
        <f>HYPERLINK("http://www.openstreetmap.org/?mlat=32.0216&amp;mlon=44.4008&amp;zoom=12#map=12/32.0216/44.4008","Maplink1")</f>
        <v>Maplink1</v>
      </c>
      <c r="AV2613" s="14" t="str">
        <f>HYPERLINK("https://www.google.iq/maps/search/+32.0216,44.4008/@32.0216,44.4008,14z?hl=en","Maplink2")</f>
        <v>Maplink2</v>
      </c>
      <c r="AW2613" s="14" t="str">
        <f>HYPERLINK("http://www.bing.com/maps/?lvl=14&amp;sty=h&amp;cp=32.0216~44.4008&amp;sp=point.32.0216_44.4008_Sader 3","Maplink3")</f>
        <v>Maplink3</v>
      </c>
    </row>
    <row r="2614" spans="1:49" ht="15" customHeight="1" x14ac:dyDescent="0.25">
      <c r="A2614" s="21">
        <v>20892</v>
      </c>
      <c r="B2614" s="22" t="s">
        <v>20</v>
      </c>
      <c r="C2614" s="22" t="s">
        <v>20</v>
      </c>
      <c r="D2614" s="22" t="s">
        <v>5082</v>
      </c>
      <c r="E2614" s="22" t="s">
        <v>5083</v>
      </c>
      <c r="F2614" s="22">
        <v>31.995809999999999</v>
      </c>
      <c r="G2614" s="22">
        <v>44.336089999999999</v>
      </c>
      <c r="H2614" s="21" t="s">
        <v>4986</v>
      </c>
      <c r="I2614" s="21" t="s">
        <v>5084</v>
      </c>
      <c r="J2614" s="21" t="s">
        <v>5085</v>
      </c>
      <c r="K2614" s="24">
        <v>5</v>
      </c>
      <c r="L2614" s="24">
        <v>30</v>
      </c>
      <c r="M2614" s="23"/>
      <c r="N2614" s="23"/>
      <c r="O2614" s="23"/>
      <c r="P2614" s="23"/>
      <c r="Q2614" s="23"/>
      <c r="R2614" s="23"/>
      <c r="S2614" s="23"/>
      <c r="T2614" s="23"/>
      <c r="U2614" s="23">
        <v>5</v>
      </c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>
        <v>5</v>
      </c>
      <c r="AL2614" s="23"/>
      <c r="AM2614" s="23"/>
      <c r="AN2614" s="23"/>
      <c r="AO2614" s="23"/>
      <c r="AP2614" s="23">
        <v>5</v>
      </c>
      <c r="AQ2614" s="23"/>
      <c r="AR2614" s="23"/>
      <c r="AS2614" s="23"/>
      <c r="AT2614" s="23"/>
      <c r="AU2614" s="14" t="str">
        <f>HYPERLINK("http://www.openstreetmap.org/?mlat=32&amp;mlon=44.3465&amp;zoom=12#map=12/32/44.3465","Maplink1")</f>
        <v>Maplink1</v>
      </c>
      <c r="AV2614" s="14" t="str">
        <f>HYPERLINK("https://www.google.iq/maps/search/+32,44.3465/@32,44.3465,14z?hl=en","Maplink2")</f>
        <v>Maplink2</v>
      </c>
      <c r="AW2614" s="14" t="str">
        <f>HYPERLINK("http://www.bing.com/maps/?lvl=14&amp;sty=h&amp;cp=32~44.3465&amp;sp=point.32_44.3465_Abu Khalid","Maplink3")</f>
        <v>Maplink3</v>
      </c>
    </row>
    <row r="2615" spans="1:49" ht="15" customHeight="1" x14ac:dyDescent="0.25">
      <c r="A2615" s="21">
        <v>20260</v>
      </c>
      <c r="B2615" s="22" t="s">
        <v>20</v>
      </c>
      <c r="C2615" s="22" t="s">
        <v>20</v>
      </c>
      <c r="D2615" s="22" t="s">
        <v>5086</v>
      </c>
      <c r="E2615" s="22" t="s">
        <v>5087</v>
      </c>
      <c r="F2615" s="22">
        <v>32.278590000000001</v>
      </c>
      <c r="G2615" s="22">
        <v>44.284959999999998</v>
      </c>
      <c r="H2615" s="21" t="s">
        <v>4986</v>
      </c>
      <c r="I2615" s="21" t="s">
        <v>5084</v>
      </c>
      <c r="J2615" s="21" t="s">
        <v>5088</v>
      </c>
      <c r="K2615" s="24">
        <v>360</v>
      </c>
      <c r="L2615" s="24">
        <v>2160</v>
      </c>
      <c r="M2615" s="23">
        <v>13</v>
      </c>
      <c r="N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347</v>
      </c>
      <c r="Z2615" s="23"/>
      <c r="AA2615" s="23"/>
      <c r="AB2615" s="23"/>
      <c r="AC2615" s="23"/>
      <c r="AD2615" s="23"/>
      <c r="AE2615" s="23"/>
      <c r="AF2615" s="23">
        <v>13</v>
      </c>
      <c r="AG2615" s="23"/>
      <c r="AH2615" s="23"/>
      <c r="AI2615" s="23"/>
      <c r="AJ2615" s="23">
        <v>347</v>
      </c>
      <c r="AK2615" s="23"/>
      <c r="AL2615" s="23"/>
      <c r="AM2615" s="23"/>
      <c r="AN2615" s="23"/>
      <c r="AO2615" s="23">
        <v>13</v>
      </c>
      <c r="AP2615" s="23"/>
      <c r="AQ2615" s="23">
        <v>347</v>
      </c>
      <c r="AR2615" s="23"/>
      <c r="AS2615" s="23"/>
      <c r="AT2615" s="23"/>
      <c r="AU2615" s="14" t="str">
        <f>HYPERLINK("http://www.openstreetmap.org/?mlat=32.2803&amp;mlon=44.2906&amp;zoom=12#map=12/32.2803/44.2906","Maplink1")</f>
        <v>Maplink1</v>
      </c>
      <c r="AV2615" s="14" t="str">
        <f>HYPERLINK("https://www.google.iq/maps/search/+32.2803,44.2906/@32.2803,44.2906,14z?hl=en","Maplink2")</f>
        <v>Maplink2</v>
      </c>
      <c r="AW2615" s="14" t="str">
        <f>HYPERLINK("http://www.bing.com/maps/?lvl=14&amp;sty=h&amp;cp=32.2803~44.2906&amp;sp=point.32.2803_44.2906_Al bory","Maplink3")</f>
        <v>Maplink3</v>
      </c>
    </row>
    <row r="2616" spans="1:49" ht="15" customHeight="1" x14ac:dyDescent="0.25">
      <c r="A2616" s="21">
        <v>24433</v>
      </c>
      <c r="B2616" s="22" t="s">
        <v>20</v>
      </c>
      <c r="C2616" s="22" t="s">
        <v>20</v>
      </c>
      <c r="D2616" s="22" t="s">
        <v>5089</v>
      </c>
      <c r="E2616" s="22" t="s">
        <v>5090</v>
      </c>
      <c r="F2616" s="22">
        <v>31.987763999999999</v>
      </c>
      <c r="G2616" s="22">
        <v>44.344320000000003</v>
      </c>
      <c r="H2616" s="21" t="s">
        <v>4986</v>
      </c>
      <c r="I2616" s="21" t="s">
        <v>5084</v>
      </c>
      <c r="J2616" s="21"/>
      <c r="K2616" s="24">
        <v>8</v>
      </c>
      <c r="L2616" s="24">
        <v>48</v>
      </c>
      <c r="M2616" s="23"/>
      <c r="N2616" s="23"/>
      <c r="O2616" s="23">
        <v>5</v>
      </c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3</v>
      </c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>
        <v>8</v>
      </c>
      <c r="AL2616" s="23"/>
      <c r="AM2616" s="23"/>
      <c r="AN2616" s="23"/>
      <c r="AO2616" s="23"/>
      <c r="AP2616" s="23">
        <v>5</v>
      </c>
      <c r="AQ2616" s="23">
        <v>3</v>
      </c>
      <c r="AR2616" s="23"/>
      <c r="AS2616" s="23"/>
      <c r="AT2616" s="23"/>
      <c r="AU2616" s="14" t="str">
        <f>HYPERLINK("http://www.openstreetmap.org/?mlat=31.9957&amp;mlon=44.3354&amp;zoom=12#map=12/31.9957/44.3354","Maplink1")</f>
        <v>Maplink1</v>
      </c>
      <c r="AV2616" s="14" t="str">
        <f>HYPERLINK("https://www.google.iq/maps/search/+31.9957,44.3354/@31.9957,44.3354,14z?hl=en","Maplink2")</f>
        <v>Maplink2</v>
      </c>
      <c r="AW2616" s="14" t="str">
        <f>HYPERLINK("http://www.bing.com/maps/?lvl=14&amp;sty=h&amp;cp=31.9957~44.3354&amp;sp=point.31.9957_44.3354_Al Imam Al Mahdi","Maplink3")</f>
        <v>Maplink3</v>
      </c>
    </row>
    <row r="2617" spans="1:49" ht="15" customHeight="1" x14ac:dyDescent="0.25">
      <c r="A2617" s="21">
        <v>22114</v>
      </c>
      <c r="B2617" s="22" t="s">
        <v>20</v>
      </c>
      <c r="C2617" s="22" t="s">
        <v>20</v>
      </c>
      <c r="D2617" s="22" t="s">
        <v>8900</v>
      </c>
      <c r="E2617" s="22" t="s">
        <v>8901</v>
      </c>
      <c r="F2617" s="22">
        <v>31.759875999999998</v>
      </c>
      <c r="G2617" s="22">
        <v>44.517229999999998</v>
      </c>
      <c r="H2617" s="21" t="s">
        <v>4986</v>
      </c>
      <c r="I2617" s="21" t="s">
        <v>5084</v>
      </c>
      <c r="J2617" s="21" t="s">
        <v>5091</v>
      </c>
      <c r="K2617" s="24">
        <v>14</v>
      </c>
      <c r="L2617" s="24">
        <v>84</v>
      </c>
      <c r="M2617" s="23"/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>
        <v>14</v>
      </c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>
        <v>14</v>
      </c>
      <c r="AL2617" s="23"/>
      <c r="AM2617" s="23"/>
      <c r="AN2617" s="23"/>
      <c r="AO2617" s="23"/>
      <c r="AP2617" s="23"/>
      <c r="AQ2617" s="23">
        <v>14</v>
      </c>
      <c r="AR2617" s="23"/>
      <c r="AS2617" s="23"/>
      <c r="AT2617" s="23"/>
      <c r="AU2617" s="14" t="str">
        <f>HYPERLINK("http://www.openstreetmap.org/?mlat=32.0313&amp;mlon=44.352&amp;zoom=12#map=12/32.0313/44.352","Maplink1")</f>
        <v>Maplink1</v>
      </c>
      <c r="AV2617" s="14" t="str">
        <f>HYPERLINK("https://www.google.iq/maps/search/+32.0313,44.352/@32.0313,44.352,14z?hl=en","Maplink2")</f>
        <v>Maplink2</v>
      </c>
      <c r="AW2617" s="14" t="str">
        <f>HYPERLINK("http://www.bing.com/maps/?lvl=14&amp;sty=h&amp;cp=32.0313~44.352&amp;sp=point.32.0313_44.352_Al Jamaa 135","Maplink3")</f>
        <v>Maplink3</v>
      </c>
    </row>
    <row r="2618" spans="1:49" ht="15" customHeight="1" x14ac:dyDescent="0.25">
      <c r="A2618" s="21">
        <v>20285</v>
      </c>
      <c r="B2618" s="22" t="s">
        <v>20</v>
      </c>
      <c r="C2618" s="22" t="s">
        <v>20</v>
      </c>
      <c r="D2618" s="22" t="s">
        <v>8902</v>
      </c>
      <c r="E2618" s="22" t="s">
        <v>8903</v>
      </c>
      <c r="F2618" s="22">
        <v>32.034439999999996</v>
      </c>
      <c r="G2618" s="22">
        <v>44.349055</v>
      </c>
      <c r="H2618" s="21" t="s">
        <v>4986</v>
      </c>
      <c r="I2618" s="21" t="s">
        <v>5084</v>
      </c>
      <c r="J2618" s="21" t="s">
        <v>5093</v>
      </c>
      <c r="K2618" s="24">
        <v>10</v>
      </c>
      <c r="L2618" s="24">
        <v>60</v>
      </c>
      <c r="M2618" s="23">
        <v>6</v>
      </c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4</v>
      </c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>
        <v>10</v>
      </c>
      <c r="AL2618" s="23"/>
      <c r="AM2618" s="23"/>
      <c r="AN2618" s="23"/>
      <c r="AO2618" s="23">
        <v>6</v>
      </c>
      <c r="AP2618" s="23">
        <v>4</v>
      </c>
      <c r="AQ2618" s="23"/>
      <c r="AR2618" s="23"/>
      <c r="AS2618" s="23"/>
      <c r="AT2618" s="23"/>
      <c r="AU2618" s="14" t="str">
        <f>HYPERLINK("http://www.openstreetmap.org/?mlat=32.0339&amp;mlon=44.3588&amp;zoom=12#map=12/32.0339/44.3588","Maplink1")</f>
        <v>Maplink1</v>
      </c>
      <c r="AV2618" s="14" t="str">
        <f>HYPERLINK("https://www.google.iq/maps/search/+32.0339,44.3588/@32.0339,44.3588,14z?hl=en","Maplink2")</f>
        <v>Maplink2</v>
      </c>
      <c r="AW2618" s="14" t="str">
        <f>HYPERLINK("http://www.bing.com/maps/?lvl=14&amp;sty=h&amp;cp=32.0339~44.3588&amp;sp=point.32.0339_44.3588_Al Jamiah 137","Maplink3")</f>
        <v>Maplink3</v>
      </c>
    </row>
    <row r="2619" spans="1:49" ht="15" customHeight="1" x14ac:dyDescent="0.25">
      <c r="A2619" s="21">
        <v>22565</v>
      </c>
      <c r="B2619" s="22" t="s">
        <v>20</v>
      </c>
      <c r="C2619" s="22" t="s">
        <v>20</v>
      </c>
      <c r="D2619" s="22" t="s">
        <v>8904</v>
      </c>
      <c r="E2619" s="22" t="s">
        <v>8905</v>
      </c>
      <c r="F2619" s="22">
        <v>32.037619999999997</v>
      </c>
      <c r="G2619" s="22">
        <v>44.351900000000001</v>
      </c>
      <c r="H2619" s="21" t="s">
        <v>4986</v>
      </c>
      <c r="I2619" s="21" t="s">
        <v>5084</v>
      </c>
      <c r="J2619" s="21" t="s">
        <v>5092</v>
      </c>
      <c r="K2619" s="24">
        <v>27</v>
      </c>
      <c r="L2619" s="24">
        <v>162</v>
      </c>
      <c r="M2619" s="23">
        <v>1</v>
      </c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26</v>
      </c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>
        <v>27</v>
      </c>
      <c r="AL2619" s="23"/>
      <c r="AM2619" s="23"/>
      <c r="AN2619" s="23"/>
      <c r="AO2619" s="23"/>
      <c r="AP2619" s="23">
        <v>26</v>
      </c>
      <c r="AQ2619" s="23"/>
      <c r="AR2619" s="23">
        <v>1</v>
      </c>
      <c r="AS2619" s="23"/>
      <c r="AT2619" s="23"/>
      <c r="AU2619" s="14" t="str">
        <f>HYPERLINK("http://www.openstreetmap.org/?mlat=32.0338&amp;mlon=44.3587&amp;zoom=12#map=12/32.0338/44.3587","Maplink1")</f>
        <v>Maplink1</v>
      </c>
      <c r="AV2619" s="14" t="str">
        <f>HYPERLINK("https://www.google.iq/maps/search/+32.0338,44.3587/@32.0338,44.3587,14z?hl=en","Maplink2")</f>
        <v>Maplink2</v>
      </c>
      <c r="AW2619" s="14" t="str">
        <f>HYPERLINK("http://www.bing.com/maps/?lvl=14&amp;sty=h&amp;cp=32.0338~44.3587&amp;sp=point.32.0338_44.3587_Al Jamah 139","Maplink3")</f>
        <v>Maplink3</v>
      </c>
    </row>
    <row r="2620" spans="1:49" ht="15" customHeight="1" x14ac:dyDescent="0.25">
      <c r="A2620" s="21">
        <v>22912</v>
      </c>
      <c r="B2620" s="22" t="s">
        <v>20</v>
      </c>
      <c r="C2620" s="22" t="s">
        <v>20</v>
      </c>
      <c r="D2620" s="22" t="s">
        <v>8906</v>
      </c>
      <c r="E2620" s="22" t="s">
        <v>8907</v>
      </c>
      <c r="F2620" s="22">
        <v>32.032699999999998</v>
      </c>
      <c r="G2620" s="22">
        <v>44.360309999999998</v>
      </c>
      <c r="H2620" s="21" t="s">
        <v>4986</v>
      </c>
      <c r="I2620" s="21" t="s">
        <v>5084</v>
      </c>
      <c r="J2620" s="21" t="s">
        <v>5147</v>
      </c>
      <c r="K2620" s="24">
        <v>18</v>
      </c>
      <c r="L2620" s="24">
        <v>108</v>
      </c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18</v>
      </c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>
        <v>18</v>
      </c>
      <c r="AL2620" s="23"/>
      <c r="AM2620" s="23"/>
      <c r="AN2620" s="23"/>
      <c r="AO2620" s="23"/>
      <c r="AP2620" s="23"/>
      <c r="AQ2620" s="23">
        <v>18</v>
      </c>
      <c r="AR2620" s="23"/>
      <c r="AS2620" s="23"/>
      <c r="AT2620" s="23"/>
      <c r="AU2620" s="14" t="str">
        <f>HYPERLINK("http://www.openstreetmap.org/?mlat=32.0379&amp;mlon=44.3477&amp;zoom=12#map=12/32.0379/44.3477","Maplink1")</f>
        <v>Maplink1</v>
      </c>
      <c r="AV2620" s="14" t="str">
        <f>HYPERLINK("https://www.google.iq/maps/search/+32.0379,44.3477/@32.0379,44.3477,14z?hl=en","Maplink2")</f>
        <v>Maplink2</v>
      </c>
      <c r="AW2620" s="14" t="str">
        <f>HYPERLINK("http://www.bing.com/maps/?lvl=14&amp;sty=h&amp;cp=32.0379~44.3477&amp;sp=point.32.0379_44.3477_Hay Al Jamia-141","Maplink3")</f>
        <v>Maplink3</v>
      </c>
    </row>
    <row r="2621" spans="1:49" ht="15" customHeight="1" x14ac:dyDescent="0.25">
      <c r="A2621" s="21">
        <v>22909</v>
      </c>
      <c r="B2621" s="22" t="s">
        <v>20</v>
      </c>
      <c r="C2621" s="22" t="s">
        <v>20</v>
      </c>
      <c r="D2621" s="22" t="s">
        <v>8908</v>
      </c>
      <c r="E2621" s="22" t="s">
        <v>8909</v>
      </c>
      <c r="F2621" s="22">
        <v>32.040880000000001</v>
      </c>
      <c r="G2621" s="22">
        <v>44.347589999999997</v>
      </c>
      <c r="H2621" s="21" t="s">
        <v>4986</v>
      </c>
      <c r="I2621" s="21" t="s">
        <v>5084</v>
      </c>
      <c r="J2621" s="21" t="s">
        <v>5150</v>
      </c>
      <c r="K2621" s="24">
        <v>23</v>
      </c>
      <c r="L2621" s="24">
        <v>138</v>
      </c>
      <c r="M2621" s="23">
        <v>10</v>
      </c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13</v>
      </c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>
        <v>23</v>
      </c>
      <c r="AL2621" s="23"/>
      <c r="AM2621" s="23"/>
      <c r="AN2621" s="23"/>
      <c r="AO2621" s="23">
        <v>10</v>
      </c>
      <c r="AP2621" s="23"/>
      <c r="AQ2621" s="23">
        <v>13</v>
      </c>
      <c r="AR2621" s="23"/>
      <c r="AS2621" s="23"/>
      <c r="AT2621" s="23"/>
      <c r="AU2621" s="14" t="str">
        <f>HYPERLINK("http://www.openstreetmap.org/?mlat=32.0519&amp;mlon=44.3506&amp;zoom=12#map=12/32.0519/44.3506","Maplink1")</f>
        <v>Maplink1</v>
      </c>
      <c r="AV2621" s="14" t="str">
        <f>HYPERLINK("https://www.google.iq/maps/search/+32.0519,44.3506/@32.0519,44.3506,14z?hl=en","Maplink2")</f>
        <v>Maplink2</v>
      </c>
      <c r="AW2621" s="14" t="str">
        <f>HYPERLINK("http://www.bing.com/maps/?lvl=14&amp;sty=h&amp;cp=32.0519~44.3506&amp;sp=point.32.0519_44.3506_Hay Al Jazaar-342","Maplink3")</f>
        <v>Maplink3</v>
      </c>
    </row>
    <row r="2622" spans="1:49" ht="15" customHeight="1" x14ac:dyDescent="0.25">
      <c r="A2622" s="21">
        <v>22908</v>
      </c>
      <c r="B2622" s="22" t="s">
        <v>20</v>
      </c>
      <c r="C2622" s="22" t="s">
        <v>20</v>
      </c>
      <c r="D2622" s="22" t="s">
        <v>8910</v>
      </c>
      <c r="E2622" s="22" t="s">
        <v>8911</v>
      </c>
      <c r="F2622" s="22">
        <v>32.049100000000003</v>
      </c>
      <c r="G2622" s="22">
        <v>44.347259999999999</v>
      </c>
      <c r="H2622" s="21" t="s">
        <v>4986</v>
      </c>
      <c r="I2622" s="21" t="s">
        <v>5084</v>
      </c>
      <c r="J2622" s="21" t="s">
        <v>5148</v>
      </c>
      <c r="K2622" s="24">
        <v>10</v>
      </c>
      <c r="L2622" s="24">
        <v>60</v>
      </c>
      <c r="M2622" s="23"/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10</v>
      </c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>
        <v>10</v>
      </c>
      <c r="AL2622" s="23"/>
      <c r="AM2622" s="23"/>
      <c r="AN2622" s="23"/>
      <c r="AO2622" s="23"/>
      <c r="AP2622" s="23"/>
      <c r="AQ2622" s="23">
        <v>10</v>
      </c>
      <c r="AR2622" s="23"/>
      <c r="AS2622" s="23"/>
      <c r="AT2622" s="23"/>
      <c r="AU2622" s="14" t="str">
        <f>HYPERLINK("http://www.openstreetmap.org/?mlat=32.0451&amp;mlon=44.3535&amp;zoom=12#map=12/32.0451/44.3535","Maplink1")</f>
        <v>Maplink1</v>
      </c>
      <c r="AV2622" s="14" t="str">
        <f>HYPERLINK("https://www.google.iq/maps/search/+32.0451,44.3535/@32.0451,44.3535,14z?hl=en","Maplink2")</f>
        <v>Maplink2</v>
      </c>
      <c r="AW2622" s="14" t="str">
        <f>HYPERLINK("http://www.bing.com/maps/?lvl=14&amp;sty=h&amp;cp=32.0451~44.3535&amp;sp=point.32.0451_44.3535_Hay Al Jazaar-334","Maplink3")</f>
        <v>Maplink3</v>
      </c>
    </row>
    <row r="2623" spans="1:49" ht="15" customHeight="1" x14ac:dyDescent="0.25">
      <c r="A2623" s="21">
        <v>23118</v>
      </c>
      <c r="B2623" s="22" t="s">
        <v>20</v>
      </c>
      <c r="C2623" s="22" t="s">
        <v>20</v>
      </c>
      <c r="D2623" s="22" t="s">
        <v>8912</v>
      </c>
      <c r="E2623" s="22" t="s">
        <v>8913</v>
      </c>
      <c r="F2623" s="22">
        <v>32.043619999999997</v>
      </c>
      <c r="G2623" s="22">
        <v>44.347569999999997</v>
      </c>
      <c r="H2623" s="21" t="s">
        <v>4986</v>
      </c>
      <c r="I2623" s="21" t="s">
        <v>5084</v>
      </c>
      <c r="J2623" s="21" t="s">
        <v>5149</v>
      </c>
      <c r="K2623" s="24">
        <v>20</v>
      </c>
      <c r="L2623" s="24">
        <v>120</v>
      </c>
      <c r="M2623" s="23">
        <v>20</v>
      </c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/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>
        <v>20</v>
      </c>
      <c r="AL2623" s="23"/>
      <c r="AM2623" s="23"/>
      <c r="AN2623" s="23"/>
      <c r="AO2623" s="23">
        <v>20</v>
      </c>
      <c r="AP2623" s="23"/>
      <c r="AQ2623" s="23"/>
      <c r="AR2623" s="23"/>
      <c r="AS2623" s="23"/>
      <c r="AT2623" s="23"/>
      <c r="AU2623" s="14" t="str">
        <f>HYPERLINK("http://www.openstreetmap.org/?mlat=32.0421&amp;mlon=44.346&amp;zoom=12#map=12/32.0421/44.346","Maplink1")</f>
        <v>Maplink1</v>
      </c>
      <c r="AV2623" s="14" t="str">
        <f>HYPERLINK("https://www.google.iq/maps/search/+32.0421,44.346/@32.0421,44.346,14z?hl=en","Maplink2")</f>
        <v>Maplink2</v>
      </c>
      <c r="AW2623" s="14" t="str">
        <f>HYPERLINK("http://www.bing.com/maps/?lvl=14&amp;sty=h&amp;cp=32.0421~44.346&amp;sp=point.32.0421_44.346_Hay Al Jazaar-338","Maplink3")</f>
        <v>Maplink3</v>
      </c>
    </row>
    <row r="2624" spans="1:49" ht="15" customHeight="1" x14ac:dyDescent="0.25">
      <c r="A2624" s="21">
        <v>21936</v>
      </c>
      <c r="B2624" s="22" t="s">
        <v>20</v>
      </c>
      <c r="C2624" s="22" t="s">
        <v>20</v>
      </c>
      <c r="D2624" s="22" t="s">
        <v>8914</v>
      </c>
      <c r="E2624" s="22" t="s">
        <v>8915</v>
      </c>
      <c r="F2624" s="22">
        <v>32.04609</v>
      </c>
      <c r="G2624" s="22">
        <v>44.346310000000003</v>
      </c>
      <c r="H2624" s="21" t="s">
        <v>4986</v>
      </c>
      <c r="I2624" s="21" t="s">
        <v>5084</v>
      </c>
      <c r="J2624" s="21" t="s">
        <v>5095</v>
      </c>
      <c r="K2624" s="24">
        <v>10</v>
      </c>
      <c r="L2624" s="24">
        <v>60</v>
      </c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10</v>
      </c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>
        <v>10</v>
      </c>
      <c r="AL2624" s="23"/>
      <c r="AM2624" s="23"/>
      <c r="AN2624" s="23"/>
      <c r="AO2624" s="23"/>
      <c r="AP2624" s="23"/>
      <c r="AQ2624" s="23">
        <v>10</v>
      </c>
      <c r="AR2624" s="23"/>
      <c r="AS2624" s="23"/>
      <c r="AT2624" s="23"/>
      <c r="AU2624" s="14" t="str">
        <f>HYPERLINK("http://www.openstreetmap.org/?mlat=32.0525&amp;mlon=44.3419&amp;zoom=12#map=12/32.0525/44.3419","Maplink1")</f>
        <v>Maplink1</v>
      </c>
      <c r="AV2624" s="14" t="str">
        <f>HYPERLINK("https://www.google.iq/maps/search/+32.0525,44.3419/@32.0525,44.3419,14z?hl=en","Maplink2")</f>
        <v>Maplink2</v>
      </c>
      <c r="AW2624" s="14" t="str">
        <f>HYPERLINK("http://www.bing.com/maps/?lvl=14&amp;sty=h&amp;cp=32.0525~44.3419&amp;sp=point.32.0525_44.3419_Al Jazair 344","Maplink3")</f>
        <v>Maplink3</v>
      </c>
    </row>
    <row r="2625" spans="1:49" ht="15" customHeight="1" x14ac:dyDescent="0.25">
      <c r="A2625" s="21">
        <v>25642</v>
      </c>
      <c r="B2625" s="22" t="s">
        <v>20</v>
      </c>
      <c r="C2625" s="22" t="s">
        <v>20</v>
      </c>
      <c r="D2625" s="22" t="s">
        <v>8916</v>
      </c>
      <c r="E2625" s="22" t="s">
        <v>8917</v>
      </c>
      <c r="F2625" s="22">
        <v>32.04569</v>
      </c>
      <c r="G2625" s="22">
        <v>44.35172</v>
      </c>
      <c r="H2625" s="21" t="s">
        <v>4986</v>
      </c>
      <c r="I2625" s="21" t="s">
        <v>5084</v>
      </c>
      <c r="J2625" s="21"/>
      <c r="K2625" s="24">
        <v>27</v>
      </c>
      <c r="L2625" s="24">
        <v>162</v>
      </c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27</v>
      </c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>
        <v>27</v>
      </c>
      <c r="AL2625" s="23"/>
      <c r="AM2625" s="23"/>
      <c r="AN2625" s="23"/>
      <c r="AO2625" s="23"/>
      <c r="AP2625" s="23"/>
      <c r="AQ2625" s="23"/>
      <c r="AR2625" s="23">
        <v>27</v>
      </c>
      <c r="AS2625" s="23"/>
      <c r="AT2625" s="23"/>
      <c r="AU2625" s="14" t="str">
        <f>HYPERLINK("http://www.openstreetmap.org/?mlat=32.0519&amp;mlon=44.3506&amp;zoom=12#map=12/32.0519/44.3506","Maplink1")</f>
        <v>Maplink1</v>
      </c>
      <c r="AV2625" s="14" t="str">
        <f>HYPERLINK("https://www.google.iq/maps/search/+32.0519,44.3506/@32.0519,44.3506,14z?hl=en","Maplink2")</f>
        <v>Maplink2</v>
      </c>
      <c r="AW2625" s="14" t="str">
        <f>HYPERLINK("http://www.bing.com/maps/?lvl=14&amp;sty=h&amp;cp=32.0519~44.3506&amp;sp=point.32.0519_44.3506_Hay Al Jazaar-340","Maplink3")</f>
        <v>Maplink3</v>
      </c>
    </row>
    <row r="2626" spans="1:49" ht="15" customHeight="1" x14ac:dyDescent="0.25">
      <c r="A2626" s="21">
        <v>22620</v>
      </c>
      <c r="B2626" s="22" t="s">
        <v>20</v>
      </c>
      <c r="C2626" s="22" t="s">
        <v>20</v>
      </c>
      <c r="D2626" s="22" t="s">
        <v>8918</v>
      </c>
      <c r="E2626" s="22" t="s">
        <v>8919</v>
      </c>
      <c r="F2626" s="22">
        <v>32.046019999999999</v>
      </c>
      <c r="G2626" s="22">
        <v>44.349539999999998</v>
      </c>
      <c r="H2626" s="21" t="s">
        <v>4986</v>
      </c>
      <c r="I2626" s="21" t="s">
        <v>5084</v>
      </c>
      <c r="J2626" s="21" t="s">
        <v>5094</v>
      </c>
      <c r="K2626" s="24">
        <v>32</v>
      </c>
      <c r="L2626" s="24">
        <v>192</v>
      </c>
      <c r="M2626" s="23">
        <v>5</v>
      </c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>
        <v>20</v>
      </c>
      <c r="Z2626" s="23"/>
      <c r="AA2626" s="23">
        <v>7</v>
      </c>
      <c r="AB2626" s="23"/>
      <c r="AC2626" s="23"/>
      <c r="AD2626" s="23"/>
      <c r="AE2626" s="23"/>
      <c r="AF2626" s="23">
        <v>8</v>
      </c>
      <c r="AG2626" s="23"/>
      <c r="AH2626" s="23"/>
      <c r="AI2626" s="23"/>
      <c r="AJ2626" s="23"/>
      <c r="AK2626" s="23">
        <v>18</v>
      </c>
      <c r="AL2626" s="23"/>
      <c r="AM2626" s="23">
        <v>6</v>
      </c>
      <c r="AN2626" s="23"/>
      <c r="AO2626" s="23">
        <v>5</v>
      </c>
      <c r="AP2626" s="23">
        <v>6</v>
      </c>
      <c r="AQ2626" s="23">
        <v>16</v>
      </c>
      <c r="AR2626" s="23">
        <v>5</v>
      </c>
      <c r="AS2626" s="23"/>
      <c r="AT2626" s="23"/>
      <c r="AU2626" s="14" t="str">
        <f>HYPERLINK("http://www.openstreetmap.org/?mlat=32.0571&amp;mlon=44.3431&amp;zoom=12#map=12/32.0571/44.3431","Maplink1")</f>
        <v>Maplink1</v>
      </c>
      <c r="AV2626" s="14" t="str">
        <f>HYPERLINK("https://www.google.iq/maps/search/+32.0571,44.3431/@32.0571,44.3431,14z?hl=en","Maplink2")</f>
        <v>Maplink2</v>
      </c>
      <c r="AW2626" s="14" t="str">
        <f>HYPERLINK("http://www.bing.com/maps/?lvl=14&amp;sty=h&amp;cp=32.0571~44.3431&amp;sp=point.32.0571_44.3431_Al Jazair 336","Maplink3")</f>
        <v>Maplink3</v>
      </c>
    </row>
    <row r="2627" spans="1:49" ht="15" customHeight="1" x14ac:dyDescent="0.25">
      <c r="A2627" s="21">
        <v>20338</v>
      </c>
      <c r="B2627" s="22" t="s">
        <v>20</v>
      </c>
      <c r="C2627" s="22" t="s">
        <v>20</v>
      </c>
      <c r="D2627" s="22" t="s">
        <v>5096</v>
      </c>
      <c r="E2627" s="22" t="s">
        <v>5097</v>
      </c>
      <c r="F2627" s="22">
        <v>31.988367</v>
      </c>
      <c r="G2627" s="22">
        <v>44.319758999999998</v>
      </c>
      <c r="H2627" s="21" t="s">
        <v>4986</v>
      </c>
      <c r="I2627" s="21" t="s">
        <v>5084</v>
      </c>
      <c r="J2627" s="21" t="s">
        <v>5098</v>
      </c>
      <c r="K2627" s="24">
        <v>220</v>
      </c>
      <c r="L2627" s="24">
        <v>1320</v>
      </c>
      <c r="M2627" s="23">
        <v>10</v>
      </c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210</v>
      </c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>
        <v>8</v>
      </c>
      <c r="AK2627" s="23">
        <v>212</v>
      </c>
      <c r="AL2627" s="23"/>
      <c r="AM2627" s="23"/>
      <c r="AN2627" s="23"/>
      <c r="AO2627" s="23"/>
      <c r="AP2627" s="23">
        <v>210</v>
      </c>
      <c r="AQ2627" s="23"/>
      <c r="AR2627" s="23">
        <v>2</v>
      </c>
      <c r="AS2627" s="23">
        <v>8</v>
      </c>
      <c r="AT2627" s="23"/>
      <c r="AU2627" s="14" t="str">
        <f>HYPERLINK("http://www.openstreetmap.org/?mlat=32.0143&amp;mlon=44.241&amp;zoom=12#map=12/32.0143/44.241","Maplink1")</f>
        <v>Maplink1</v>
      </c>
      <c r="AV2627" s="14" t="str">
        <f>HYPERLINK("https://www.google.iq/maps/search/+32.0143,44.241/@32.0143,44.241,14z?hl=en","Maplink2")</f>
        <v>Maplink2</v>
      </c>
      <c r="AW2627" s="14" t="str">
        <f>HYPERLINK("http://www.bing.com/maps/?lvl=14&amp;sty=h&amp;cp=32.0143~44.241&amp;sp=point.32.0143_44.241_AL JEDAIDA","Maplink3")</f>
        <v>Maplink3</v>
      </c>
    </row>
    <row r="2628" spans="1:49" ht="15" customHeight="1" x14ac:dyDescent="0.25">
      <c r="A2628" s="21">
        <v>24376</v>
      </c>
      <c r="B2628" s="22" t="s">
        <v>20</v>
      </c>
      <c r="C2628" s="22" t="s">
        <v>20</v>
      </c>
      <c r="D2628" s="22" t="s">
        <v>5099</v>
      </c>
      <c r="E2628" s="22" t="s">
        <v>5100</v>
      </c>
      <c r="F2628" s="22">
        <v>31.980519999999999</v>
      </c>
      <c r="G2628" s="22">
        <v>44.326599999999999</v>
      </c>
      <c r="H2628" s="21" t="s">
        <v>4986</v>
      </c>
      <c r="I2628" s="21" t="s">
        <v>5084</v>
      </c>
      <c r="J2628" s="21"/>
      <c r="K2628" s="24">
        <v>5</v>
      </c>
      <c r="L2628" s="24">
        <v>30</v>
      </c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5</v>
      </c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>
        <v>5</v>
      </c>
      <c r="AL2628" s="23"/>
      <c r="AM2628" s="23"/>
      <c r="AN2628" s="23"/>
      <c r="AO2628" s="23"/>
      <c r="AP2628" s="23">
        <v>5</v>
      </c>
      <c r="AQ2628" s="23"/>
      <c r="AR2628" s="23"/>
      <c r="AS2628" s="23"/>
      <c r="AT2628" s="23"/>
      <c r="AU2628" s="14" t="str">
        <f>HYPERLINK("http://www.openstreetmap.org/?mlat=31.9805&amp;mlon=44.3266&amp;zoom=12#map=12/31.9805/44.3266","Maplink1")</f>
        <v>Maplink1</v>
      </c>
      <c r="AV2628" s="14" t="str">
        <f>HYPERLINK("https://www.google.iq/maps/search/+31.9805,44.3266/@31.9805,44.3266,14z?hl=en","Maplink2")</f>
        <v>Maplink2</v>
      </c>
      <c r="AW2628" s="14" t="str">
        <f>HYPERLINK("http://www.bing.com/maps/?lvl=14&amp;sty=h&amp;cp=31.9805~44.3266&amp;sp=point.31.9805_44.3266_Al Noor","Maplink3")</f>
        <v>Maplink3</v>
      </c>
    </row>
    <row r="2629" spans="1:49" ht="15" customHeight="1" x14ac:dyDescent="0.25">
      <c r="A2629" s="21">
        <v>24373</v>
      </c>
      <c r="B2629" s="22" t="s">
        <v>20</v>
      </c>
      <c r="C2629" s="22" t="s">
        <v>20</v>
      </c>
      <c r="D2629" s="22" t="s">
        <v>5102</v>
      </c>
      <c r="E2629" s="22" t="s">
        <v>8073</v>
      </c>
      <c r="F2629" s="22">
        <v>31.982569999999999</v>
      </c>
      <c r="G2629" s="22">
        <v>44.363039999999998</v>
      </c>
      <c r="H2629" s="21" t="s">
        <v>4986</v>
      </c>
      <c r="I2629" s="21" t="s">
        <v>5084</v>
      </c>
      <c r="J2629" s="21"/>
      <c r="K2629" s="24">
        <v>66</v>
      </c>
      <c r="L2629" s="24">
        <v>396</v>
      </c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66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>
        <v>10</v>
      </c>
      <c r="AK2629" s="23">
        <v>56</v>
      </c>
      <c r="AL2629" s="23"/>
      <c r="AM2629" s="23"/>
      <c r="AN2629" s="23"/>
      <c r="AO2629" s="23"/>
      <c r="AP2629" s="23">
        <v>66</v>
      </c>
      <c r="AQ2629" s="23"/>
      <c r="AR2629" s="23"/>
      <c r="AS2629" s="23"/>
      <c r="AT2629" s="23"/>
      <c r="AU2629" s="14" t="str">
        <f>HYPERLINK("http://www.openstreetmap.org/?mlat=31.9828&amp;mlon=44.3647&amp;zoom=12#map=12/31.9828/44.3647","Maplink1")</f>
        <v>Maplink1</v>
      </c>
      <c r="AV2629" s="14" t="str">
        <f>HYPERLINK("https://www.google.iq/maps/search/+31.9828,44.3647/@31.9828,44.3647,14z?hl=en","Maplink2")</f>
        <v>Maplink2</v>
      </c>
      <c r="AW2629" s="14" t="str">
        <f>HYPERLINK("http://www.bing.com/maps/?lvl=14&amp;sty=h&amp;cp=31.9828~44.3647&amp;sp=point.31.9828_44.3647_Al Quds 22","Maplink3")</f>
        <v>Maplink3</v>
      </c>
    </row>
    <row r="2630" spans="1:49" ht="15" customHeight="1" x14ac:dyDescent="0.25">
      <c r="A2630" s="21">
        <v>21577</v>
      </c>
      <c r="B2630" s="22" t="s">
        <v>20</v>
      </c>
      <c r="C2630" s="22" t="s">
        <v>20</v>
      </c>
      <c r="D2630" s="22" t="s">
        <v>5103</v>
      </c>
      <c r="E2630" s="22" t="s">
        <v>5104</v>
      </c>
      <c r="F2630" s="22">
        <v>31.966819999999998</v>
      </c>
      <c r="G2630" s="22">
        <v>44.382460000000002</v>
      </c>
      <c r="H2630" s="21" t="s">
        <v>4986</v>
      </c>
      <c r="I2630" s="21" t="s">
        <v>5084</v>
      </c>
      <c r="J2630" s="21" t="s">
        <v>5105</v>
      </c>
      <c r="K2630" s="24">
        <v>15</v>
      </c>
      <c r="L2630" s="24">
        <v>90</v>
      </c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15</v>
      </c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>
        <v>15</v>
      </c>
      <c r="AK2630" s="23"/>
      <c r="AL2630" s="23"/>
      <c r="AM2630" s="23"/>
      <c r="AN2630" s="23"/>
      <c r="AO2630" s="23"/>
      <c r="AP2630" s="23"/>
      <c r="AQ2630" s="23">
        <v>15</v>
      </c>
      <c r="AR2630" s="23"/>
      <c r="AS2630" s="23"/>
      <c r="AT2630" s="23"/>
      <c r="AU2630" s="14" t="str">
        <f>HYPERLINK("http://www.openstreetmap.org/?mlat=31.9631&amp;mlon=44.3869&amp;zoom=12#map=12/31.9631/44.3869","Maplink1")</f>
        <v>Maplink1</v>
      </c>
      <c r="AV2630" s="14" t="str">
        <f>HYPERLINK("https://www.google.iq/maps/search/+31.9631,44.3869/@31.9631,44.3869,14z?hl=en","Maplink2")</f>
        <v>Maplink2</v>
      </c>
      <c r="AW2630" s="14" t="str">
        <f>HYPERLINK("http://www.bing.com/maps/?lvl=14&amp;sty=h&amp;cp=31.9631~44.3869&amp;sp=point.31.9631_44.3869_Al Radhawiyah 2","Maplink3")</f>
        <v>Maplink3</v>
      </c>
    </row>
    <row r="2631" spans="1:49" ht="15" customHeight="1" x14ac:dyDescent="0.25">
      <c r="A2631" s="21">
        <v>21575</v>
      </c>
      <c r="B2631" s="22" t="s">
        <v>20</v>
      </c>
      <c r="C2631" s="22" t="s">
        <v>20</v>
      </c>
      <c r="D2631" s="22" t="s">
        <v>5106</v>
      </c>
      <c r="E2631" s="22" t="s">
        <v>5107</v>
      </c>
      <c r="F2631" s="22">
        <v>31.957595000000001</v>
      </c>
      <c r="G2631" s="22">
        <v>44.387869999999999</v>
      </c>
      <c r="H2631" s="21" t="s">
        <v>4986</v>
      </c>
      <c r="I2631" s="21" t="s">
        <v>5084</v>
      </c>
      <c r="J2631" s="21" t="s">
        <v>5108</v>
      </c>
      <c r="K2631" s="24">
        <v>66</v>
      </c>
      <c r="L2631" s="24">
        <v>396</v>
      </c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66</v>
      </c>
      <c r="Z2631" s="23"/>
      <c r="AA2631" s="23"/>
      <c r="AB2631" s="23"/>
      <c r="AC2631" s="23"/>
      <c r="AD2631" s="23"/>
      <c r="AE2631" s="23"/>
      <c r="AF2631" s="23">
        <v>66</v>
      </c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>
        <v>66</v>
      </c>
      <c r="AQ2631" s="23"/>
      <c r="AR2631" s="23"/>
      <c r="AS2631" s="23"/>
      <c r="AT2631" s="23"/>
      <c r="AU2631" s="14" t="str">
        <f>HYPERLINK("http://www.openstreetmap.org/?mlat=31.9576&amp;mlon=44.3968&amp;zoom=12#map=12/31.9576/44.3968","Maplink1")</f>
        <v>Maplink1</v>
      </c>
      <c r="AV2631" s="14" t="str">
        <f>HYPERLINK("https://www.google.iq/maps/search/+31.9576,44.3968/@31.9576,44.3968,14z?hl=en","Maplink2")</f>
        <v>Maplink2</v>
      </c>
      <c r="AW2631" s="14" t="str">
        <f>HYPERLINK("http://www.bing.com/maps/?lvl=14&amp;sty=h&amp;cp=31.9576~44.3968&amp;sp=point.31.9576_44.3968_Al Radhawiyah 3","Maplink3")</f>
        <v>Maplink3</v>
      </c>
    </row>
    <row r="2632" spans="1:49" ht="15" customHeight="1" x14ac:dyDescent="0.25">
      <c r="A2632" s="21">
        <v>25638</v>
      </c>
      <c r="B2632" s="22" t="s">
        <v>20</v>
      </c>
      <c r="C2632" s="22" t="s">
        <v>20</v>
      </c>
      <c r="D2632" s="22" t="s">
        <v>5109</v>
      </c>
      <c r="E2632" s="22" t="s">
        <v>5110</v>
      </c>
      <c r="F2632" s="22">
        <v>31.958811000000001</v>
      </c>
      <c r="G2632" s="22">
        <v>44.395921000000001</v>
      </c>
      <c r="H2632" s="21" t="s">
        <v>4986</v>
      </c>
      <c r="I2632" s="21" t="s">
        <v>5084</v>
      </c>
      <c r="J2632" s="21"/>
      <c r="K2632" s="24">
        <v>9</v>
      </c>
      <c r="L2632" s="24">
        <v>54</v>
      </c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9</v>
      </c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>
        <v>9</v>
      </c>
      <c r="AL2632" s="23"/>
      <c r="AM2632" s="23"/>
      <c r="AN2632" s="23"/>
      <c r="AO2632" s="23"/>
      <c r="AP2632" s="23"/>
      <c r="AQ2632" s="23"/>
      <c r="AR2632" s="23">
        <v>9</v>
      </c>
      <c r="AS2632" s="23"/>
      <c r="AT2632" s="23"/>
      <c r="AU2632" s="14" t="str">
        <f>HYPERLINK("http://www.openstreetmap.org/?mlat=31.9576&amp;mlon=44.3968&amp;zoom=12#map=12/31.9576/44.3968","Maplink1")</f>
        <v>Maplink1</v>
      </c>
      <c r="AV2632" s="14" t="str">
        <f>HYPERLINK("https://www.google.iq/maps/search/+31.9576,44.3968/@31.9576,44.3968,14z?hl=en","Maplink2")</f>
        <v>Maplink2</v>
      </c>
      <c r="AW2632" s="14" t="str">
        <f>HYPERLINK("http://www.bing.com/maps/?lvl=14&amp;sty=h&amp;cp=31.9576~44.3968&amp;sp=point.31.9576_44.3968_Al Radhawiyah 5","Maplink3")</f>
        <v>Maplink3</v>
      </c>
    </row>
    <row r="2633" spans="1:49" ht="15" customHeight="1" x14ac:dyDescent="0.25">
      <c r="A2633" s="21">
        <v>25639</v>
      </c>
      <c r="B2633" s="22" t="s">
        <v>20</v>
      </c>
      <c r="C2633" s="22" t="s">
        <v>20</v>
      </c>
      <c r="D2633" s="22" t="s">
        <v>5111</v>
      </c>
      <c r="E2633" s="22" t="s">
        <v>5112</v>
      </c>
      <c r="F2633" s="22">
        <v>31.951284000000001</v>
      </c>
      <c r="G2633" s="22">
        <v>44.410811000000002</v>
      </c>
      <c r="H2633" s="21" t="s">
        <v>4986</v>
      </c>
      <c r="I2633" s="21" t="s">
        <v>5084</v>
      </c>
      <c r="J2633" s="21"/>
      <c r="K2633" s="24">
        <v>12</v>
      </c>
      <c r="L2633" s="24">
        <v>72</v>
      </c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>
        <v>10</v>
      </c>
      <c r="Z2633" s="23"/>
      <c r="AA2633" s="23">
        <v>2</v>
      </c>
      <c r="AB2633" s="23"/>
      <c r="AC2633" s="23"/>
      <c r="AD2633" s="23"/>
      <c r="AE2633" s="23"/>
      <c r="AF2633" s="23"/>
      <c r="AG2633" s="23"/>
      <c r="AH2633" s="23"/>
      <c r="AI2633" s="23"/>
      <c r="AJ2633" s="23">
        <v>12</v>
      </c>
      <c r="AK2633" s="23"/>
      <c r="AL2633" s="23"/>
      <c r="AM2633" s="23"/>
      <c r="AN2633" s="23"/>
      <c r="AO2633" s="23"/>
      <c r="AP2633" s="23"/>
      <c r="AQ2633" s="23"/>
      <c r="AR2633" s="23">
        <v>12</v>
      </c>
      <c r="AS2633" s="23"/>
      <c r="AT2633" s="23"/>
      <c r="AU2633" s="14" t="str">
        <f>HYPERLINK("http://www.openstreetmap.org/?mlat=31.9576&amp;mlon=44.3968&amp;zoom=12#map=12/31.9576/44.3968","Maplink1")</f>
        <v>Maplink1</v>
      </c>
      <c r="AV2633" s="14" t="str">
        <f>HYPERLINK("https://www.google.iq/maps/search/+31.9576,44.3968/@31.9576,44.3968,14z?hl=en","Maplink2")</f>
        <v>Maplink2</v>
      </c>
      <c r="AW2633" s="14" t="str">
        <f>HYPERLINK("http://www.bing.com/maps/?lvl=14&amp;sty=h&amp;cp=31.9576~44.3968&amp;sp=point.31.9576_44.3968_Al Radhawiyah 6","Maplink3")</f>
        <v>Maplink3</v>
      </c>
    </row>
    <row r="2634" spans="1:49" ht="15" customHeight="1" x14ac:dyDescent="0.25">
      <c r="A2634" s="21">
        <v>25640</v>
      </c>
      <c r="B2634" s="22" t="s">
        <v>20</v>
      </c>
      <c r="C2634" s="22" t="s">
        <v>20</v>
      </c>
      <c r="D2634" s="22" t="s">
        <v>5113</v>
      </c>
      <c r="E2634" s="22" t="s">
        <v>5114</v>
      </c>
      <c r="F2634" s="22">
        <v>31.949954999999999</v>
      </c>
      <c r="G2634" s="22">
        <v>44.414290999999999</v>
      </c>
      <c r="H2634" s="21" t="s">
        <v>4986</v>
      </c>
      <c r="I2634" s="21" t="s">
        <v>5084</v>
      </c>
      <c r="J2634" s="21"/>
      <c r="K2634" s="24">
        <v>165</v>
      </c>
      <c r="L2634" s="24">
        <v>990</v>
      </c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>
        <v>165</v>
      </c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>
        <v>20</v>
      </c>
      <c r="AK2634" s="23">
        <v>145</v>
      </c>
      <c r="AL2634" s="23"/>
      <c r="AM2634" s="23"/>
      <c r="AN2634" s="23"/>
      <c r="AO2634" s="23"/>
      <c r="AP2634" s="23"/>
      <c r="AQ2634" s="23">
        <v>165</v>
      </c>
      <c r="AR2634" s="23"/>
      <c r="AS2634" s="23"/>
      <c r="AT2634" s="23"/>
      <c r="AU2634" s="14" t="str">
        <f>HYPERLINK("http://www.openstreetmap.org/?mlat=31.9576&amp;mlon=44.3968&amp;zoom=12#map=12/31.9576/44.3968","Maplink1")</f>
        <v>Maplink1</v>
      </c>
      <c r="AV2634" s="14" t="str">
        <f>HYPERLINK("https://www.google.iq/maps/search/+31.9576,44.3968/@31.9576,44.3968,14z?hl=en","Maplink2")</f>
        <v>Maplink2</v>
      </c>
      <c r="AW2634" s="14" t="str">
        <f>HYPERLINK("http://www.bing.com/maps/?lvl=14&amp;sty=h&amp;cp=31.9576~44.3968&amp;sp=point.31.9576_44.3968_Al Radhawiyah 7","Maplink3")</f>
        <v>Maplink3</v>
      </c>
    </row>
    <row r="2635" spans="1:49" ht="15" customHeight="1" x14ac:dyDescent="0.25">
      <c r="A2635" s="21">
        <v>25641</v>
      </c>
      <c r="B2635" s="22" t="s">
        <v>20</v>
      </c>
      <c r="C2635" s="22" t="s">
        <v>20</v>
      </c>
      <c r="D2635" s="22" t="s">
        <v>5115</v>
      </c>
      <c r="E2635" s="22" t="s">
        <v>5116</v>
      </c>
      <c r="F2635" s="22">
        <v>31.945879999999999</v>
      </c>
      <c r="G2635" s="22">
        <v>44.420819999999999</v>
      </c>
      <c r="H2635" s="21" t="s">
        <v>4986</v>
      </c>
      <c r="I2635" s="21" t="s">
        <v>5084</v>
      </c>
      <c r="J2635" s="21"/>
      <c r="K2635" s="24">
        <v>23</v>
      </c>
      <c r="L2635" s="24">
        <v>138</v>
      </c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23</v>
      </c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>
        <v>23</v>
      </c>
      <c r="AL2635" s="23"/>
      <c r="AM2635" s="23"/>
      <c r="AN2635" s="23"/>
      <c r="AO2635" s="23"/>
      <c r="AP2635" s="23"/>
      <c r="AQ2635" s="23"/>
      <c r="AR2635" s="23">
        <v>23</v>
      </c>
      <c r="AS2635" s="23"/>
      <c r="AT2635" s="23"/>
      <c r="AU2635" s="14" t="str">
        <f>HYPERLINK("http://www.openstreetmap.org/?mlat=31.9576&amp;mlon=44.3968&amp;zoom=12#map=12/31.9576/44.3968","Maplink1")</f>
        <v>Maplink1</v>
      </c>
      <c r="AV2635" s="14" t="str">
        <f>HYPERLINK("https://www.google.iq/maps/search/+31.9576,44.3968/@31.9576,44.3968,14z?hl=en","Maplink2")</f>
        <v>Maplink2</v>
      </c>
      <c r="AW2635" s="14" t="str">
        <f>HYPERLINK("http://www.bing.com/maps/?lvl=14&amp;sty=h&amp;cp=31.9576~44.3968&amp;sp=point.31.9576_44.3968_Al Radhawiyah 8","Maplink3")</f>
        <v>Maplink3</v>
      </c>
    </row>
    <row r="2636" spans="1:49" ht="15" customHeight="1" x14ac:dyDescent="0.25">
      <c r="A2636" s="21">
        <v>23705</v>
      </c>
      <c r="B2636" s="22" t="s">
        <v>20</v>
      </c>
      <c r="C2636" s="22" t="s">
        <v>20</v>
      </c>
      <c r="D2636" s="22" t="s">
        <v>5117</v>
      </c>
      <c r="E2636" s="22" t="s">
        <v>3511</v>
      </c>
      <c r="F2636" s="22">
        <v>32.092770000000002</v>
      </c>
      <c r="G2636" s="22">
        <v>44.334269999999997</v>
      </c>
      <c r="H2636" s="21" t="s">
        <v>4986</v>
      </c>
      <c r="I2636" s="21" t="s">
        <v>5084</v>
      </c>
      <c r="J2636" s="21" t="s">
        <v>5118</v>
      </c>
      <c r="K2636" s="24">
        <v>13</v>
      </c>
      <c r="L2636" s="24">
        <v>78</v>
      </c>
      <c r="M2636" s="23">
        <v>7</v>
      </c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6</v>
      </c>
      <c r="Z2636" s="23"/>
      <c r="AA2636" s="23"/>
      <c r="AB2636" s="23"/>
      <c r="AC2636" s="23"/>
      <c r="AD2636" s="23"/>
      <c r="AE2636" s="23"/>
      <c r="AF2636" s="23"/>
      <c r="AG2636" s="23"/>
      <c r="AH2636" s="23">
        <v>7</v>
      </c>
      <c r="AI2636" s="23"/>
      <c r="AJ2636" s="23">
        <v>2</v>
      </c>
      <c r="AK2636" s="23">
        <v>4</v>
      </c>
      <c r="AL2636" s="23"/>
      <c r="AM2636" s="23"/>
      <c r="AN2636" s="23"/>
      <c r="AO2636" s="23">
        <v>9</v>
      </c>
      <c r="AP2636" s="23">
        <v>4</v>
      </c>
      <c r="AQ2636" s="23"/>
      <c r="AR2636" s="23"/>
      <c r="AS2636" s="23"/>
      <c r="AT2636" s="23"/>
      <c r="AU2636" s="14" t="str">
        <f>HYPERLINK("http://www.openstreetmap.org/?mlat=32.0922&amp;mlon=44.3381&amp;zoom=12#map=12/32.0922/44.3381","Maplink1")</f>
        <v>Maplink1</v>
      </c>
      <c r="AV2636" s="14" t="str">
        <f>HYPERLINK("https://www.google.iq/maps/search/+32.0922,44.3381/@32.0922,44.3381,14z?hl=en","Maplink2")</f>
        <v>Maplink2</v>
      </c>
      <c r="AW2636" s="14" t="str">
        <f>HYPERLINK("http://www.bing.com/maps/?lvl=14&amp;sty=h&amp;cp=32.0922~44.3381&amp;sp=point.32.0922_44.3381_Al Rehab","Maplink3")</f>
        <v>Maplink3</v>
      </c>
    </row>
    <row r="2637" spans="1:49" ht="15" customHeight="1" x14ac:dyDescent="0.25">
      <c r="A2637" s="21">
        <v>19643</v>
      </c>
      <c r="B2637" s="22" t="s">
        <v>20</v>
      </c>
      <c r="C2637" s="22" t="s">
        <v>20</v>
      </c>
      <c r="D2637" s="22" t="s">
        <v>1643</v>
      </c>
      <c r="E2637" s="22" t="s">
        <v>150</v>
      </c>
      <c r="F2637" s="22">
        <v>32.037640000000003</v>
      </c>
      <c r="G2637" s="22">
        <v>44.34169</v>
      </c>
      <c r="H2637" s="21" t="s">
        <v>4986</v>
      </c>
      <c r="I2637" s="21" t="s">
        <v>5084</v>
      </c>
      <c r="J2637" s="21"/>
      <c r="K2637" s="24">
        <v>63</v>
      </c>
      <c r="L2637" s="24">
        <v>378</v>
      </c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63</v>
      </c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>
        <v>63</v>
      </c>
      <c r="AL2637" s="23"/>
      <c r="AM2637" s="23"/>
      <c r="AN2637" s="23"/>
      <c r="AO2637" s="23"/>
      <c r="AP2637" s="23">
        <v>63</v>
      </c>
      <c r="AQ2637" s="23"/>
      <c r="AR2637" s="23"/>
      <c r="AS2637" s="23"/>
      <c r="AT2637" s="23"/>
      <c r="AU2637" s="14" t="str">
        <f>HYPERLINK("http://www.openstreetmap.org/?mlat=32.0304&amp;mlon=44.342&amp;zoom=12#map=12/32.0304/44.342","Maplink1")</f>
        <v>Maplink1</v>
      </c>
      <c r="AV2637" s="14" t="str">
        <f>HYPERLINK("https://www.google.iq/maps/search/+32.0304,44.342/@32.0304,44.342,14z?hl=en","Maplink2")</f>
        <v>Maplink2</v>
      </c>
      <c r="AW2637" s="14" t="str">
        <f>HYPERLINK("http://www.bing.com/maps/?lvl=14&amp;sty=h&amp;cp=32.0304~44.342&amp;sp=point.32.0304_44.342_Al Salam","Maplink3")</f>
        <v>Maplink3</v>
      </c>
    </row>
    <row r="2638" spans="1:49" ht="15" customHeight="1" x14ac:dyDescent="0.25">
      <c r="A2638" s="21">
        <v>20018</v>
      </c>
      <c r="B2638" s="22" t="s">
        <v>20</v>
      </c>
      <c r="C2638" s="22" t="s">
        <v>20</v>
      </c>
      <c r="D2638" s="22" t="s">
        <v>5119</v>
      </c>
      <c r="E2638" s="22" t="s">
        <v>5120</v>
      </c>
      <c r="F2638" s="22">
        <v>32.010689999999997</v>
      </c>
      <c r="G2638" s="22">
        <v>44.344090999999999</v>
      </c>
      <c r="H2638" s="21" t="s">
        <v>4986</v>
      </c>
      <c r="I2638" s="21" t="s">
        <v>5084</v>
      </c>
      <c r="J2638" s="21" t="s">
        <v>5121</v>
      </c>
      <c r="K2638" s="24">
        <v>4</v>
      </c>
      <c r="L2638" s="24">
        <v>24</v>
      </c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4</v>
      </c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>
        <v>4</v>
      </c>
      <c r="AK2638" s="23"/>
      <c r="AL2638" s="23"/>
      <c r="AM2638" s="23"/>
      <c r="AN2638" s="23"/>
      <c r="AO2638" s="23"/>
      <c r="AP2638" s="23"/>
      <c r="AQ2638" s="23"/>
      <c r="AR2638" s="23">
        <v>4</v>
      </c>
      <c r="AS2638" s="23"/>
      <c r="AT2638" s="23"/>
      <c r="AU2638" s="14" t="str">
        <f>HYPERLINK("http://www.openstreetmap.org/?mlat=32.0077&amp;mlon=44.3327&amp;zoom=12#map=12/32.0077/44.3327","Maplink1")</f>
        <v>Maplink1</v>
      </c>
      <c r="AV2638" s="14" t="str">
        <f>HYPERLINK("https://www.google.iq/maps/search/+32.0077,44.3327/@32.0077,44.3327,14z?hl=en","Maplink2")</f>
        <v>Maplink2</v>
      </c>
      <c r="AW2638" s="14" t="str">
        <f>HYPERLINK("http://www.bing.com/maps/?lvl=14&amp;sty=h&amp;cp=32.0077~44.3327&amp;sp=point.32.0077_44.3327_Al Siha","Maplink3")</f>
        <v>Maplink3</v>
      </c>
    </row>
    <row r="2639" spans="1:49" ht="15" customHeight="1" x14ac:dyDescent="0.25">
      <c r="A2639" s="21">
        <v>20119</v>
      </c>
      <c r="B2639" s="22" t="s">
        <v>20</v>
      </c>
      <c r="C2639" s="22" t="s">
        <v>20</v>
      </c>
      <c r="D2639" s="22" t="s">
        <v>8920</v>
      </c>
      <c r="E2639" s="22" t="s">
        <v>8921</v>
      </c>
      <c r="F2639" s="22">
        <v>32.036879999999996</v>
      </c>
      <c r="G2639" s="22">
        <v>44.318770000000001</v>
      </c>
      <c r="H2639" s="21" t="s">
        <v>4986</v>
      </c>
      <c r="I2639" s="21" t="s">
        <v>5084</v>
      </c>
      <c r="J2639" s="21" t="s">
        <v>5175</v>
      </c>
      <c r="K2639" s="24">
        <v>31</v>
      </c>
      <c r="L2639" s="24">
        <v>186</v>
      </c>
      <c r="M2639" s="23">
        <v>4</v>
      </c>
      <c r="N2639" s="23"/>
      <c r="O2639" s="23"/>
      <c r="P2639" s="23"/>
      <c r="Q2639" s="23"/>
      <c r="R2639" s="23"/>
      <c r="S2639" s="23"/>
      <c r="T2639" s="23"/>
      <c r="U2639" s="23">
        <v>3</v>
      </c>
      <c r="V2639" s="23"/>
      <c r="W2639" s="23"/>
      <c r="X2639" s="23"/>
      <c r="Y2639" s="23">
        <v>24</v>
      </c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>
        <v>31</v>
      </c>
      <c r="AL2639" s="23"/>
      <c r="AM2639" s="23"/>
      <c r="AN2639" s="23"/>
      <c r="AO2639" s="23">
        <v>4</v>
      </c>
      <c r="AP2639" s="23">
        <v>27</v>
      </c>
      <c r="AQ2639" s="23"/>
      <c r="AR2639" s="23"/>
      <c r="AS2639" s="23"/>
      <c r="AT2639" s="23"/>
      <c r="AU2639" s="14" t="str">
        <f>HYPERLINK("http://www.openstreetmap.org/?mlat=32.0486&amp;mlon=44.3186&amp;zoom=12#map=12/32.0486/44.3186","Maplink1")</f>
        <v>Maplink1</v>
      </c>
      <c r="AV2639" s="14" t="str">
        <f>HYPERLINK("https://www.google.iq/maps/search/+32.0486,44.3186/@32.0486,44.3186,14z?hl=en","Maplink2")</f>
        <v>Maplink2</v>
      </c>
      <c r="AW2639" s="14" t="str">
        <f>HYPERLINK("http://www.bing.com/maps/?lvl=14&amp;sty=h&amp;cp=32.0486~44.3186&amp;sp=point.32.0486_44.3186_Hay aljihad 411","Maplink3")</f>
        <v>Maplink3</v>
      </c>
    </row>
    <row r="2640" spans="1:49" ht="15" customHeight="1" x14ac:dyDescent="0.25">
      <c r="A2640" s="21">
        <v>20098</v>
      </c>
      <c r="B2640" s="22" t="s">
        <v>20</v>
      </c>
      <c r="C2640" s="22" t="s">
        <v>20</v>
      </c>
      <c r="D2640" s="22" t="s">
        <v>8922</v>
      </c>
      <c r="E2640" s="22" t="s">
        <v>8923</v>
      </c>
      <c r="F2640" s="22">
        <v>32.045670000000001</v>
      </c>
      <c r="G2640" s="22">
        <v>44.311050000000002</v>
      </c>
      <c r="H2640" s="21" t="s">
        <v>4986</v>
      </c>
      <c r="I2640" s="21" t="s">
        <v>5084</v>
      </c>
      <c r="J2640" s="21" t="s">
        <v>5176</v>
      </c>
      <c r="K2640" s="24">
        <v>10</v>
      </c>
      <c r="L2640" s="24">
        <v>60</v>
      </c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>
        <v>10</v>
      </c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>
        <v>3</v>
      </c>
      <c r="AL2640" s="23">
        <v>7</v>
      </c>
      <c r="AM2640" s="23"/>
      <c r="AN2640" s="23"/>
      <c r="AO2640" s="23"/>
      <c r="AP2640" s="23"/>
      <c r="AQ2640" s="23">
        <v>7</v>
      </c>
      <c r="AR2640" s="23">
        <v>3</v>
      </c>
      <c r="AS2640" s="23"/>
      <c r="AT2640" s="23"/>
      <c r="AU2640" s="14" t="str">
        <f>HYPERLINK("http://www.openstreetmap.org/?mlat=32.0411&amp;mlon=44.3203&amp;zoom=12#map=12/32.0411/44.3203","Maplink1")</f>
        <v>Maplink1</v>
      </c>
      <c r="AV2640" s="14" t="str">
        <f>HYPERLINK("https://www.google.iq/maps/search/+32.0411,44.3203/@32.0411,44.3203,14z?hl=en","Maplink2")</f>
        <v>Maplink2</v>
      </c>
      <c r="AW2640" s="14" t="str">
        <f>HYPERLINK("http://www.bing.com/maps/?lvl=14&amp;sty=h&amp;cp=32.0411~44.3203&amp;sp=point.32.0411_44.3203_Hay aljihad 413","Maplink3")</f>
        <v>Maplink3</v>
      </c>
    </row>
    <row r="2641" spans="1:49" ht="15" customHeight="1" x14ac:dyDescent="0.25">
      <c r="A2641" s="21">
        <v>20090</v>
      </c>
      <c r="B2641" s="22" t="s">
        <v>20</v>
      </c>
      <c r="C2641" s="22" t="s">
        <v>20</v>
      </c>
      <c r="D2641" s="22" t="s">
        <v>8924</v>
      </c>
      <c r="E2641" s="22" t="s">
        <v>8925</v>
      </c>
      <c r="F2641" s="22">
        <v>32.029449999999997</v>
      </c>
      <c r="G2641" s="22">
        <v>44.31326</v>
      </c>
      <c r="H2641" s="21" t="s">
        <v>4986</v>
      </c>
      <c r="I2641" s="21" t="s">
        <v>5084</v>
      </c>
      <c r="J2641" s="21" t="s">
        <v>5177</v>
      </c>
      <c r="K2641" s="24">
        <v>36</v>
      </c>
      <c r="L2641" s="24">
        <v>216</v>
      </c>
      <c r="M2641" s="23">
        <v>2</v>
      </c>
      <c r="N2641" s="23"/>
      <c r="O2641" s="23"/>
      <c r="P2641" s="23"/>
      <c r="Q2641" s="23"/>
      <c r="R2641" s="23">
        <v>1</v>
      </c>
      <c r="S2641" s="23"/>
      <c r="T2641" s="23"/>
      <c r="U2641" s="23"/>
      <c r="V2641" s="23"/>
      <c r="W2641" s="23"/>
      <c r="X2641" s="23"/>
      <c r="Y2641" s="23">
        <v>33</v>
      </c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>
        <v>36</v>
      </c>
      <c r="AL2641" s="23"/>
      <c r="AM2641" s="23"/>
      <c r="AN2641" s="23"/>
      <c r="AO2641" s="23"/>
      <c r="AP2641" s="23">
        <v>33</v>
      </c>
      <c r="AQ2641" s="23">
        <v>3</v>
      </c>
      <c r="AR2641" s="23"/>
      <c r="AS2641" s="23"/>
      <c r="AT2641" s="23"/>
      <c r="AU2641" s="14" t="str">
        <f>HYPERLINK("http://www.openstreetmap.org/?mlat=32.0378&amp;mlon=44.3114&amp;zoom=12#map=12/32.0378/44.3114","Maplink1")</f>
        <v>Maplink1</v>
      </c>
      <c r="AV2641" s="14" t="str">
        <f>HYPERLINK("https://www.google.iq/maps/search/+32.0378,44.3114/@32.0378,44.3114,14z?hl=en","Maplink2")</f>
        <v>Maplink2</v>
      </c>
      <c r="AW2641" s="14" t="str">
        <f>HYPERLINK("http://www.bing.com/maps/?lvl=14&amp;sty=h&amp;cp=32.0378~44.3114&amp;sp=point.32.0378_44.3114_Hay aljihad 415","Maplink3")</f>
        <v>Maplink3</v>
      </c>
    </row>
    <row r="2642" spans="1:49" ht="15" customHeight="1" x14ac:dyDescent="0.25">
      <c r="A2642" s="21">
        <v>20085</v>
      </c>
      <c r="B2642" s="22" t="s">
        <v>20</v>
      </c>
      <c r="C2642" s="22" t="s">
        <v>20</v>
      </c>
      <c r="D2642" s="22" t="s">
        <v>8926</v>
      </c>
      <c r="E2642" s="22" t="s">
        <v>8927</v>
      </c>
      <c r="F2642" s="22">
        <v>32.03866</v>
      </c>
      <c r="G2642" s="22">
        <v>44.317729999999997</v>
      </c>
      <c r="H2642" s="21" t="s">
        <v>4986</v>
      </c>
      <c r="I2642" s="21" t="s">
        <v>5084</v>
      </c>
      <c r="J2642" s="21" t="s">
        <v>5178</v>
      </c>
      <c r="K2642" s="24">
        <v>19</v>
      </c>
      <c r="L2642" s="24">
        <v>114</v>
      </c>
      <c r="M2642" s="23">
        <v>7</v>
      </c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12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>
        <v>19</v>
      </c>
      <c r="AL2642" s="23"/>
      <c r="AM2642" s="23"/>
      <c r="AN2642" s="23"/>
      <c r="AO2642" s="23"/>
      <c r="AP2642" s="23">
        <v>3</v>
      </c>
      <c r="AQ2642" s="23">
        <v>12</v>
      </c>
      <c r="AR2642" s="23"/>
      <c r="AS2642" s="23">
        <v>4</v>
      </c>
      <c r="AT2642" s="23"/>
      <c r="AU2642" s="14" t="str">
        <f>HYPERLINK("http://www.openstreetmap.org/?mlat=32.0367&amp;mlon=44.3139&amp;zoom=12#map=12/32.0367/44.3139","Maplink1")</f>
        <v>Maplink1</v>
      </c>
      <c r="AV2642" s="14" t="str">
        <f>HYPERLINK("https://www.google.iq/maps/search/+32.0367,44.3139/@32.0367,44.3139,14z?hl=en","Maplink2")</f>
        <v>Maplink2</v>
      </c>
      <c r="AW2642" s="14" t="str">
        <f>HYPERLINK("http://www.bing.com/maps/?lvl=14&amp;sty=h&amp;cp=32.0367~44.3139&amp;sp=point.32.0367_44.3139_Hay aljihad 417","Maplink3")</f>
        <v>Maplink3</v>
      </c>
    </row>
    <row r="2643" spans="1:49" ht="15" customHeight="1" x14ac:dyDescent="0.25">
      <c r="A2643" s="21">
        <v>20073</v>
      </c>
      <c r="B2643" s="22" t="s">
        <v>20</v>
      </c>
      <c r="C2643" s="22" t="s">
        <v>20</v>
      </c>
      <c r="D2643" s="22" t="s">
        <v>8928</v>
      </c>
      <c r="E2643" s="22" t="s">
        <v>8929</v>
      </c>
      <c r="F2643" s="22">
        <v>32.046379999999999</v>
      </c>
      <c r="G2643" s="22">
        <v>44.316369999999999</v>
      </c>
      <c r="H2643" s="21" t="s">
        <v>4986</v>
      </c>
      <c r="I2643" s="21" t="s">
        <v>5084</v>
      </c>
      <c r="J2643" s="21" t="s">
        <v>5179</v>
      </c>
      <c r="K2643" s="24">
        <v>30</v>
      </c>
      <c r="L2643" s="24">
        <v>180</v>
      </c>
      <c r="M2643" s="23">
        <v>10</v>
      </c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20</v>
      </c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>
        <v>30</v>
      </c>
      <c r="AL2643" s="23"/>
      <c r="AM2643" s="23"/>
      <c r="AN2643" s="23"/>
      <c r="AO2643" s="23"/>
      <c r="AP2643" s="23">
        <v>20</v>
      </c>
      <c r="AQ2643" s="23"/>
      <c r="AR2643" s="23"/>
      <c r="AS2643" s="23">
        <v>10</v>
      </c>
      <c r="AT2643" s="23"/>
      <c r="AU2643" s="14" t="str">
        <f>HYPERLINK("http://www.openstreetmap.org/?mlat=32.0333&amp;mlon=44.3153&amp;zoom=12#map=12/32.0333/44.3153","Maplink1")</f>
        <v>Maplink1</v>
      </c>
      <c r="AV2643" s="14" t="str">
        <f>HYPERLINK("https://www.google.iq/maps/search/+32.0333,44.3153/@32.0333,44.3153,14z?hl=en","Maplink2")</f>
        <v>Maplink2</v>
      </c>
      <c r="AW2643" s="14" t="str">
        <f>HYPERLINK("http://www.bing.com/maps/?lvl=14&amp;sty=h&amp;cp=32.0333~44.3153&amp;sp=point.32.0333_44.3153_Hay aljihad 419","Maplink3")</f>
        <v>Maplink3</v>
      </c>
    </row>
    <row r="2644" spans="1:49" ht="15" customHeight="1" x14ac:dyDescent="0.25">
      <c r="A2644" s="21">
        <v>20084</v>
      </c>
      <c r="B2644" s="22" t="s">
        <v>20</v>
      </c>
      <c r="C2644" s="22" t="s">
        <v>20</v>
      </c>
      <c r="D2644" s="22" t="s">
        <v>8930</v>
      </c>
      <c r="E2644" s="22" t="s">
        <v>8931</v>
      </c>
      <c r="F2644" s="22">
        <v>32.033000000000001</v>
      </c>
      <c r="G2644" s="22">
        <v>44.315109999999997</v>
      </c>
      <c r="H2644" s="21" t="s">
        <v>4986</v>
      </c>
      <c r="I2644" s="21" t="s">
        <v>5084</v>
      </c>
      <c r="J2644" s="21" t="s">
        <v>5180</v>
      </c>
      <c r="K2644" s="24">
        <v>19</v>
      </c>
      <c r="L2644" s="24">
        <v>114</v>
      </c>
      <c r="M2644" s="23">
        <v>1</v>
      </c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18</v>
      </c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>
        <v>19</v>
      </c>
      <c r="AL2644" s="23"/>
      <c r="AM2644" s="23"/>
      <c r="AN2644" s="23"/>
      <c r="AO2644" s="23"/>
      <c r="AP2644" s="23"/>
      <c r="AQ2644" s="23">
        <v>7</v>
      </c>
      <c r="AR2644" s="23">
        <v>12</v>
      </c>
      <c r="AS2644" s="23"/>
      <c r="AT2644" s="23"/>
      <c r="AU2644" s="14" t="str">
        <f>HYPERLINK("http://www.openstreetmap.org/?mlat=32.0358&amp;mlon=44.3108&amp;zoom=12#map=12/32.0358/44.3108","Maplink1")</f>
        <v>Maplink1</v>
      </c>
      <c r="AV2644" s="14" t="str">
        <f>HYPERLINK("https://www.google.iq/maps/search/+32.0358,44.3108/@32.0358,44.3108,14z?hl=en","Maplink2")</f>
        <v>Maplink2</v>
      </c>
      <c r="AW2644" s="14" t="str">
        <f>HYPERLINK("http://www.bing.com/maps/?lvl=14&amp;sty=h&amp;cp=32.0358~44.3108&amp;sp=point.32.0358_44.3108_Hay aljihad 421","Maplink3")</f>
        <v>Maplink3</v>
      </c>
    </row>
    <row r="2645" spans="1:49" ht="15" customHeight="1" x14ac:dyDescent="0.25">
      <c r="A2645" s="21">
        <v>23132</v>
      </c>
      <c r="B2645" s="22" t="s">
        <v>20</v>
      </c>
      <c r="C2645" s="22" t="s">
        <v>20</v>
      </c>
      <c r="D2645" s="22" t="s">
        <v>8932</v>
      </c>
      <c r="E2645" s="22" t="s">
        <v>8933</v>
      </c>
      <c r="F2645" s="22">
        <v>32.025613</v>
      </c>
      <c r="G2645" s="22">
        <v>44.361350999999999</v>
      </c>
      <c r="H2645" s="21" t="s">
        <v>4986</v>
      </c>
      <c r="I2645" s="21" t="s">
        <v>5084</v>
      </c>
      <c r="J2645" s="21" t="s">
        <v>5142</v>
      </c>
      <c r="K2645" s="24">
        <v>18</v>
      </c>
      <c r="L2645" s="24">
        <v>108</v>
      </c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18</v>
      </c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>
        <v>18</v>
      </c>
      <c r="AL2645" s="23"/>
      <c r="AM2645" s="23"/>
      <c r="AN2645" s="23"/>
      <c r="AO2645" s="23"/>
      <c r="AP2645" s="23"/>
      <c r="AQ2645" s="23">
        <v>18</v>
      </c>
      <c r="AR2645" s="23"/>
      <c r="AS2645" s="23"/>
      <c r="AT2645" s="23"/>
      <c r="AU2645" s="14" t="str">
        <f>HYPERLINK("http://www.openstreetmap.org/?mlat=32.0233&amp;mlon=44.3619&amp;zoom=12#map=12/32.0233/44.3619","Maplink1")</f>
        <v>Maplink1</v>
      </c>
      <c r="AV2645" s="14" t="str">
        <f>HYPERLINK("https://www.google.iq/maps/search/+32.0233,44.3619/@32.0233,44.3619,14z?hl=en","Maplink2")</f>
        <v>Maplink2</v>
      </c>
      <c r="AW2645" s="14" t="str">
        <f>HYPERLINK("http://www.bing.com/maps/?lvl=14&amp;sty=h&amp;cp=32.0233~44.3619&amp;sp=point.32.0233_44.3619_Hay Al Adala-117","Maplink3")</f>
        <v>Maplink3</v>
      </c>
    </row>
    <row r="2646" spans="1:49" ht="15" customHeight="1" x14ac:dyDescent="0.25">
      <c r="A2646" s="21">
        <v>29620</v>
      </c>
      <c r="B2646" s="22" t="s">
        <v>20</v>
      </c>
      <c r="C2646" s="22" t="s">
        <v>20</v>
      </c>
      <c r="D2646" s="22" t="s">
        <v>8934</v>
      </c>
      <c r="E2646" s="22" t="s">
        <v>8935</v>
      </c>
      <c r="F2646" s="22">
        <v>32.331287000000003</v>
      </c>
      <c r="G2646" s="22">
        <v>44.257356000000001</v>
      </c>
      <c r="H2646" s="21" t="s">
        <v>4986</v>
      </c>
      <c r="I2646" s="21" t="s">
        <v>5084</v>
      </c>
      <c r="J2646" s="21"/>
      <c r="K2646" s="24">
        <v>141</v>
      </c>
      <c r="L2646" s="24">
        <v>846</v>
      </c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141</v>
      </c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>
        <v>101</v>
      </c>
      <c r="AK2646" s="23">
        <v>40</v>
      </c>
      <c r="AL2646" s="23"/>
      <c r="AM2646" s="23"/>
      <c r="AN2646" s="23"/>
      <c r="AO2646" s="23"/>
      <c r="AP2646" s="23">
        <v>141</v>
      </c>
      <c r="AQ2646" s="23"/>
      <c r="AR2646" s="23"/>
      <c r="AS2646" s="23"/>
      <c r="AT2646" s="23"/>
      <c r="AU2646" s="14" t="str">
        <f>HYPERLINK("http://www.openstreetmap.org/?mlat=32.3313&amp;mlon=44.2574&amp;zoom=12#map=12/32.3313/44.2574","Maplink1")</f>
        <v>Maplink1</v>
      </c>
      <c r="AV2646" s="14" t="str">
        <f>HYPERLINK("https://www.google.iq/maps/search/+32.3313,44.2574/@32.3313,44.2574,14z?hl=en","Maplink2")</f>
        <v>Maplink2</v>
      </c>
      <c r="AW2646" s="14" t="str">
        <f>HYPERLINK("http://www.bing.com/maps/?lvl=14&amp;sty=h&amp;cp=32.3313~44.2574&amp;sp=point.32.3313_44.2574","Maplink3")</f>
        <v>Maplink3</v>
      </c>
    </row>
    <row r="2647" spans="1:49" ht="15" customHeight="1" x14ac:dyDescent="0.25">
      <c r="A2647" s="21">
        <v>26015</v>
      </c>
      <c r="B2647" s="22" t="s">
        <v>20</v>
      </c>
      <c r="C2647" s="22" t="s">
        <v>20</v>
      </c>
      <c r="D2647" s="22" t="s">
        <v>5122</v>
      </c>
      <c r="E2647" s="22" t="s">
        <v>5123</v>
      </c>
      <c r="F2647" s="22">
        <v>31.996099999999998</v>
      </c>
      <c r="G2647" s="22">
        <v>44.303339999999999</v>
      </c>
      <c r="H2647" s="21" t="s">
        <v>4986</v>
      </c>
      <c r="I2647" s="21" t="s">
        <v>5084</v>
      </c>
      <c r="J2647" s="21"/>
      <c r="K2647" s="24">
        <v>68</v>
      </c>
      <c r="L2647" s="24">
        <v>408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68</v>
      </c>
      <c r="Z2647" s="23"/>
      <c r="AA2647" s="23"/>
      <c r="AB2647" s="23"/>
      <c r="AC2647" s="23"/>
      <c r="AD2647" s="23"/>
      <c r="AE2647" s="23"/>
      <c r="AF2647" s="23">
        <v>4</v>
      </c>
      <c r="AG2647" s="23"/>
      <c r="AH2647" s="23"/>
      <c r="AI2647" s="23"/>
      <c r="AJ2647" s="23"/>
      <c r="AK2647" s="23">
        <v>64</v>
      </c>
      <c r="AL2647" s="23"/>
      <c r="AM2647" s="23"/>
      <c r="AN2647" s="23"/>
      <c r="AO2647" s="23"/>
      <c r="AP2647" s="23">
        <v>6</v>
      </c>
      <c r="AQ2647" s="23">
        <v>62</v>
      </c>
      <c r="AR2647" s="23"/>
      <c r="AS2647" s="23"/>
      <c r="AT2647" s="23"/>
      <c r="AU2647" s="14" t="str">
        <f>HYPERLINK("http://www.openstreetmap.org/?mlat=31.5927&amp;mlon=44.1833&amp;zoom=12#map=12/31.5927/44.1833","Maplink1")</f>
        <v>Maplink1</v>
      </c>
      <c r="AV2647" s="14" t="str">
        <f>HYPERLINK("https://www.google.iq/maps/search/+31.5927,44.1833/@31.5927,44.1833,14z?hl=en","Maplink2")</f>
        <v>Maplink2</v>
      </c>
      <c r="AW2647" s="14" t="str">
        <f>HYPERLINK("http://www.bing.com/maps/?lvl=14&amp;sty=h&amp;cp=31.5927~44.1833&amp;sp=point.31.5927_44.1833_Al-Ameriya","Maplink3")</f>
        <v>Maplink3</v>
      </c>
    </row>
    <row r="2648" spans="1:49" ht="15" customHeight="1" x14ac:dyDescent="0.25">
      <c r="A2648" s="21">
        <v>19971</v>
      </c>
      <c r="B2648" s="22" t="s">
        <v>20</v>
      </c>
      <c r="C2648" s="22" t="s">
        <v>20</v>
      </c>
      <c r="D2648" s="22" t="s">
        <v>8936</v>
      </c>
      <c r="E2648" s="22" t="s">
        <v>1043</v>
      </c>
      <c r="F2648" s="22">
        <v>44.351578000000003</v>
      </c>
      <c r="G2648" s="22">
        <v>44.361944000000001</v>
      </c>
      <c r="H2648" s="21" t="s">
        <v>4986</v>
      </c>
      <c r="I2648" s="21" t="s">
        <v>5084</v>
      </c>
      <c r="J2648" s="21" t="s">
        <v>5168</v>
      </c>
      <c r="K2648" s="24">
        <v>59</v>
      </c>
      <c r="L2648" s="24">
        <v>354</v>
      </c>
      <c r="M2648" s="23">
        <v>9</v>
      </c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50</v>
      </c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>
        <v>5</v>
      </c>
      <c r="AK2648" s="23">
        <v>54</v>
      </c>
      <c r="AL2648" s="23"/>
      <c r="AM2648" s="23"/>
      <c r="AN2648" s="23"/>
      <c r="AO2648" s="23">
        <v>9</v>
      </c>
      <c r="AP2648" s="23">
        <v>50</v>
      </c>
      <c r="AQ2648" s="23"/>
      <c r="AR2648" s="23"/>
      <c r="AS2648" s="23"/>
      <c r="AT2648" s="23"/>
      <c r="AU2648" s="14" t="str">
        <f>HYPERLINK("http://www.openstreetmap.org/?mlat=31.9872&amp;mlon=44.3619&amp;zoom=12#map=12/31.9872/44.3619","Maplink1")</f>
        <v>Maplink1</v>
      </c>
      <c r="AV2648" s="14" t="str">
        <f>HYPERLINK("https://www.google.iq/maps/search/+31.9872,44.3619/@31.9872,44.3619,14z?hl=en","Maplink2")</f>
        <v>Maplink2</v>
      </c>
      <c r="AW2648" s="14" t="str">
        <f>HYPERLINK("http://www.bing.com/maps/?lvl=14&amp;sty=h&amp;cp=31.9872~44.3619&amp;sp=point.31.9872_44.3619_Hay alansar 124","Maplink3")</f>
        <v>Maplink3</v>
      </c>
    </row>
    <row r="2649" spans="1:49" ht="15" customHeight="1" x14ac:dyDescent="0.25">
      <c r="A2649" s="21">
        <v>25943</v>
      </c>
      <c r="B2649" s="22" t="s">
        <v>20</v>
      </c>
      <c r="C2649" s="22" t="s">
        <v>20</v>
      </c>
      <c r="D2649" s="22" t="s">
        <v>5124</v>
      </c>
      <c r="E2649" s="22" t="s">
        <v>5125</v>
      </c>
      <c r="F2649" s="22">
        <v>31.978721</v>
      </c>
      <c r="G2649" s="22">
        <v>44.331994000000002</v>
      </c>
      <c r="H2649" s="21" t="s">
        <v>4986</v>
      </c>
      <c r="I2649" s="21" t="s">
        <v>5084</v>
      </c>
      <c r="J2649" s="21"/>
      <c r="K2649" s="24">
        <v>6</v>
      </c>
      <c r="L2649" s="24">
        <v>36</v>
      </c>
      <c r="M2649" s="23">
        <v>6</v>
      </c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>
        <v>6</v>
      </c>
      <c r="AL2649" s="23"/>
      <c r="AM2649" s="23"/>
      <c r="AN2649" s="23"/>
      <c r="AO2649" s="23"/>
      <c r="AP2649" s="23"/>
      <c r="AQ2649" s="23"/>
      <c r="AR2649" s="23"/>
      <c r="AS2649" s="23">
        <v>6</v>
      </c>
      <c r="AT2649" s="23"/>
      <c r="AU2649" s="14" t="str">
        <f>HYPERLINK("http://www.openstreetmap.org/?mlat=32.0614&amp;mlon=44.0306&amp;zoom=12#map=12/32.0614/44.0306","Maplink1")</f>
        <v>Maplink1</v>
      </c>
      <c r="AV2649" s="14" t="str">
        <f>HYPERLINK("https://www.google.iq/maps/search/+32.0614,44.0306/@32.0614,44.0306,14z?hl=en","Maplink2")</f>
        <v>Maplink2</v>
      </c>
      <c r="AW2649" s="14" t="str">
        <f>HYPERLINK("http://www.bing.com/maps/?lvl=14&amp;sty=h&amp;cp=32.0614~44.0306&amp;sp=point.32.0614_44.0306_Al-Fao","Maplink3")</f>
        <v>Maplink3</v>
      </c>
    </row>
    <row r="2650" spans="1:49" ht="15" customHeight="1" x14ac:dyDescent="0.25">
      <c r="A2650" s="21">
        <v>26016</v>
      </c>
      <c r="B2650" s="22" t="s">
        <v>20</v>
      </c>
      <c r="C2650" s="22" t="s">
        <v>20</v>
      </c>
      <c r="D2650" s="22" t="s">
        <v>5126</v>
      </c>
      <c r="E2650" s="22" t="s">
        <v>5127</v>
      </c>
      <c r="F2650" s="22">
        <v>31.94089</v>
      </c>
      <c r="G2650" s="22">
        <v>44.432360000000003</v>
      </c>
      <c r="H2650" s="21" t="s">
        <v>4986</v>
      </c>
      <c r="I2650" s="21" t="s">
        <v>5084</v>
      </c>
      <c r="J2650" s="21"/>
      <c r="K2650" s="24">
        <v>2</v>
      </c>
      <c r="L2650" s="24">
        <v>12</v>
      </c>
      <c r="M2650" s="23">
        <v>2</v>
      </c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>
        <v>2</v>
      </c>
      <c r="AL2650" s="23"/>
      <c r="AM2650" s="23"/>
      <c r="AN2650" s="23"/>
      <c r="AO2650" s="23"/>
      <c r="AP2650" s="23"/>
      <c r="AQ2650" s="23"/>
      <c r="AR2650" s="23"/>
      <c r="AS2650" s="23">
        <v>2</v>
      </c>
      <c r="AT2650" s="23"/>
      <c r="AU2650" s="14" t="str">
        <f>HYPERLINK("http://www.openstreetmap.org/?mlat=31.5487&amp;mlon=44.1421&amp;zoom=12#map=12/31.5487/44.1421","Maplink1")</f>
        <v>Maplink1</v>
      </c>
      <c r="AV2650" s="14" t="str">
        <f>HYPERLINK("https://www.google.iq/maps/search/+31.5487,44.1421/@31.5487,44.1421,14z?hl=en","Maplink2")</f>
        <v>Maplink2</v>
      </c>
      <c r="AW2650" s="14" t="str">
        <f>HYPERLINK("http://www.bing.com/maps/?lvl=14&amp;sty=h&amp;cp=31.5487~44.1421&amp;sp=point.31.5487_44.1421_Al-Ghazalat Village","Maplink3")</f>
        <v>Maplink3</v>
      </c>
    </row>
    <row r="2651" spans="1:49" ht="15" customHeight="1" x14ac:dyDescent="0.25">
      <c r="A2651" s="21">
        <v>29623</v>
      </c>
      <c r="B2651" s="22" t="s">
        <v>20</v>
      </c>
      <c r="C2651" s="22" t="s">
        <v>20</v>
      </c>
      <c r="D2651" s="22" t="s">
        <v>8937</v>
      </c>
      <c r="E2651" s="22" t="s">
        <v>8938</v>
      </c>
      <c r="F2651" s="22">
        <v>32.157507000000003</v>
      </c>
      <c r="G2651" s="22">
        <v>44.318942999999997</v>
      </c>
      <c r="H2651" s="21" t="s">
        <v>4986</v>
      </c>
      <c r="I2651" s="21" t="s">
        <v>5084</v>
      </c>
      <c r="J2651" s="21"/>
      <c r="K2651" s="24">
        <v>3390</v>
      </c>
      <c r="L2651" s="24">
        <v>20340</v>
      </c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>
        <v>3390</v>
      </c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>
        <v>3390</v>
      </c>
      <c r="AK2651" s="23"/>
      <c r="AL2651" s="23"/>
      <c r="AM2651" s="23"/>
      <c r="AN2651" s="23"/>
      <c r="AO2651" s="23"/>
      <c r="AP2651" s="23">
        <v>3000</v>
      </c>
      <c r="AQ2651" s="23">
        <v>390</v>
      </c>
      <c r="AR2651" s="23"/>
      <c r="AS2651" s="23"/>
      <c r="AT2651" s="23"/>
      <c r="AU2651" s="14" t="str">
        <f>HYPERLINK("http://www.openstreetmap.org/?mlat=32.1575&amp;mlon=44.3189&amp;zoom=12#map=12/32.1575/44.3189","Maplink1")</f>
        <v>Maplink1</v>
      </c>
      <c r="AV2651" s="14" t="str">
        <f>HYPERLINK("https://www.google.iq/maps/search/+32.1575,44.3189/@32.1575,44.3189,14z?hl=en","Maplink2")</f>
        <v>Maplink2</v>
      </c>
      <c r="AW2651" s="14" t="str">
        <f>HYPERLINK("http://www.bing.com/maps/?lvl=14&amp;sty=h&amp;cp=32.1575~44.3189&amp;sp=point.32.1575_44.3189","Maplink3")</f>
        <v>Maplink3</v>
      </c>
    </row>
    <row r="2652" spans="1:49" ht="15" customHeight="1" x14ac:dyDescent="0.25">
      <c r="A2652" s="21">
        <v>29619</v>
      </c>
      <c r="B2652" s="22" t="s">
        <v>20</v>
      </c>
      <c r="C2652" s="22" t="s">
        <v>20</v>
      </c>
      <c r="D2652" s="22" t="s">
        <v>8939</v>
      </c>
      <c r="E2652" s="22" t="s">
        <v>8940</v>
      </c>
      <c r="F2652" s="22">
        <v>32.260981000000001</v>
      </c>
      <c r="G2652" s="22">
        <v>44.284087999999997</v>
      </c>
      <c r="H2652" s="21" t="s">
        <v>4986</v>
      </c>
      <c r="I2652" s="21" t="s">
        <v>5084</v>
      </c>
      <c r="J2652" s="21"/>
      <c r="K2652" s="24">
        <v>800</v>
      </c>
      <c r="L2652" s="24">
        <v>4800</v>
      </c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>
        <v>800</v>
      </c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>
        <v>790</v>
      </c>
      <c r="AK2652" s="23">
        <v>10</v>
      </c>
      <c r="AL2652" s="23"/>
      <c r="AM2652" s="23"/>
      <c r="AN2652" s="23"/>
      <c r="AO2652" s="23"/>
      <c r="AP2652" s="23">
        <v>800</v>
      </c>
      <c r="AQ2652" s="23"/>
      <c r="AR2652" s="23"/>
      <c r="AS2652" s="23"/>
      <c r="AT2652" s="23"/>
      <c r="AU2652" s="14" t="str">
        <f>HYPERLINK("http://www.openstreetmap.org/?mlat=32.261&amp;mlon=44.2841&amp;zoom=12#map=12/32.261/44.2841","Maplink1")</f>
        <v>Maplink1</v>
      </c>
      <c r="AV2652" s="14" t="str">
        <f>HYPERLINK("https://www.google.iq/maps/search/+32.261,44.2841/@32.261,44.2841,14z?hl=en","Maplink2")</f>
        <v>Maplink2</v>
      </c>
      <c r="AW2652" s="14" t="str">
        <f>HYPERLINK("http://www.bing.com/maps/?lvl=14&amp;sty=h&amp;cp=32.261~44.2841&amp;sp=point.32.261_44.2841","Maplink3")</f>
        <v>Maplink3</v>
      </c>
    </row>
    <row r="2653" spans="1:49" ht="15" customHeight="1" x14ac:dyDescent="0.25">
      <c r="A2653" s="21">
        <v>25977</v>
      </c>
      <c r="B2653" s="22" t="s">
        <v>20</v>
      </c>
      <c r="C2653" s="22" t="s">
        <v>20</v>
      </c>
      <c r="D2653" s="22" t="s">
        <v>5128</v>
      </c>
      <c r="E2653" s="22" t="s">
        <v>5129</v>
      </c>
      <c r="F2653" s="22">
        <v>32.062662000000003</v>
      </c>
      <c r="G2653" s="22">
        <v>44.311770000000003</v>
      </c>
      <c r="H2653" s="21" t="s">
        <v>4986</v>
      </c>
      <c r="I2653" s="21" t="s">
        <v>5084</v>
      </c>
      <c r="J2653" s="21"/>
      <c r="K2653" s="24">
        <v>6</v>
      </c>
      <c r="L2653" s="24">
        <v>36</v>
      </c>
      <c r="M2653" s="23">
        <v>1</v>
      </c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5</v>
      </c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>
        <v>6</v>
      </c>
      <c r="AL2653" s="23"/>
      <c r="AM2653" s="23"/>
      <c r="AN2653" s="23"/>
      <c r="AO2653" s="23"/>
      <c r="AP2653" s="23">
        <v>5</v>
      </c>
      <c r="AQ2653" s="23"/>
      <c r="AR2653" s="23"/>
      <c r="AS2653" s="23">
        <v>1</v>
      </c>
      <c r="AT2653" s="23"/>
      <c r="AU2653" s="14" t="str">
        <f>HYPERLINK("http://www.openstreetmap.org/?mlat=32.0607&amp;mlon=44.3068&amp;zoom=12#map=12/32.0607/44.3068","Maplink1")</f>
        <v>Maplink1</v>
      </c>
      <c r="AV2653" s="14" t="str">
        <f>HYPERLINK("https://www.google.iq/maps/search/+32.0607,44.3068/@32.0607,44.3068,14z?hl=en","Maplink2")</f>
        <v>Maplink2</v>
      </c>
      <c r="AW2653" s="14" t="str">
        <f>HYPERLINK("http://www.bing.com/maps/?lvl=14&amp;sty=h&amp;cp=32.0607~44.3068&amp;sp=point.32.0607_44.3068_Al-Nidaa","Maplink3")</f>
        <v>Maplink3</v>
      </c>
    </row>
    <row r="2654" spans="1:49" ht="15" customHeight="1" x14ac:dyDescent="0.25">
      <c r="A2654" s="21">
        <v>20341</v>
      </c>
      <c r="B2654" s="22" t="s">
        <v>20</v>
      </c>
      <c r="C2654" s="22" t="s">
        <v>20</v>
      </c>
      <c r="D2654" s="22" t="s">
        <v>8941</v>
      </c>
      <c r="E2654" s="22" t="s">
        <v>8942</v>
      </c>
      <c r="F2654" s="22">
        <v>32.286172999999998</v>
      </c>
      <c r="G2654" s="22">
        <v>44.279331999999997</v>
      </c>
      <c r="H2654" s="21" t="s">
        <v>4986</v>
      </c>
      <c r="I2654" s="21" t="s">
        <v>5084</v>
      </c>
      <c r="J2654" s="21" t="s">
        <v>8943</v>
      </c>
      <c r="K2654" s="24">
        <v>225</v>
      </c>
      <c r="L2654" s="24">
        <v>1350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225</v>
      </c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>
        <v>225</v>
      </c>
      <c r="AK2654" s="23"/>
      <c r="AL2654" s="23"/>
      <c r="AM2654" s="23"/>
      <c r="AN2654" s="23"/>
      <c r="AO2654" s="23"/>
      <c r="AP2654" s="23">
        <v>225</v>
      </c>
      <c r="AQ2654" s="23"/>
      <c r="AR2654" s="23"/>
      <c r="AS2654" s="23"/>
      <c r="AT2654" s="23"/>
      <c r="AU2654" s="14" t="str">
        <f>HYPERLINK("http://www.openstreetmap.org/?mlat=32.2862&amp;mlon=44.2793&amp;zoom=12#map=12/32.2862/44.2793","Maplink1")</f>
        <v>Maplink1</v>
      </c>
      <c r="AV2654" s="14" t="str">
        <f>HYPERLINK("https://www.google.iq/maps/search/+32.2862,44.2793/@32.2862,44.2793,14z?hl=en","Maplink2")</f>
        <v>Maplink2</v>
      </c>
      <c r="AW2654" s="14" t="str">
        <f>HYPERLINK("http://www.bing.com/maps/?lvl=14&amp;sty=h&amp;cp=32.2862~44.2793&amp;sp=point.32.2862_44.2793","Maplink3")</f>
        <v>Maplink3</v>
      </c>
    </row>
    <row r="2655" spans="1:49" ht="15" customHeight="1" x14ac:dyDescent="0.25">
      <c r="A2655" s="21">
        <v>23747</v>
      </c>
      <c r="B2655" s="22" t="s">
        <v>20</v>
      </c>
      <c r="C2655" s="22" t="s">
        <v>20</v>
      </c>
      <c r="D2655" s="22" t="s">
        <v>8944</v>
      </c>
      <c r="E2655" s="22" t="s">
        <v>8945</v>
      </c>
      <c r="F2655" s="22">
        <v>32.05556</v>
      </c>
      <c r="G2655" s="22">
        <v>44.313229999999997</v>
      </c>
      <c r="H2655" s="21" t="s">
        <v>4986</v>
      </c>
      <c r="I2655" s="21" t="s">
        <v>5084</v>
      </c>
      <c r="J2655" s="21" t="s">
        <v>5101</v>
      </c>
      <c r="K2655" s="24">
        <v>55</v>
      </c>
      <c r="L2655" s="24">
        <v>330</v>
      </c>
      <c r="M2655" s="23">
        <v>12</v>
      </c>
      <c r="N2655" s="23"/>
      <c r="O2655" s="23"/>
      <c r="P2655" s="23"/>
      <c r="Q2655" s="23"/>
      <c r="R2655" s="23"/>
      <c r="S2655" s="23"/>
      <c r="T2655" s="23"/>
      <c r="U2655" s="23">
        <v>3</v>
      </c>
      <c r="V2655" s="23"/>
      <c r="W2655" s="23"/>
      <c r="X2655" s="23"/>
      <c r="Y2655" s="23">
        <v>40</v>
      </c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>
        <v>55</v>
      </c>
      <c r="AL2655" s="23"/>
      <c r="AM2655" s="23"/>
      <c r="AN2655" s="23"/>
      <c r="AO2655" s="23">
        <v>40</v>
      </c>
      <c r="AP2655" s="23"/>
      <c r="AQ2655" s="23"/>
      <c r="AR2655" s="23">
        <v>3</v>
      </c>
      <c r="AS2655" s="23">
        <v>12</v>
      </c>
      <c r="AT2655" s="23"/>
      <c r="AU2655" s="14" t="str">
        <f>HYPERLINK("http://www.openstreetmap.org/?mlat=32.049&amp;mlon=44.3168&amp;zoom=12#map=12/32.049/44.3168","Maplink1")</f>
        <v>Maplink1</v>
      </c>
      <c r="AV2655" s="14" t="str">
        <f>HYPERLINK("https://www.google.iq/maps/search/+32.049,44.3168/@32.049,44.3168,14z?hl=en","Maplink2")</f>
        <v>Maplink2</v>
      </c>
      <c r="AW2655" s="14" t="str">
        <f>HYPERLINK("http://www.bing.com/maps/?lvl=14&amp;sty=h&amp;cp=32.049~44.3168&amp;sp=point.32.049_44.3168_Al Qasim-403","Maplink3")</f>
        <v>Maplink3</v>
      </c>
    </row>
    <row r="2656" spans="1:49" ht="15" customHeight="1" x14ac:dyDescent="0.25">
      <c r="A2656" s="21">
        <v>20128</v>
      </c>
      <c r="B2656" s="22" t="s">
        <v>20</v>
      </c>
      <c r="C2656" s="22" t="s">
        <v>20</v>
      </c>
      <c r="D2656" s="22" t="s">
        <v>8946</v>
      </c>
      <c r="E2656" s="22" t="s">
        <v>8947</v>
      </c>
      <c r="F2656" s="22">
        <v>32.048380000000002</v>
      </c>
      <c r="G2656" s="22">
        <v>44.313139999999997</v>
      </c>
      <c r="H2656" s="21" t="s">
        <v>4986</v>
      </c>
      <c r="I2656" s="21" t="s">
        <v>5084</v>
      </c>
      <c r="J2656" s="21" t="s">
        <v>5181</v>
      </c>
      <c r="K2656" s="24">
        <v>80</v>
      </c>
      <c r="L2656" s="24">
        <v>480</v>
      </c>
      <c r="M2656" s="23">
        <v>4</v>
      </c>
      <c r="N2656" s="23"/>
      <c r="O2656" s="23"/>
      <c r="P2656" s="23"/>
      <c r="Q2656" s="23"/>
      <c r="R2656" s="23">
        <v>1</v>
      </c>
      <c r="S2656" s="23"/>
      <c r="T2656" s="23"/>
      <c r="U2656" s="23"/>
      <c r="V2656" s="23"/>
      <c r="W2656" s="23"/>
      <c r="X2656" s="23"/>
      <c r="Y2656" s="23">
        <v>75</v>
      </c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>
        <v>80</v>
      </c>
      <c r="AL2656" s="23"/>
      <c r="AM2656" s="23"/>
      <c r="AN2656" s="23"/>
      <c r="AO2656" s="23"/>
      <c r="AP2656" s="23"/>
      <c r="AQ2656" s="23">
        <v>75</v>
      </c>
      <c r="AR2656" s="23">
        <v>5</v>
      </c>
      <c r="AS2656" s="23"/>
      <c r="AT2656" s="23"/>
      <c r="AU2656" s="14" t="str">
        <f>HYPERLINK("http://www.openstreetmap.org/?mlat=32.0511&amp;mlon=44.3133&amp;zoom=12#map=12/32.0511/44.3133","Maplink1")</f>
        <v>Maplink1</v>
      </c>
      <c r="AV2656" s="14" t="str">
        <f>HYPERLINK("https://www.google.iq/maps/search/+32.0511,44.3133/@32.0511,44.3133,14z?hl=en","Maplink2")</f>
        <v>Maplink2</v>
      </c>
      <c r="AW2656" s="14" t="str">
        <f>HYPERLINK("http://www.bing.com/maps/?lvl=14&amp;sty=h&amp;cp=32.0511~44.3133&amp;sp=point.32.0511_44.3133_Hay alqasim 405","Maplink3")</f>
        <v>Maplink3</v>
      </c>
    </row>
    <row r="2657" spans="1:49" ht="15" customHeight="1" x14ac:dyDescent="0.25">
      <c r="A2657" s="21">
        <v>23748</v>
      </c>
      <c r="B2657" s="22" t="s">
        <v>20</v>
      </c>
      <c r="C2657" s="22" t="s">
        <v>20</v>
      </c>
      <c r="D2657" s="22" t="s">
        <v>8948</v>
      </c>
      <c r="E2657" s="22" t="s">
        <v>8949</v>
      </c>
      <c r="F2657" s="22">
        <v>32.04224</v>
      </c>
      <c r="G2657" s="22">
        <v>44.324570000000001</v>
      </c>
      <c r="H2657" s="21" t="s">
        <v>4986</v>
      </c>
      <c r="I2657" s="21" t="s">
        <v>5084</v>
      </c>
      <c r="J2657" s="21" t="s">
        <v>5167</v>
      </c>
      <c r="K2657" s="24">
        <v>50</v>
      </c>
      <c r="L2657" s="24">
        <v>300</v>
      </c>
      <c r="M2657" s="23">
        <v>2</v>
      </c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48</v>
      </c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>
        <v>50</v>
      </c>
      <c r="AL2657" s="23"/>
      <c r="AM2657" s="23"/>
      <c r="AN2657" s="23"/>
      <c r="AO2657" s="23">
        <v>2</v>
      </c>
      <c r="AP2657" s="23">
        <v>32</v>
      </c>
      <c r="AQ2657" s="23"/>
      <c r="AR2657" s="23">
        <v>16</v>
      </c>
      <c r="AS2657" s="23"/>
      <c r="AT2657" s="23"/>
      <c r="AU2657" s="14" t="str">
        <f>HYPERLINK("http://www.openstreetmap.org/?mlat=32.0371&amp;mlon=44.3297&amp;zoom=12#map=12/32.0371/44.3297","Maplink1")</f>
        <v>Maplink1</v>
      </c>
      <c r="AV2657" s="14" t="str">
        <f>HYPERLINK("https://www.google.iq/maps/search/+32.0371,44.3297/@32.0371,44.3297,14z?hl=en","Maplink2")</f>
        <v>Maplink2</v>
      </c>
      <c r="AW2657" s="14" t="str">
        <f>HYPERLINK("http://www.bing.com/maps/?lvl=14&amp;sty=h&amp;cp=32.0371~44.3297&amp;sp=point.32.0371_44.3297_Hay Al-Risala-312","Maplink3")</f>
        <v>Maplink3</v>
      </c>
    </row>
    <row r="2658" spans="1:49" ht="15" customHeight="1" x14ac:dyDescent="0.25">
      <c r="A2658" s="21">
        <v>21574</v>
      </c>
      <c r="B2658" s="22" t="s">
        <v>20</v>
      </c>
      <c r="C2658" s="22" t="s">
        <v>20</v>
      </c>
      <c r="D2658" s="22" t="s">
        <v>8950</v>
      </c>
      <c r="E2658" s="22" t="s">
        <v>8951</v>
      </c>
      <c r="F2658" s="22">
        <v>32.064709999999998</v>
      </c>
      <c r="G2658" s="22">
        <v>44.324770000000001</v>
      </c>
      <c r="H2658" s="21" t="s">
        <v>4986</v>
      </c>
      <c r="I2658" s="21" t="s">
        <v>5084</v>
      </c>
      <c r="J2658" s="21" t="s">
        <v>5155</v>
      </c>
      <c r="K2658" s="24">
        <v>47</v>
      </c>
      <c r="L2658" s="24">
        <v>282</v>
      </c>
      <c r="M2658" s="23">
        <v>3</v>
      </c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44</v>
      </c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>
        <v>9</v>
      </c>
      <c r="AK2658" s="23">
        <v>38</v>
      </c>
      <c r="AL2658" s="23"/>
      <c r="AM2658" s="23"/>
      <c r="AN2658" s="23"/>
      <c r="AO2658" s="23">
        <v>3</v>
      </c>
      <c r="AP2658" s="23">
        <v>44</v>
      </c>
      <c r="AQ2658" s="23"/>
      <c r="AR2658" s="23"/>
      <c r="AS2658" s="23"/>
      <c r="AT2658" s="23"/>
      <c r="AU2658" s="14" t="str">
        <f>HYPERLINK("http://www.openstreetmap.org/?mlat=32.0583&amp;mlon=44.3295&amp;zoom=12#map=12/32.0583/44.3295","Maplink1")</f>
        <v>Maplink1</v>
      </c>
      <c r="AV2658" s="14" t="str">
        <f>HYPERLINK("https://www.google.iq/maps/search/+32.0583,44.3295/@32.0583,44.3295,14z?hl=en","Maplink2")</f>
        <v>Maplink2</v>
      </c>
      <c r="AW2658" s="14" t="str">
        <f>HYPERLINK("http://www.bing.com/maps/?lvl=14&amp;sty=h&amp;cp=32.0583~44.3295&amp;sp=point.32.0583_44.3295_Hay Al shaheed Al Sader 302","Maplink3")</f>
        <v>Maplink3</v>
      </c>
    </row>
    <row r="2659" spans="1:49" ht="15" customHeight="1" x14ac:dyDescent="0.25">
      <c r="A2659" s="21">
        <v>20141</v>
      </c>
      <c r="B2659" s="22" t="s">
        <v>20</v>
      </c>
      <c r="C2659" s="22" t="s">
        <v>20</v>
      </c>
      <c r="D2659" s="22" t="s">
        <v>8952</v>
      </c>
      <c r="E2659" s="22" t="s">
        <v>8953</v>
      </c>
      <c r="F2659" s="22">
        <v>32.065600000000003</v>
      </c>
      <c r="G2659" s="22">
        <v>44.32752</v>
      </c>
      <c r="H2659" s="21" t="s">
        <v>4986</v>
      </c>
      <c r="I2659" s="21" t="s">
        <v>5084</v>
      </c>
      <c r="J2659" s="21" t="s">
        <v>5185</v>
      </c>
      <c r="K2659" s="24">
        <v>17</v>
      </c>
      <c r="L2659" s="24">
        <v>102</v>
      </c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17</v>
      </c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/>
      <c r="AK2659" s="23">
        <v>17</v>
      </c>
      <c r="AL2659" s="23"/>
      <c r="AM2659" s="23"/>
      <c r="AN2659" s="23"/>
      <c r="AO2659" s="23"/>
      <c r="AP2659" s="23"/>
      <c r="AQ2659" s="23">
        <v>17</v>
      </c>
      <c r="AR2659" s="23"/>
      <c r="AS2659" s="23"/>
      <c r="AT2659" s="23"/>
      <c r="AU2659" s="14" t="str">
        <f>HYPERLINK("http://www.openstreetmap.org/?mlat=32.055&amp;mlon=44.3275&amp;zoom=12#map=12/32.055/44.3275","Maplink1")</f>
        <v>Maplink1</v>
      </c>
      <c r="AV2659" s="14" t="str">
        <f>HYPERLINK("https://www.google.iq/maps/search/+32.055,44.3275/@32.055,44.3275,14z?hl=en","Maplink2")</f>
        <v>Maplink2</v>
      </c>
      <c r="AW2659" s="14" t="str">
        <f>HYPERLINK("http://www.bing.com/maps/?lvl=14&amp;sty=h&amp;cp=32.055~44.3275&amp;sp=point.32.055_44.3275_Hay alshahied alsader 304","Maplink3")</f>
        <v>Maplink3</v>
      </c>
    </row>
    <row r="2660" spans="1:49" ht="15" customHeight="1" x14ac:dyDescent="0.25">
      <c r="A2660" s="21">
        <v>20137</v>
      </c>
      <c r="B2660" s="22" t="s">
        <v>20</v>
      </c>
      <c r="C2660" s="22" t="s">
        <v>20</v>
      </c>
      <c r="D2660" s="22" t="s">
        <v>8954</v>
      </c>
      <c r="E2660" s="22" t="s">
        <v>8955</v>
      </c>
      <c r="F2660" s="22">
        <v>32.06626</v>
      </c>
      <c r="G2660" s="22">
        <v>44.329819999999998</v>
      </c>
      <c r="H2660" s="21" t="s">
        <v>4986</v>
      </c>
      <c r="I2660" s="21" t="s">
        <v>5084</v>
      </c>
      <c r="J2660" s="21" t="s">
        <v>5186</v>
      </c>
      <c r="K2660" s="24">
        <v>22</v>
      </c>
      <c r="L2660" s="24">
        <v>132</v>
      </c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22</v>
      </c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>
        <v>22</v>
      </c>
      <c r="AK2660" s="23"/>
      <c r="AL2660" s="23"/>
      <c r="AM2660" s="23"/>
      <c r="AN2660" s="23"/>
      <c r="AO2660" s="23"/>
      <c r="AP2660" s="23"/>
      <c r="AQ2660" s="23">
        <v>22</v>
      </c>
      <c r="AR2660" s="23"/>
      <c r="AS2660" s="23"/>
      <c r="AT2660" s="23"/>
      <c r="AU2660" s="14" t="str">
        <f>HYPERLINK("http://www.openstreetmap.org/?mlat=32.0525&amp;mlon=44.3264&amp;zoom=12#map=12/32.0525/44.3264","Maplink1")</f>
        <v>Maplink1</v>
      </c>
      <c r="AV2660" s="14" t="str">
        <f>HYPERLINK("https://www.google.iq/maps/search/+32.0525,44.3264/@32.0525,44.3264,14z?hl=en","Maplink2")</f>
        <v>Maplink2</v>
      </c>
      <c r="AW2660" s="14" t="str">
        <f>HYPERLINK("http://www.bing.com/maps/?lvl=14&amp;sty=h&amp;cp=32.0525~44.3264&amp;sp=point.32.0525_44.3264_Hay alshahied alsader 308","Maplink3")</f>
        <v>Maplink3</v>
      </c>
    </row>
    <row r="2661" spans="1:49" ht="15" customHeight="1" x14ac:dyDescent="0.25">
      <c r="A2661" s="21">
        <v>24429</v>
      </c>
      <c r="B2661" s="22" t="s">
        <v>20</v>
      </c>
      <c r="C2661" s="22" t="s">
        <v>20</v>
      </c>
      <c r="D2661" s="22" t="s">
        <v>8956</v>
      </c>
      <c r="E2661" s="22" t="s">
        <v>8957</v>
      </c>
      <c r="F2661" s="22">
        <v>32.063200000000002</v>
      </c>
      <c r="G2661" s="22">
        <v>44.328189999999999</v>
      </c>
      <c r="H2661" s="21" t="s">
        <v>4986</v>
      </c>
      <c r="I2661" s="21" t="s">
        <v>5084</v>
      </c>
      <c r="J2661" s="21"/>
      <c r="K2661" s="24">
        <v>70</v>
      </c>
      <c r="L2661" s="24">
        <v>420</v>
      </c>
      <c r="M2661" s="23">
        <v>6</v>
      </c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64</v>
      </c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>
        <v>69</v>
      </c>
      <c r="AL2661" s="23"/>
      <c r="AM2661" s="23">
        <v>1</v>
      </c>
      <c r="AN2661" s="23"/>
      <c r="AO2661" s="23"/>
      <c r="AP2661" s="23"/>
      <c r="AQ2661" s="23">
        <v>64</v>
      </c>
      <c r="AR2661" s="23">
        <v>6</v>
      </c>
      <c r="AS2661" s="23"/>
      <c r="AT2661" s="23"/>
      <c r="AU2661" s="14" t="str">
        <f>HYPERLINK("http://www.openstreetmap.org/?mlat=32.0702&amp;mlon=44.3226&amp;zoom=12#map=12/32.0702/44.3226","Maplink1")</f>
        <v>Maplink1</v>
      </c>
      <c r="AV2661" s="14" t="str">
        <f>HYPERLINK("https://www.google.iq/maps/search/+32.0702,44.3226/@32.0702,44.3226,14z?hl=en","Maplink2")</f>
        <v>Maplink2</v>
      </c>
      <c r="AW2661" s="14" t="str">
        <f>HYPERLINK("http://www.bing.com/maps/?lvl=14&amp;sty=h&amp;cp=32.0702~44.3226&amp;sp=point.32.0702_44.3226_Al Shahid Al Sader 306","Maplink3")</f>
        <v>Maplink3</v>
      </c>
    </row>
    <row r="2662" spans="1:49" ht="15" customHeight="1" x14ac:dyDescent="0.25">
      <c r="A2662" s="21">
        <v>22937</v>
      </c>
      <c r="B2662" s="22" t="s">
        <v>20</v>
      </c>
      <c r="C2662" s="22" t="s">
        <v>20</v>
      </c>
      <c r="D2662" s="22" t="s">
        <v>8958</v>
      </c>
      <c r="E2662" s="22" t="s">
        <v>8959</v>
      </c>
      <c r="F2662" s="22">
        <v>32.040219999999998</v>
      </c>
      <c r="G2662" s="22">
        <v>44.336309999999997</v>
      </c>
      <c r="H2662" s="21" t="s">
        <v>4986</v>
      </c>
      <c r="I2662" s="21" t="s">
        <v>5084</v>
      </c>
      <c r="J2662" s="21" t="s">
        <v>5156</v>
      </c>
      <c r="K2662" s="24">
        <v>5</v>
      </c>
      <c r="L2662" s="24">
        <v>30</v>
      </c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5</v>
      </c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>
        <v>5</v>
      </c>
      <c r="AL2662" s="23"/>
      <c r="AM2662" s="23"/>
      <c r="AN2662" s="23"/>
      <c r="AO2662" s="23"/>
      <c r="AP2662" s="23"/>
      <c r="AQ2662" s="23">
        <v>5</v>
      </c>
      <c r="AR2662" s="23"/>
      <c r="AS2662" s="23"/>
      <c r="AT2662" s="23"/>
      <c r="AU2662" s="14" t="str">
        <f>HYPERLINK("http://www.openstreetmap.org/?mlat=32.0431&amp;mlon=44.3354&amp;zoom=12#map=12/32.0431/44.3354","Maplink1")</f>
        <v>Maplink1</v>
      </c>
      <c r="AV2662" s="14" t="str">
        <f>HYPERLINK("https://www.google.iq/maps/search/+32.0431,44.3354/@32.0431,44.3354,14z?hl=en","Maplink2")</f>
        <v>Maplink2</v>
      </c>
      <c r="AW2662" s="14" t="str">
        <f>HYPERLINK("http://www.bing.com/maps/?lvl=14&amp;sty=h&amp;cp=32.0431~44.3354&amp;sp=point.32.0431_44.3354_Hay Al Urooba-320","Maplink3")</f>
        <v>Maplink3</v>
      </c>
    </row>
    <row r="2663" spans="1:49" ht="15" customHeight="1" x14ac:dyDescent="0.25">
      <c r="A2663" s="21">
        <v>22938</v>
      </c>
      <c r="B2663" s="22" t="s">
        <v>20</v>
      </c>
      <c r="C2663" s="22" t="s">
        <v>20</v>
      </c>
      <c r="D2663" s="22" t="s">
        <v>8960</v>
      </c>
      <c r="E2663" s="22" t="s">
        <v>8961</v>
      </c>
      <c r="F2663" s="22">
        <v>32.045560000000002</v>
      </c>
      <c r="G2663" s="22">
        <v>44.336919999999999</v>
      </c>
      <c r="H2663" s="21" t="s">
        <v>4986</v>
      </c>
      <c r="I2663" s="21" t="s">
        <v>5084</v>
      </c>
      <c r="J2663" s="21" t="s">
        <v>5157</v>
      </c>
      <c r="K2663" s="24">
        <v>22</v>
      </c>
      <c r="L2663" s="24">
        <v>132</v>
      </c>
      <c r="M2663" s="23">
        <v>5</v>
      </c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17</v>
      </c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>
        <v>22</v>
      </c>
      <c r="AL2663" s="23"/>
      <c r="AM2663" s="23"/>
      <c r="AN2663" s="23"/>
      <c r="AO2663" s="23">
        <v>5</v>
      </c>
      <c r="AP2663" s="23"/>
      <c r="AQ2663" s="23">
        <v>17</v>
      </c>
      <c r="AR2663" s="23"/>
      <c r="AS2663" s="23"/>
      <c r="AT2663" s="23"/>
      <c r="AU2663" s="14" t="str">
        <f>HYPERLINK("http://www.openstreetmap.org/?mlat=32.0454&amp;mlon=44.3391&amp;zoom=12#map=12/32.0454/44.3391","Maplink1")</f>
        <v>Maplink1</v>
      </c>
      <c r="AV2663" s="14" t="str">
        <f>HYPERLINK("https://www.google.iq/maps/search/+32.0454,44.3391/@32.0454,44.3391,14z?hl=en","Maplink2")</f>
        <v>Maplink2</v>
      </c>
      <c r="AW2663" s="14" t="str">
        <f>HYPERLINK("http://www.bing.com/maps/?lvl=14&amp;sty=h&amp;cp=32.0454~44.3391&amp;sp=point.32.0454_44.3391_Hay Al Urooba-322","Maplink3")</f>
        <v>Maplink3</v>
      </c>
    </row>
    <row r="2664" spans="1:49" ht="15" customHeight="1" x14ac:dyDescent="0.25">
      <c r="A2664" s="21">
        <v>19976</v>
      </c>
      <c r="B2664" s="22" t="s">
        <v>20</v>
      </c>
      <c r="C2664" s="22" t="s">
        <v>20</v>
      </c>
      <c r="D2664" s="22" t="s">
        <v>5130</v>
      </c>
      <c r="E2664" s="22" t="s">
        <v>5131</v>
      </c>
      <c r="F2664" s="22">
        <v>31.992819999999998</v>
      </c>
      <c r="G2664" s="22">
        <v>44.329703000000002</v>
      </c>
      <c r="H2664" s="21" t="s">
        <v>4986</v>
      </c>
      <c r="I2664" s="21" t="s">
        <v>5084</v>
      </c>
      <c r="J2664" s="21" t="s">
        <v>5132</v>
      </c>
      <c r="K2664" s="24">
        <v>94</v>
      </c>
      <c r="L2664" s="24">
        <v>564</v>
      </c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>
        <v>94</v>
      </c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>
        <v>33</v>
      </c>
      <c r="AK2664" s="23">
        <v>61</v>
      </c>
      <c r="AL2664" s="23"/>
      <c r="AM2664" s="23"/>
      <c r="AN2664" s="23"/>
      <c r="AO2664" s="23"/>
      <c r="AP2664" s="23">
        <v>94</v>
      </c>
      <c r="AQ2664" s="23"/>
      <c r="AR2664" s="23"/>
      <c r="AS2664" s="23"/>
      <c r="AT2664" s="23"/>
      <c r="AU2664" s="14" t="str">
        <f>HYPERLINK("http://www.openstreetmap.org/?mlat=31.9897&amp;mlon=44.3269&amp;zoom=12#map=12/31.9897/44.3269","Maplink1")</f>
        <v>Maplink1</v>
      </c>
      <c r="AV2664" s="14" t="str">
        <f>HYPERLINK("https://www.google.iq/maps/search/+31.9897,44.3269/@31.9897,44.3269,14z?hl=en","Maplink2")</f>
        <v>Maplink2</v>
      </c>
      <c r="AW2664" s="14" t="str">
        <f>HYPERLINK("http://www.bing.com/maps/?lvl=14&amp;sty=h&amp;cp=31.9897~44.3269&amp;sp=point.31.9897_44.3269_Aljadidah althalthah","Maplink3")</f>
        <v>Maplink3</v>
      </c>
    </row>
    <row r="2665" spans="1:49" ht="15" customHeight="1" x14ac:dyDescent="0.25">
      <c r="A2665" s="21">
        <v>19968</v>
      </c>
      <c r="B2665" s="22" t="s">
        <v>20</v>
      </c>
      <c r="C2665" s="22" t="s">
        <v>20</v>
      </c>
      <c r="D2665" s="22" t="s">
        <v>5133</v>
      </c>
      <c r="E2665" s="22" t="s">
        <v>5134</v>
      </c>
      <c r="F2665" s="22">
        <v>31.991599999999998</v>
      </c>
      <c r="G2665" s="22">
        <v>44.319360000000003</v>
      </c>
      <c r="H2665" s="21" t="s">
        <v>4986</v>
      </c>
      <c r="I2665" s="21" t="s">
        <v>5084</v>
      </c>
      <c r="J2665" s="21" t="s">
        <v>5135</v>
      </c>
      <c r="K2665" s="24">
        <v>39</v>
      </c>
      <c r="L2665" s="24">
        <v>234</v>
      </c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>
        <v>39</v>
      </c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>
        <v>39</v>
      </c>
      <c r="AL2665" s="23"/>
      <c r="AM2665" s="23"/>
      <c r="AN2665" s="23"/>
      <c r="AO2665" s="23"/>
      <c r="AP2665" s="23">
        <v>39</v>
      </c>
      <c r="AQ2665" s="23"/>
      <c r="AR2665" s="23"/>
      <c r="AS2665" s="23"/>
      <c r="AT2665" s="23"/>
      <c r="AU2665" s="14" t="str">
        <f>HYPERLINK("http://www.openstreetmap.org/?mlat=31.9858&amp;mlon=44.3292&amp;zoom=12#map=12/31.9858/44.3292","Maplink1")</f>
        <v>Maplink1</v>
      </c>
      <c r="AV2665" s="14" t="str">
        <f>HYPERLINK("https://www.google.iq/maps/search/+31.9858,44.3292/@31.9858,44.3292,14z?hl=en","Maplink2")</f>
        <v>Maplink2</v>
      </c>
      <c r="AW2665" s="14" t="str">
        <f>HYPERLINK("http://www.bing.com/maps/?lvl=14&amp;sty=h&amp;cp=31.9858~44.3292&amp;sp=point.31.9858_44.3292_Aljadidah althanyah","Maplink3")</f>
        <v>Maplink3</v>
      </c>
    </row>
    <row r="2666" spans="1:49" ht="15" customHeight="1" x14ac:dyDescent="0.25">
      <c r="A2666" s="21">
        <v>19965</v>
      </c>
      <c r="B2666" s="22" t="s">
        <v>20</v>
      </c>
      <c r="C2666" s="22" t="s">
        <v>20</v>
      </c>
      <c r="D2666" s="22" t="s">
        <v>5136</v>
      </c>
      <c r="E2666" s="22" t="s">
        <v>5137</v>
      </c>
      <c r="F2666" s="22">
        <v>31.996220000000001</v>
      </c>
      <c r="G2666" s="22">
        <v>44.327005</v>
      </c>
      <c r="H2666" s="21" t="s">
        <v>4986</v>
      </c>
      <c r="I2666" s="21" t="s">
        <v>5084</v>
      </c>
      <c r="J2666" s="21" t="s">
        <v>5138</v>
      </c>
      <c r="K2666" s="24">
        <v>62</v>
      </c>
      <c r="L2666" s="24">
        <v>372</v>
      </c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62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>
        <v>4</v>
      </c>
      <c r="AK2666" s="23">
        <v>58</v>
      </c>
      <c r="AL2666" s="23"/>
      <c r="AM2666" s="23"/>
      <c r="AN2666" s="23"/>
      <c r="AO2666" s="23"/>
      <c r="AP2666" s="23">
        <v>62</v>
      </c>
      <c r="AQ2666" s="23"/>
      <c r="AR2666" s="23"/>
      <c r="AS2666" s="23"/>
      <c r="AT2666" s="23"/>
      <c r="AU2666" s="14" t="str">
        <f>HYPERLINK("http://www.openstreetmap.org/?mlat=31.985&amp;mlon=44.3275&amp;zoom=12#map=12/31.985/44.3275","Maplink1")</f>
        <v>Maplink1</v>
      </c>
      <c r="AV2666" s="14" t="str">
        <f>HYPERLINK("https://www.google.iq/maps/search/+31.985,44.3275/@31.985,44.3275,14z?hl=en","Maplink2")</f>
        <v>Maplink2</v>
      </c>
      <c r="AW2666" s="14" t="str">
        <f>HYPERLINK("http://www.bing.com/maps/?lvl=14&amp;sty=h&amp;cp=31.985~44.3275&amp;sp=point.31.985_44.3275_Aljadidah alulah","Maplink3")</f>
        <v>Maplink3</v>
      </c>
    </row>
    <row r="2667" spans="1:49" ht="15" customHeight="1" x14ac:dyDescent="0.25">
      <c r="A2667" s="21">
        <v>29622</v>
      </c>
      <c r="B2667" s="22" t="s">
        <v>20</v>
      </c>
      <c r="C2667" s="22" t="s">
        <v>20</v>
      </c>
      <c r="D2667" s="22" t="s">
        <v>8962</v>
      </c>
      <c r="E2667" s="22" t="s">
        <v>8963</v>
      </c>
      <c r="F2667" s="22">
        <v>32.128515</v>
      </c>
      <c r="G2667" s="22">
        <v>44.325381</v>
      </c>
      <c r="H2667" s="21" t="s">
        <v>4986</v>
      </c>
      <c r="I2667" s="21" t="s">
        <v>5084</v>
      </c>
      <c r="J2667" s="21"/>
      <c r="K2667" s="24">
        <v>600</v>
      </c>
      <c r="L2667" s="24">
        <v>3600</v>
      </c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600</v>
      </c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>
        <v>600</v>
      </c>
      <c r="AK2667" s="23"/>
      <c r="AL2667" s="23"/>
      <c r="AM2667" s="23"/>
      <c r="AN2667" s="23"/>
      <c r="AO2667" s="23"/>
      <c r="AP2667" s="23"/>
      <c r="AQ2667" s="23">
        <v>600</v>
      </c>
      <c r="AR2667" s="23"/>
      <c r="AS2667" s="23"/>
      <c r="AT2667" s="23"/>
      <c r="AU2667" s="14" t="str">
        <f>HYPERLINK("http://www.openstreetmap.org/?mlat=32.1285&amp;mlon=44.3254&amp;zoom=12#map=12/32.1285/44.3254","Maplink1")</f>
        <v>Maplink1</v>
      </c>
      <c r="AV2667" s="14" t="str">
        <f>HYPERLINK("https://www.google.iq/maps/search/+32.1285,44.3254/@32.1285,44.3254,14z?hl=en","Maplink2")</f>
        <v>Maplink2</v>
      </c>
      <c r="AW2667" s="14" t="str">
        <f>HYPERLINK("http://www.bing.com/maps/?lvl=14&amp;sty=h&amp;cp=32.1285~44.3254&amp;sp=point.32.1285_44.3254","Maplink3")</f>
        <v>Maplink3</v>
      </c>
    </row>
    <row r="2668" spans="1:49" ht="15" customHeight="1" x14ac:dyDescent="0.25">
      <c r="A2668" s="21">
        <v>20062</v>
      </c>
      <c r="B2668" s="22" t="s">
        <v>20</v>
      </c>
      <c r="C2668" s="22" t="s">
        <v>20</v>
      </c>
      <c r="D2668" s="22" t="s">
        <v>5139</v>
      </c>
      <c r="E2668" s="22" t="s">
        <v>5140</v>
      </c>
      <c r="F2668" s="22">
        <v>32.025709999999997</v>
      </c>
      <c r="G2668" s="22">
        <v>44.3142</v>
      </c>
      <c r="H2668" s="21" t="s">
        <v>4986</v>
      </c>
      <c r="I2668" s="21" t="s">
        <v>5084</v>
      </c>
      <c r="J2668" s="21" t="s">
        <v>5141</v>
      </c>
      <c r="K2668" s="24">
        <v>94</v>
      </c>
      <c r="L2668" s="24">
        <v>564</v>
      </c>
      <c r="M2668" s="23">
        <v>4</v>
      </c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90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>
        <v>46</v>
      </c>
      <c r="AK2668" s="23">
        <v>48</v>
      </c>
      <c r="AL2668" s="23"/>
      <c r="AM2668" s="23"/>
      <c r="AN2668" s="23"/>
      <c r="AO2668" s="23"/>
      <c r="AP2668" s="23">
        <v>90</v>
      </c>
      <c r="AQ2668" s="23"/>
      <c r="AR2668" s="23"/>
      <c r="AS2668" s="23">
        <v>4</v>
      </c>
      <c r="AT2668" s="23"/>
      <c r="AU2668" s="14" t="str">
        <f>HYPERLINK("http://www.openstreetmap.org/?mlat=32.0286&amp;mlon=44.3142&amp;zoom=12#map=12/32.0286/44.3142","Maplink1")</f>
        <v>Maplink1</v>
      </c>
      <c r="AV2668" s="14" t="str">
        <f>HYPERLINK("https://www.google.iq/maps/search/+32.0286,44.3142/@32.0286,44.3142,14z?hl=en","Maplink2")</f>
        <v>Maplink2</v>
      </c>
      <c r="AW2668" s="14" t="str">
        <f>HYPERLINK("http://www.bing.com/maps/?lvl=14&amp;sty=h&amp;cp=32.0286~44.3142&amp;sp=point.32.0286_44.3142_Hay aby taleb","Maplink3")</f>
        <v>Maplink3</v>
      </c>
    </row>
    <row r="2669" spans="1:49" ht="15" customHeight="1" x14ac:dyDescent="0.25">
      <c r="A2669" s="21">
        <v>25431</v>
      </c>
      <c r="B2669" s="22" t="s">
        <v>20</v>
      </c>
      <c r="C2669" s="22" t="s">
        <v>20</v>
      </c>
      <c r="D2669" s="22" t="s">
        <v>6941</v>
      </c>
      <c r="E2669" s="22" t="s">
        <v>967</v>
      </c>
      <c r="F2669" s="22">
        <v>31.890518</v>
      </c>
      <c r="G2669" s="22">
        <v>44.481597999999998</v>
      </c>
      <c r="H2669" s="21" t="s">
        <v>4986</v>
      </c>
      <c r="I2669" s="21" t="s">
        <v>5084</v>
      </c>
      <c r="J2669" s="21"/>
      <c r="K2669" s="24">
        <v>202</v>
      </c>
      <c r="L2669" s="24">
        <v>1212</v>
      </c>
      <c r="M2669" s="23">
        <v>20</v>
      </c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182</v>
      </c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>
        <v>82</v>
      </c>
      <c r="AK2669" s="23">
        <v>120</v>
      </c>
      <c r="AL2669" s="23"/>
      <c r="AM2669" s="23"/>
      <c r="AN2669" s="23"/>
      <c r="AO2669" s="23">
        <v>20</v>
      </c>
      <c r="AP2669" s="23">
        <v>182</v>
      </c>
      <c r="AQ2669" s="23"/>
      <c r="AR2669" s="23"/>
      <c r="AS2669" s="23"/>
      <c r="AT2669" s="23"/>
      <c r="AU2669" s="14" t="str">
        <f>HYPERLINK("http://www.openstreetmap.org/?mlat=32.307&amp;mlon=44.2717&amp;zoom=12#map=12/32.307/44.2717","Maplink1")</f>
        <v>Maplink1</v>
      </c>
      <c r="AV2669" s="14" t="str">
        <f>HYPERLINK("https://www.google.iq/maps/search/+32.307,44.2717/@32.307,44.2717,14z?hl=en","Maplink2")</f>
        <v>Maplink2</v>
      </c>
      <c r="AW2669" s="14" t="str">
        <f>HYPERLINK("http://www.bing.com/maps/?lvl=14&amp;sty=h&amp;cp=32.307~44.2717&amp;sp=point.32.307_44.2717_Hay Al Ameer111","Maplink3")</f>
        <v>Maplink3</v>
      </c>
    </row>
    <row r="2670" spans="1:49" ht="15" customHeight="1" x14ac:dyDescent="0.25">
      <c r="A2670" s="21">
        <v>20291</v>
      </c>
      <c r="B2670" s="22" t="s">
        <v>20</v>
      </c>
      <c r="C2670" s="22" t="s">
        <v>20</v>
      </c>
      <c r="D2670" s="22" t="s">
        <v>1353</v>
      </c>
      <c r="E2670" s="22" t="s">
        <v>995</v>
      </c>
      <c r="F2670" s="22">
        <v>32.010249999999999</v>
      </c>
      <c r="G2670" s="22">
        <v>44.3339</v>
      </c>
      <c r="H2670" s="21" t="s">
        <v>4986</v>
      </c>
      <c r="I2670" s="21" t="s">
        <v>5084</v>
      </c>
      <c r="J2670" s="21" t="s">
        <v>5143</v>
      </c>
      <c r="K2670" s="24">
        <v>8</v>
      </c>
      <c r="L2670" s="24">
        <v>48</v>
      </c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8</v>
      </c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>
        <v>8</v>
      </c>
      <c r="AL2670" s="23"/>
      <c r="AM2670" s="23"/>
      <c r="AN2670" s="23"/>
      <c r="AO2670" s="23"/>
      <c r="AP2670" s="23">
        <v>8</v>
      </c>
      <c r="AQ2670" s="23"/>
      <c r="AR2670" s="23"/>
      <c r="AS2670" s="23"/>
      <c r="AT2670" s="23"/>
      <c r="AU2670" s="14" t="str">
        <f>HYPERLINK("http://www.openstreetmap.org/?mlat=32.0153&amp;mlon=44.32&amp;zoom=12#map=12/32.0153/44.32","Maplink1")</f>
        <v>Maplink1</v>
      </c>
      <c r="AV2670" s="14" t="str">
        <f>HYPERLINK("https://www.google.iq/maps/search/+32.0153,44.32/@32.0153,44.32,14z?hl=en","Maplink2")</f>
        <v>Maplink2</v>
      </c>
      <c r="AW2670" s="14" t="str">
        <f>HYPERLINK("http://www.bing.com/maps/?lvl=14&amp;sty=h&amp;cp=32.0153~44.32&amp;sp=point.32.0153_44.32_Hay Al Hussain","Maplink3")</f>
        <v>Maplink3</v>
      </c>
    </row>
    <row r="2671" spans="1:49" ht="15" customHeight="1" x14ac:dyDescent="0.25">
      <c r="A2671" s="21">
        <v>19988</v>
      </c>
      <c r="B2671" s="22" t="s">
        <v>20</v>
      </c>
      <c r="C2671" s="22" t="s">
        <v>20</v>
      </c>
      <c r="D2671" s="22" t="s">
        <v>5144</v>
      </c>
      <c r="E2671" s="22" t="s">
        <v>5145</v>
      </c>
      <c r="F2671" s="22">
        <v>31.889400999999999</v>
      </c>
      <c r="G2671" s="22">
        <v>44.476593999999999</v>
      </c>
      <c r="H2671" s="21" t="s">
        <v>4986</v>
      </c>
      <c r="I2671" s="21" t="s">
        <v>5084</v>
      </c>
      <c r="J2671" s="21" t="s">
        <v>5146</v>
      </c>
      <c r="K2671" s="24">
        <v>12</v>
      </c>
      <c r="L2671" s="24">
        <v>72</v>
      </c>
      <c r="M2671" s="23">
        <v>4</v>
      </c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>
        <v>8</v>
      </c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>
        <v>12</v>
      </c>
      <c r="AL2671" s="23"/>
      <c r="AM2671" s="23"/>
      <c r="AN2671" s="23"/>
      <c r="AO2671" s="23"/>
      <c r="AP2671" s="23">
        <v>8</v>
      </c>
      <c r="AQ2671" s="23"/>
      <c r="AR2671" s="23">
        <v>4</v>
      </c>
      <c r="AS2671" s="23"/>
      <c r="AT2671" s="23"/>
      <c r="AU2671" s="14" t="str">
        <f>HYPERLINK("http://www.openstreetmap.org/?mlat=31.9947&amp;mlon=44.3461&amp;zoom=12#map=12/31.9947/44.3461","Maplink1")</f>
        <v>Maplink1</v>
      </c>
      <c r="AV2671" s="14" t="str">
        <f>HYPERLINK("https://www.google.iq/maps/search/+31.9947,44.3461/@31.9947,44.3461,14z?hl=en","Maplink2")</f>
        <v>Maplink2</v>
      </c>
      <c r="AW2671" s="14" t="str">
        <f>HYPERLINK("http://www.bing.com/maps/?lvl=14&amp;sty=h&amp;cp=31.9947~44.3461&amp;sp=point.31.9947_44.3461_Hay Al imam Ali Al mualmien","Maplink3")</f>
        <v>Maplink3</v>
      </c>
    </row>
    <row r="2672" spans="1:49" ht="15" customHeight="1" x14ac:dyDescent="0.25">
      <c r="A2672" s="21">
        <v>24377</v>
      </c>
      <c r="B2672" s="22" t="s">
        <v>20</v>
      </c>
      <c r="C2672" s="22" t="s">
        <v>20</v>
      </c>
      <c r="D2672" s="22" t="s">
        <v>5151</v>
      </c>
      <c r="E2672" s="22" t="s">
        <v>225</v>
      </c>
      <c r="F2672" s="22">
        <v>32.001531999999997</v>
      </c>
      <c r="G2672" s="22">
        <v>44.374679999999998</v>
      </c>
      <c r="H2672" s="21" t="s">
        <v>4986</v>
      </c>
      <c r="I2672" s="21" t="s">
        <v>5084</v>
      </c>
      <c r="J2672" s="21"/>
      <c r="K2672" s="24">
        <v>19</v>
      </c>
      <c r="L2672" s="24">
        <v>114</v>
      </c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19</v>
      </c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>
        <v>19</v>
      </c>
      <c r="AL2672" s="23"/>
      <c r="AM2672" s="23"/>
      <c r="AN2672" s="23"/>
      <c r="AO2672" s="23"/>
      <c r="AP2672" s="23">
        <v>19</v>
      </c>
      <c r="AQ2672" s="23"/>
      <c r="AR2672" s="23"/>
      <c r="AS2672" s="23"/>
      <c r="AT2672" s="23"/>
      <c r="AU2672" s="14" t="str">
        <f>HYPERLINK("http://www.openstreetmap.org/?mlat=31.9995&amp;mlon=44.3649&amp;zoom=12#map=12/31.9995/44.3649","Maplink1")</f>
        <v>Maplink1</v>
      </c>
      <c r="AV2672" s="14" t="str">
        <f>HYPERLINK("https://www.google.iq/maps/search/+31.9995,44.3649/@31.9995,44.3649,14z?hl=en","Maplink2")</f>
        <v>Maplink2</v>
      </c>
      <c r="AW2672" s="14" t="str">
        <f>HYPERLINK("http://www.bing.com/maps/?lvl=14&amp;sty=h&amp;cp=31.9995~44.3649&amp;sp=point.31.9995_44.3649_Hay Al qadissiyah","Maplink3")</f>
        <v>Maplink3</v>
      </c>
    </row>
    <row r="2673" spans="1:49" ht="15" customHeight="1" x14ac:dyDescent="0.25">
      <c r="A2673" s="21">
        <v>20349</v>
      </c>
      <c r="B2673" s="22" t="s">
        <v>20</v>
      </c>
      <c r="C2673" s="22" t="s">
        <v>20</v>
      </c>
      <c r="D2673" s="22" t="s">
        <v>5152</v>
      </c>
      <c r="E2673" s="22" t="s">
        <v>5153</v>
      </c>
      <c r="F2673" s="22">
        <v>32.021979999999999</v>
      </c>
      <c r="G2673" s="22">
        <v>44.324300000000001</v>
      </c>
      <c r="H2673" s="21" t="s">
        <v>4986</v>
      </c>
      <c r="I2673" s="21" t="s">
        <v>5084</v>
      </c>
      <c r="J2673" s="21" t="s">
        <v>5154</v>
      </c>
      <c r="K2673" s="24">
        <v>225</v>
      </c>
      <c r="L2673" s="24">
        <v>1350</v>
      </c>
      <c r="M2673" s="23">
        <v>60</v>
      </c>
      <c r="N2673" s="23"/>
      <c r="O2673" s="23">
        <v>4</v>
      </c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150</v>
      </c>
      <c r="Z2673" s="23"/>
      <c r="AA2673" s="23">
        <v>11</v>
      </c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>
        <v>225</v>
      </c>
      <c r="AL2673" s="23"/>
      <c r="AM2673" s="23"/>
      <c r="AN2673" s="23"/>
      <c r="AO2673" s="23">
        <v>121</v>
      </c>
      <c r="AP2673" s="23">
        <v>44</v>
      </c>
      <c r="AQ2673" s="23">
        <v>60</v>
      </c>
      <c r="AR2673" s="23"/>
      <c r="AS2673" s="23"/>
      <c r="AT2673" s="23"/>
      <c r="AU2673" s="14" t="str">
        <f>HYPERLINK("http://www.openstreetmap.org/?mlat=32.0046&amp;mlon=44.1913&amp;zoom=12#map=12/32.0046/44.1913","Maplink1")</f>
        <v>Maplink1</v>
      </c>
      <c r="AV2673" s="14" t="str">
        <f>HYPERLINK("https://www.google.iq/maps/search/+32.0046,44.1913/@32.0046,44.1913,14z?hl=en","Maplink2")</f>
        <v>Maplink2</v>
      </c>
      <c r="AW2673" s="14" t="str">
        <f>HYPERLINK("http://www.bing.com/maps/?lvl=14&amp;sty=h&amp;cp=32.0046~44.1913&amp;sp=point.32.0046_44.1913_Hay Al Rahma","Maplink3")</f>
        <v>Maplink3</v>
      </c>
    </row>
    <row r="2674" spans="1:49" ht="15" customHeight="1" x14ac:dyDescent="0.25">
      <c r="A2674" s="21">
        <v>25432</v>
      </c>
      <c r="B2674" s="22" t="s">
        <v>20</v>
      </c>
      <c r="C2674" s="22" t="s">
        <v>20</v>
      </c>
      <c r="D2674" s="22" t="s">
        <v>8964</v>
      </c>
      <c r="E2674" s="22" t="s">
        <v>4269</v>
      </c>
      <c r="F2674" s="22">
        <v>31.914777999999998</v>
      </c>
      <c r="G2674" s="22">
        <v>44.480876000000002</v>
      </c>
      <c r="H2674" s="21" t="s">
        <v>4986</v>
      </c>
      <c r="I2674" s="21" t="s">
        <v>5084</v>
      </c>
      <c r="J2674" s="21"/>
      <c r="K2674" s="24">
        <v>850</v>
      </c>
      <c r="L2674" s="24">
        <v>5100</v>
      </c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850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>
        <v>400</v>
      </c>
      <c r="AK2674" s="23">
        <v>450</v>
      </c>
      <c r="AL2674" s="23"/>
      <c r="AM2674" s="23"/>
      <c r="AN2674" s="23"/>
      <c r="AO2674" s="23"/>
      <c r="AP2674" s="23">
        <v>850</v>
      </c>
      <c r="AQ2674" s="23"/>
      <c r="AR2674" s="23"/>
      <c r="AS2674" s="23"/>
      <c r="AT2674" s="23"/>
      <c r="AU2674" s="14" t="str">
        <f>HYPERLINK("http://www.openstreetmap.org/?mlat=32.3106&amp;mlon=44.2695&amp;zoom=12#map=12/32.3106/44.2695","Maplink1")</f>
        <v>Maplink1</v>
      </c>
      <c r="AV2674" s="14" t="str">
        <f>HYPERLINK("https://www.google.iq/maps/search/+32.3106,44.2695/@32.3106,44.2695,14z?hl=en","Maplink2")</f>
        <v>Maplink2</v>
      </c>
      <c r="AW2674" s="14" t="str">
        <f>HYPERLINK("http://www.bing.com/maps/?lvl=14&amp;sty=h&amp;cp=32.3106~44.2695&amp;sp=point.32.3106_44.2695_Hay Al Ameer109","Maplink3")</f>
        <v>Maplink3</v>
      </c>
    </row>
    <row r="2675" spans="1:49" ht="15" customHeight="1" x14ac:dyDescent="0.25">
      <c r="A2675" s="21">
        <v>22769</v>
      </c>
      <c r="B2675" s="22" t="s">
        <v>20</v>
      </c>
      <c r="C2675" s="22" t="s">
        <v>20</v>
      </c>
      <c r="D2675" s="22" t="s">
        <v>5158</v>
      </c>
      <c r="E2675" s="22" t="s">
        <v>5159</v>
      </c>
      <c r="F2675" s="22">
        <v>32.062759999999997</v>
      </c>
      <c r="G2675" s="22">
        <v>44.33381</v>
      </c>
      <c r="H2675" s="21" t="s">
        <v>4986</v>
      </c>
      <c r="I2675" s="21" t="s">
        <v>5084</v>
      </c>
      <c r="J2675" s="21" t="s">
        <v>5160</v>
      </c>
      <c r="K2675" s="24">
        <v>20</v>
      </c>
      <c r="L2675" s="24">
        <v>120</v>
      </c>
      <c r="M2675" s="23">
        <v>3</v>
      </c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17</v>
      </c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>
        <v>20</v>
      </c>
      <c r="AL2675" s="23"/>
      <c r="AM2675" s="23"/>
      <c r="AN2675" s="23"/>
      <c r="AO2675" s="23">
        <v>3</v>
      </c>
      <c r="AP2675" s="23">
        <v>17</v>
      </c>
      <c r="AQ2675" s="23"/>
      <c r="AR2675" s="23"/>
      <c r="AS2675" s="23"/>
      <c r="AT2675" s="23"/>
      <c r="AU2675" s="14" t="str">
        <f>HYPERLINK("http://www.openstreetmap.org/?mlat=32.0604&amp;mlon=44.3362&amp;zoom=12#map=12/32.0604/44.3362","Maplink1")</f>
        <v>Maplink1</v>
      </c>
      <c r="AV2675" s="14" t="str">
        <f>HYPERLINK("https://www.google.iq/maps/search/+32.0604,44.3362/@32.0604,44.3362,14z?hl=en","Maplink2")</f>
        <v>Maplink2</v>
      </c>
      <c r="AW2675" s="14" t="str">
        <f>HYPERLINK("http://www.bing.com/maps/?lvl=14&amp;sty=h&amp;cp=32.0604~44.3362&amp;sp=point.32.0604_44.3362_Hay Al Yarmook 326","Maplink3")</f>
        <v>Maplink3</v>
      </c>
    </row>
    <row r="2676" spans="1:49" ht="15" customHeight="1" x14ac:dyDescent="0.25">
      <c r="A2676" s="21">
        <v>22911</v>
      </c>
      <c r="B2676" s="22" t="s">
        <v>20</v>
      </c>
      <c r="C2676" s="22" t="s">
        <v>20</v>
      </c>
      <c r="D2676" s="22" t="s">
        <v>5161</v>
      </c>
      <c r="E2676" s="22" t="s">
        <v>5162</v>
      </c>
      <c r="F2676" s="22">
        <v>32.061050000000002</v>
      </c>
      <c r="G2676" s="22">
        <v>44.33934</v>
      </c>
      <c r="H2676" s="21" t="s">
        <v>4986</v>
      </c>
      <c r="I2676" s="21" t="s">
        <v>5084</v>
      </c>
      <c r="J2676" s="21" t="s">
        <v>5163</v>
      </c>
      <c r="K2676" s="24">
        <v>10</v>
      </c>
      <c r="L2676" s="24">
        <v>60</v>
      </c>
      <c r="M2676" s="23">
        <v>2</v>
      </c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8</v>
      </c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>
        <v>10</v>
      </c>
      <c r="AL2676" s="23"/>
      <c r="AM2676" s="23"/>
      <c r="AN2676" s="23"/>
      <c r="AO2676" s="23">
        <v>2</v>
      </c>
      <c r="AP2676" s="23"/>
      <c r="AQ2676" s="23">
        <v>8</v>
      </c>
      <c r="AR2676" s="23"/>
      <c r="AS2676" s="23"/>
      <c r="AT2676" s="23"/>
      <c r="AU2676" s="14" t="str">
        <f>HYPERLINK("http://www.openstreetmap.org/?mlat=32.0628&amp;mlon=44.3437&amp;zoom=12#map=12/32.0628/44.3437","Maplink1")</f>
        <v>Maplink1</v>
      </c>
      <c r="AV2676" s="14" t="str">
        <f>HYPERLINK("https://www.google.iq/maps/search/+32.0628,44.3437/@32.0628,44.3437,14z?hl=en","Maplink2")</f>
        <v>Maplink2</v>
      </c>
      <c r="AW2676" s="14" t="str">
        <f>HYPERLINK("http://www.bing.com/maps/?lvl=14&amp;sty=h&amp;cp=32.0628~44.3437&amp;sp=point.32.0628_44.3437_Hay Al Yarmuk-332","Maplink3")</f>
        <v>Maplink3</v>
      </c>
    </row>
    <row r="2677" spans="1:49" ht="15" customHeight="1" x14ac:dyDescent="0.25">
      <c r="A2677" s="21">
        <v>24240</v>
      </c>
      <c r="B2677" s="22" t="s">
        <v>20</v>
      </c>
      <c r="C2677" s="22" t="s">
        <v>20</v>
      </c>
      <c r="D2677" s="22" t="s">
        <v>5165</v>
      </c>
      <c r="E2677" s="22" t="s">
        <v>8074</v>
      </c>
      <c r="F2677" s="22">
        <v>32.305399999999999</v>
      </c>
      <c r="G2677" s="22">
        <v>44.274369999999998</v>
      </c>
      <c r="H2677" s="21" t="s">
        <v>4986</v>
      </c>
      <c r="I2677" s="21" t="s">
        <v>5084</v>
      </c>
      <c r="J2677" s="21" t="s">
        <v>5166</v>
      </c>
      <c r="K2677" s="24">
        <v>1150</v>
      </c>
      <c r="L2677" s="24">
        <v>6900</v>
      </c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1150</v>
      </c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>
        <v>984</v>
      </c>
      <c r="AK2677" s="23">
        <v>166</v>
      </c>
      <c r="AL2677" s="23"/>
      <c r="AM2677" s="23"/>
      <c r="AN2677" s="23"/>
      <c r="AO2677" s="23"/>
      <c r="AP2677" s="23">
        <v>1150</v>
      </c>
      <c r="AQ2677" s="23"/>
      <c r="AR2677" s="23"/>
      <c r="AS2677" s="23"/>
      <c r="AT2677" s="23"/>
      <c r="AU2677" s="14" t="str">
        <f>HYPERLINK("http://www.openstreetmap.org/?mlat=32.3076&amp;mlon=44.2766&amp;zoom=12#map=12/32.3076/44.2766","Maplink1")</f>
        <v>Maplink1</v>
      </c>
      <c r="AV2677" s="14" t="str">
        <f>HYPERLINK("https://www.google.iq/maps/search/+32.3076,44.2766/@32.3076,44.2766,14z?hl=en","Maplink2")</f>
        <v>Maplink2</v>
      </c>
      <c r="AW2677" s="14" t="str">
        <f>HYPERLINK("http://www.bing.com/maps/?lvl=14&amp;sty=h&amp;cp=32.3076~44.2766&amp;sp=point.32.3076_44.2766_Hay Al zahraa-Al Haidariyah","Maplink3")</f>
        <v>Maplink3</v>
      </c>
    </row>
    <row r="2678" spans="1:49" ht="15" customHeight="1" x14ac:dyDescent="0.25">
      <c r="A2678" s="21">
        <v>20301</v>
      </c>
      <c r="B2678" s="22" t="s">
        <v>20</v>
      </c>
      <c r="C2678" s="22" t="s">
        <v>20</v>
      </c>
      <c r="D2678" s="22" t="s">
        <v>7340</v>
      </c>
      <c r="E2678" s="22" t="s">
        <v>2196</v>
      </c>
      <c r="F2678" s="22">
        <v>31.995180000000001</v>
      </c>
      <c r="G2678" s="22">
        <v>44.360129999999998</v>
      </c>
      <c r="H2678" s="21" t="s">
        <v>4986</v>
      </c>
      <c r="I2678" s="21" t="s">
        <v>5084</v>
      </c>
      <c r="J2678" s="21" t="s">
        <v>5164</v>
      </c>
      <c r="K2678" s="24">
        <v>8</v>
      </c>
      <c r="L2678" s="24">
        <v>48</v>
      </c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>
        <v>8</v>
      </c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>
        <v>8</v>
      </c>
      <c r="AL2678" s="23"/>
      <c r="AM2678" s="23"/>
      <c r="AN2678" s="23"/>
      <c r="AO2678" s="23"/>
      <c r="AP2678" s="23"/>
      <c r="AQ2678" s="23"/>
      <c r="AR2678" s="23">
        <v>8</v>
      </c>
      <c r="AS2678" s="23"/>
      <c r="AT2678" s="23"/>
      <c r="AU2678" s="14" t="str">
        <f>HYPERLINK("http://www.openstreetmap.org/?mlat=32.0016&amp;mlon=44.3533&amp;zoom=12#map=12/32.0016/44.3533","Maplink1")</f>
        <v>Maplink1</v>
      </c>
      <c r="AV2678" s="14" t="str">
        <f>HYPERLINK("https://www.google.iq/maps/search/+32.0016,44.3533/@32.0016,44.3533,14z?hl=en","Maplink2")</f>
        <v>Maplink2</v>
      </c>
      <c r="AW2678" s="14" t="str">
        <f>HYPERLINK("http://www.bing.com/maps/?lvl=14&amp;sty=h&amp;cp=32.0016~44.3533&amp;sp=point.32.0016_44.3533_Hay Al zahra","Maplink3")</f>
        <v>Maplink3</v>
      </c>
    </row>
    <row r="2679" spans="1:49" ht="15" customHeight="1" x14ac:dyDescent="0.25">
      <c r="A2679" s="21">
        <v>20045</v>
      </c>
      <c r="B2679" s="22" t="s">
        <v>20</v>
      </c>
      <c r="C2679" s="22" t="s">
        <v>20</v>
      </c>
      <c r="D2679" s="22" t="s">
        <v>5169</v>
      </c>
      <c r="E2679" s="22" t="s">
        <v>5170</v>
      </c>
      <c r="F2679" s="22">
        <v>32.028469999999999</v>
      </c>
      <c r="G2679" s="22">
        <v>44.334969999999998</v>
      </c>
      <c r="H2679" s="21" t="s">
        <v>4986</v>
      </c>
      <c r="I2679" s="21" t="s">
        <v>5084</v>
      </c>
      <c r="J2679" s="21" t="s">
        <v>5171</v>
      </c>
      <c r="K2679" s="24">
        <v>15</v>
      </c>
      <c r="L2679" s="24">
        <v>90</v>
      </c>
      <c r="M2679" s="23">
        <v>2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13</v>
      </c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>
        <v>15</v>
      </c>
      <c r="AL2679" s="23"/>
      <c r="AM2679" s="23"/>
      <c r="AN2679" s="23"/>
      <c r="AO2679" s="23"/>
      <c r="AP2679" s="23">
        <v>15</v>
      </c>
      <c r="AQ2679" s="23"/>
      <c r="AR2679" s="23"/>
      <c r="AS2679" s="23"/>
      <c r="AT2679" s="23"/>
      <c r="AU2679" s="14" t="str">
        <f>HYPERLINK("http://www.openstreetmap.org/?mlat=32.0214&amp;mlon=44.3264&amp;zoom=12#map=12/32.0214/44.3264","Maplink1")</f>
        <v>Maplink1</v>
      </c>
      <c r="AV2679" s="14" t="str">
        <f>HYPERLINK("https://www.google.iq/maps/search/+32.0214,44.3264/@32.0214,44.3264,14z?hl=en","Maplink2")</f>
        <v>Maplink2</v>
      </c>
      <c r="AW2679" s="14" t="str">
        <f>HYPERLINK("http://www.bing.com/maps/?lvl=14&amp;sty=h&amp;cp=32.0214~44.3264&amp;sp=point.32.0214_44.3264_Hay alghary 1","Maplink3")</f>
        <v>Maplink3</v>
      </c>
    </row>
    <row r="2680" spans="1:49" ht="15" customHeight="1" x14ac:dyDescent="0.25">
      <c r="A2680" s="21">
        <v>19998</v>
      </c>
      <c r="B2680" s="22" t="s">
        <v>20</v>
      </c>
      <c r="C2680" s="22" t="s">
        <v>20</v>
      </c>
      <c r="D2680" s="22" t="s">
        <v>5172</v>
      </c>
      <c r="E2680" s="22" t="s">
        <v>5173</v>
      </c>
      <c r="F2680" s="22">
        <v>31.995180000000001</v>
      </c>
      <c r="G2680" s="22">
        <v>44.35671</v>
      </c>
      <c r="H2680" s="21" t="s">
        <v>4986</v>
      </c>
      <c r="I2680" s="21" t="s">
        <v>5084</v>
      </c>
      <c r="J2680" s="21" t="s">
        <v>5174</v>
      </c>
      <c r="K2680" s="24">
        <v>17</v>
      </c>
      <c r="L2680" s="24">
        <v>102</v>
      </c>
      <c r="M2680" s="23">
        <v>4</v>
      </c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13</v>
      </c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>
        <v>17</v>
      </c>
      <c r="AL2680" s="23"/>
      <c r="AM2680" s="23"/>
      <c r="AN2680" s="23"/>
      <c r="AO2680" s="23">
        <v>4</v>
      </c>
      <c r="AP2680" s="23">
        <v>9</v>
      </c>
      <c r="AQ2680" s="23"/>
      <c r="AR2680" s="23">
        <v>4</v>
      </c>
      <c r="AS2680" s="23"/>
      <c r="AT2680" s="23"/>
      <c r="AU2680" s="14" t="str">
        <f>HYPERLINK("http://www.openstreetmap.org/?mlat=31.9997&amp;mlon=44.3544&amp;zoom=12#map=12/31.9997/44.3544","Maplink1")</f>
        <v>Maplink1</v>
      </c>
      <c r="AV2680" s="14" t="str">
        <f>HYPERLINK("https://www.google.iq/maps/search/+31.9997,44.3544/@31.9997,44.3544,14z?hl=en","Maplink2")</f>
        <v>Maplink2</v>
      </c>
      <c r="AW2680" s="14" t="str">
        <f>HYPERLINK("http://www.bing.com/maps/?lvl=14&amp;sty=h&amp;cp=31.9997~44.3544&amp;sp=point.31.9997_44.3544_Hay alhawra zainab","Maplink3")</f>
        <v>Maplink3</v>
      </c>
    </row>
    <row r="2681" spans="1:49" ht="15" customHeight="1" x14ac:dyDescent="0.25">
      <c r="A2681" s="21">
        <v>20080</v>
      </c>
      <c r="B2681" s="22" t="s">
        <v>20</v>
      </c>
      <c r="C2681" s="22" t="s">
        <v>20</v>
      </c>
      <c r="D2681" s="22" t="s">
        <v>5182</v>
      </c>
      <c r="E2681" s="22" t="s">
        <v>5183</v>
      </c>
      <c r="F2681" s="22">
        <v>32.037210000000002</v>
      </c>
      <c r="G2681" s="22">
        <v>44.342010000000002</v>
      </c>
      <c r="H2681" s="21" t="s">
        <v>4986</v>
      </c>
      <c r="I2681" s="21" t="s">
        <v>5084</v>
      </c>
      <c r="J2681" s="21" t="s">
        <v>5184</v>
      </c>
      <c r="K2681" s="24">
        <v>20</v>
      </c>
      <c r="L2681" s="24">
        <v>120</v>
      </c>
      <c r="M2681" s="23">
        <v>9</v>
      </c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11</v>
      </c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>
        <v>20</v>
      </c>
      <c r="AL2681" s="23"/>
      <c r="AM2681" s="23"/>
      <c r="AN2681" s="23"/>
      <c r="AO2681" s="23"/>
      <c r="AP2681" s="23">
        <v>9</v>
      </c>
      <c r="AQ2681" s="23">
        <v>11</v>
      </c>
      <c r="AR2681" s="23"/>
      <c r="AS2681" s="23"/>
      <c r="AT2681" s="23"/>
      <c r="AU2681" s="14" t="str">
        <f>HYPERLINK("http://www.openstreetmap.org/?mlat=32.035&amp;mlon=44.3333&amp;zoom=12#map=12/32.035/44.3333","Maplink1")</f>
        <v>Maplink1</v>
      </c>
      <c r="AV2681" s="14" t="str">
        <f>HYPERLINK("https://www.google.iq/maps/search/+32.035,44.3333/@32.035,44.3333,14z?hl=en","Maplink2")</f>
        <v>Maplink2</v>
      </c>
      <c r="AW2681" s="14" t="str">
        <f>HYPERLINK("http://www.bing.com/maps/?lvl=14&amp;sty=h&amp;cp=32.035~44.3333&amp;sp=point.32.035_44.3333_Hay alsalam 131","Maplink3")</f>
        <v>Maplink3</v>
      </c>
    </row>
    <row r="2682" spans="1:49" ht="15" customHeight="1" x14ac:dyDescent="0.25">
      <c r="A2682" s="21">
        <v>24378</v>
      </c>
      <c r="B2682" s="22" t="s">
        <v>20</v>
      </c>
      <c r="C2682" s="22" t="s">
        <v>20</v>
      </c>
      <c r="D2682" s="22" t="s">
        <v>5187</v>
      </c>
      <c r="E2682" s="22" t="s">
        <v>5188</v>
      </c>
      <c r="F2682" s="22">
        <v>31.983342</v>
      </c>
      <c r="G2682" s="22">
        <v>44.333559999999999</v>
      </c>
      <c r="H2682" s="21" t="s">
        <v>4986</v>
      </c>
      <c r="I2682" s="21" t="s">
        <v>5084</v>
      </c>
      <c r="J2682" s="21"/>
      <c r="K2682" s="24">
        <v>25</v>
      </c>
      <c r="L2682" s="24">
        <v>150</v>
      </c>
      <c r="M2682" s="23">
        <v>4</v>
      </c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21</v>
      </c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>
        <v>25</v>
      </c>
      <c r="AL2682" s="23"/>
      <c r="AM2682" s="23"/>
      <c r="AN2682" s="23"/>
      <c r="AO2682" s="23"/>
      <c r="AP2682" s="23">
        <v>21</v>
      </c>
      <c r="AQ2682" s="23"/>
      <c r="AR2682" s="23"/>
      <c r="AS2682" s="23">
        <v>4</v>
      </c>
      <c r="AT2682" s="23"/>
      <c r="AU2682" s="14" t="str">
        <f>HYPERLINK("http://www.openstreetmap.org/?mlat=31.9828&amp;mlon=44.3333&amp;zoom=12#map=12/31.9828/44.3333","Maplink1")</f>
        <v>Maplink1</v>
      </c>
      <c r="AV2682" s="14" t="str">
        <f>HYPERLINK("https://www.google.iq/maps/search/+31.9828,44.3333/@31.9828,44.3333,14z?hl=en","Maplink2")</f>
        <v>Maplink2</v>
      </c>
      <c r="AW2682" s="14" t="str">
        <f>HYPERLINK("http://www.bing.com/maps/?lvl=14&amp;sty=h&amp;cp=31.9828~44.3333&amp;sp=point.31.9828_44.3333_Hay Tabok","Maplink3")</f>
        <v>Maplink3</v>
      </c>
    </row>
    <row r="2683" spans="1:49" ht="15" customHeight="1" x14ac:dyDescent="0.25">
      <c r="A2683" s="21">
        <v>29598</v>
      </c>
      <c r="B2683" s="22" t="s">
        <v>20</v>
      </c>
      <c r="C2683" s="22" t="s">
        <v>20</v>
      </c>
      <c r="D2683" s="22" t="s">
        <v>8231</v>
      </c>
      <c r="E2683" s="22" t="s">
        <v>8232</v>
      </c>
      <c r="F2683" s="22">
        <v>32.146425000000001</v>
      </c>
      <c r="G2683" s="22">
        <v>44.291891</v>
      </c>
      <c r="H2683" s="21" t="s">
        <v>4986</v>
      </c>
      <c r="I2683" s="21" t="s">
        <v>5084</v>
      </c>
      <c r="J2683" s="21"/>
      <c r="K2683" s="24">
        <v>300</v>
      </c>
      <c r="L2683" s="24">
        <v>1800</v>
      </c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300</v>
      </c>
      <c r="Z2683" s="23"/>
      <c r="AA2683" s="23"/>
      <c r="AB2683" s="23"/>
      <c r="AC2683" s="23"/>
      <c r="AD2683" s="23"/>
      <c r="AE2683" s="23">
        <v>300</v>
      </c>
      <c r="AF2683" s="23"/>
      <c r="AG2683" s="23"/>
      <c r="AH2683" s="23"/>
      <c r="AI2683" s="23"/>
      <c r="AJ2683" s="23"/>
      <c r="AK2683" s="23"/>
      <c r="AL2683" s="23"/>
      <c r="AM2683" s="23"/>
      <c r="AN2683" s="23"/>
      <c r="AO2683" s="23"/>
      <c r="AP2683" s="23">
        <v>200</v>
      </c>
      <c r="AQ2683" s="23">
        <v>100</v>
      </c>
      <c r="AR2683" s="23"/>
      <c r="AS2683" s="23"/>
      <c r="AT2683" s="23"/>
      <c r="AU2683" s="14" t="str">
        <f>HYPERLINK("http://www.openstreetmap.org/?mlat=32.1464&amp;mlon=44.2919&amp;zoom=12#map=12/32.1464/44.2919","Maplink1")</f>
        <v>Maplink1</v>
      </c>
      <c r="AV2683" s="14" t="str">
        <f>HYPERLINK("https://www.google.iq/maps/search/+32.1464,44.2919/@32.1464,44.2919,14z?hl=en","Maplink2")</f>
        <v>Maplink2</v>
      </c>
      <c r="AW2683" s="14" t="str">
        <f>HYPERLINK("http://www.bing.com/maps/?lvl=14&amp;sty=h&amp;cp=32.1464~44.2919&amp;sp=point.32.1464_44.2919","Maplink3")</f>
        <v>Maplink3</v>
      </c>
    </row>
    <row r="2684" spans="1:49" ht="15" customHeight="1" x14ac:dyDescent="0.25">
      <c r="A2684" s="21">
        <v>26014</v>
      </c>
      <c r="B2684" s="22" t="s">
        <v>20</v>
      </c>
      <c r="C2684" s="22" t="s">
        <v>20</v>
      </c>
      <c r="D2684" s="22" t="s">
        <v>5189</v>
      </c>
      <c r="E2684" s="22" t="s">
        <v>5190</v>
      </c>
      <c r="F2684" s="22">
        <v>31.876799999999999</v>
      </c>
      <c r="G2684" s="22">
        <v>44.217579999999998</v>
      </c>
      <c r="H2684" s="21" t="s">
        <v>4986</v>
      </c>
      <c r="I2684" s="21" t="s">
        <v>5084</v>
      </c>
      <c r="J2684" s="21"/>
      <c r="K2684" s="24">
        <v>8</v>
      </c>
      <c r="L2684" s="24">
        <v>48</v>
      </c>
      <c r="M2684" s="23">
        <v>8</v>
      </c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>
        <v>8</v>
      </c>
      <c r="AL2684" s="23"/>
      <c r="AM2684" s="23"/>
      <c r="AN2684" s="23"/>
      <c r="AO2684" s="23"/>
      <c r="AP2684" s="23">
        <v>8</v>
      </c>
      <c r="AQ2684" s="23"/>
      <c r="AR2684" s="23"/>
      <c r="AS2684" s="23"/>
      <c r="AT2684" s="23"/>
      <c r="AU2684" s="14" t="str">
        <f>HYPERLINK("http://www.openstreetmap.org/?mlat=31.9175&amp;mlon=44.2369&amp;zoom=12#map=12/31.9175/44.2369","Maplink1")</f>
        <v>Maplink1</v>
      </c>
      <c r="AV2684" s="14" t="str">
        <f>HYPERLINK("https://www.google.iq/maps/search/+31.9175,44.2369/@31.9175,44.2369,14z?hl=en","Maplink2")</f>
        <v>Maplink2</v>
      </c>
      <c r="AW2684" s="14" t="str">
        <f>HYPERLINK("http://www.bing.com/maps/?lvl=14&amp;sty=h&amp;cp=31.9175~44.2369&amp;sp=point.31.9175_44.2369_Madhlum Village","Maplink3")</f>
        <v>Maplink3</v>
      </c>
    </row>
    <row r="2685" spans="1:49" ht="15" customHeight="1" x14ac:dyDescent="0.25">
      <c r="A2685" s="21">
        <v>29618</v>
      </c>
      <c r="B2685" s="22" t="s">
        <v>20</v>
      </c>
      <c r="C2685" s="22" t="s">
        <v>20</v>
      </c>
      <c r="D2685" s="22" t="s">
        <v>8965</v>
      </c>
      <c r="E2685" s="22" t="s">
        <v>8966</v>
      </c>
      <c r="F2685" s="22">
        <v>32.221780000000003</v>
      </c>
      <c r="G2685" s="22">
        <v>44.297668999999999</v>
      </c>
      <c r="H2685" s="21" t="s">
        <v>4986</v>
      </c>
      <c r="I2685" s="21" t="s">
        <v>5084</v>
      </c>
      <c r="J2685" s="21"/>
      <c r="K2685" s="24">
        <v>95</v>
      </c>
      <c r="L2685" s="24">
        <v>570</v>
      </c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95</v>
      </c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>
        <v>95</v>
      </c>
      <c r="AK2685" s="23"/>
      <c r="AL2685" s="23"/>
      <c r="AM2685" s="23"/>
      <c r="AN2685" s="23"/>
      <c r="AO2685" s="23"/>
      <c r="AP2685" s="23">
        <v>95</v>
      </c>
      <c r="AQ2685" s="23"/>
      <c r="AR2685" s="23"/>
      <c r="AS2685" s="23"/>
      <c r="AT2685" s="23"/>
      <c r="AU2685" s="14" t="str">
        <f>HYPERLINK("http://www.openstreetmap.org/?mlat=32.2218&amp;mlon=44.2977&amp;zoom=12#map=12/32.2218/44.2977","Maplink1")</f>
        <v>Maplink1</v>
      </c>
      <c r="AV2685" s="14" t="str">
        <f>HYPERLINK("https://www.google.iq/maps/search/+32.2218,44.2977/@32.2218,44.2977,14z?hl=en","Maplink2")</f>
        <v>Maplink2</v>
      </c>
      <c r="AW2685" s="14" t="str">
        <f>HYPERLINK("http://www.bing.com/maps/?lvl=14&amp;sty=h&amp;cp=32.2218~44.2977&amp;sp=point.32.2218_44.2977","Maplink3")</f>
        <v>Maplink3</v>
      </c>
    </row>
    <row r="2686" spans="1:49" ht="15" customHeight="1" x14ac:dyDescent="0.25">
      <c r="A2686" s="21">
        <v>19637</v>
      </c>
      <c r="B2686" s="22" t="s">
        <v>20</v>
      </c>
      <c r="C2686" s="22" t="s">
        <v>20</v>
      </c>
      <c r="D2686" s="22" t="s">
        <v>8967</v>
      </c>
      <c r="E2686" s="22" t="s">
        <v>8968</v>
      </c>
      <c r="F2686" s="22">
        <v>32.317549</v>
      </c>
      <c r="G2686" s="22">
        <v>44.270747</v>
      </c>
      <c r="H2686" s="21" t="s">
        <v>4986</v>
      </c>
      <c r="I2686" s="21" t="s">
        <v>5084</v>
      </c>
      <c r="J2686" s="21"/>
      <c r="K2686" s="24">
        <v>144</v>
      </c>
      <c r="L2686" s="24">
        <v>864</v>
      </c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144</v>
      </c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>
        <v>144</v>
      </c>
      <c r="AK2686" s="23"/>
      <c r="AL2686" s="23"/>
      <c r="AM2686" s="23"/>
      <c r="AN2686" s="23"/>
      <c r="AO2686" s="23"/>
      <c r="AP2686" s="23">
        <v>144</v>
      </c>
      <c r="AQ2686" s="23"/>
      <c r="AR2686" s="23"/>
      <c r="AS2686" s="23"/>
      <c r="AT2686" s="23"/>
      <c r="AU2686" s="14" t="str">
        <f>HYPERLINK("http://www.openstreetmap.org/?mlat=32.3175&amp;mlon=44.2707&amp;zoom=12#map=12/32.3175/44.2707","Maplink1")</f>
        <v>Maplink1</v>
      </c>
      <c r="AV2686" s="14" t="str">
        <f>HYPERLINK("https://www.google.iq/maps/search/+32.3175,44.2707/@32.3175,44.2707,14z?hl=en","Maplink2")</f>
        <v>Maplink2</v>
      </c>
      <c r="AW2686" s="14" t="str">
        <f>HYPERLINK("http://www.bing.com/maps/?lvl=14&amp;sty=h&amp;cp=32.3175~44.2707&amp;sp=point.32.3175_44.2707","Maplink3")</f>
        <v>Maplink3</v>
      </c>
    </row>
    <row r="2687" spans="1:49" ht="15" customHeight="1" x14ac:dyDescent="0.25">
      <c r="A2687" s="21">
        <v>29621</v>
      </c>
      <c r="B2687" s="22" t="s">
        <v>20</v>
      </c>
      <c r="C2687" s="22" t="s">
        <v>20</v>
      </c>
      <c r="D2687" s="22" t="s">
        <v>8969</v>
      </c>
      <c r="E2687" s="22" t="s">
        <v>8970</v>
      </c>
      <c r="F2687" s="22">
        <v>32.108978</v>
      </c>
      <c r="G2687" s="22">
        <v>44.322898000000002</v>
      </c>
      <c r="H2687" s="21" t="s">
        <v>4986</v>
      </c>
      <c r="I2687" s="21" t="s">
        <v>5084</v>
      </c>
      <c r="J2687" s="21"/>
      <c r="K2687" s="24">
        <v>450</v>
      </c>
      <c r="L2687" s="24">
        <v>2700</v>
      </c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450</v>
      </c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>
        <v>450</v>
      </c>
      <c r="AK2687" s="23"/>
      <c r="AL2687" s="23"/>
      <c r="AM2687" s="23"/>
      <c r="AN2687" s="23"/>
      <c r="AO2687" s="23"/>
      <c r="AP2687" s="23">
        <v>450</v>
      </c>
      <c r="AQ2687" s="23"/>
      <c r="AR2687" s="23"/>
      <c r="AS2687" s="23"/>
      <c r="AT2687" s="23"/>
      <c r="AU2687" s="14" t="str">
        <f>HYPERLINK("http://www.openstreetmap.org/?mlat=32.109&amp;mlon=44.3229&amp;zoom=12#map=12/32.109/44.3229","Maplink1")</f>
        <v>Maplink1</v>
      </c>
      <c r="AV2687" s="14" t="str">
        <f>HYPERLINK("https://www.google.iq/maps/search/+32.109,44.3229/@32.109,44.3229,14z?hl=en","Maplink2")</f>
        <v>Maplink2</v>
      </c>
      <c r="AW2687" s="14" t="str">
        <f>HYPERLINK("http://www.bing.com/maps/?lvl=14&amp;sty=h&amp;cp=32.109~44.3229&amp;sp=point.32.109_44.3229","Maplink3")</f>
        <v>Maplink3</v>
      </c>
    </row>
    <row r="2688" spans="1:49" ht="15" customHeight="1" x14ac:dyDescent="0.25">
      <c r="A2688" s="21">
        <v>25643</v>
      </c>
      <c r="B2688" s="22" t="s">
        <v>20</v>
      </c>
      <c r="C2688" s="22" t="s">
        <v>20</v>
      </c>
      <c r="D2688" s="22" t="s">
        <v>5191</v>
      </c>
      <c r="E2688" s="22" t="s">
        <v>5192</v>
      </c>
      <c r="F2688" s="22">
        <v>31.978721</v>
      </c>
      <c r="G2688" s="22">
        <v>44.331994000000002</v>
      </c>
      <c r="H2688" s="21" t="s">
        <v>4986</v>
      </c>
      <c r="I2688" s="21" t="s">
        <v>5084</v>
      </c>
      <c r="J2688" s="21"/>
      <c r="K2688" s="24">
        <v>4</v>
      </c>
      <c r="L2688" s="24">
        <v>24</v>
      </c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4</v>
      </c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>
        <v>4</v>
      </c>
      <c r="AL2688" s="23"/>
      <c r="AM2688" s="23"/>
      <c r="AN2688" s="23"/>
      <c r="AO2688" s="23"/>
      <c r="AP2688" s="23">
        <v>4</v>
      </c>
      <c r="AQ2688" s="23"/>
      <c r="AR2688" s="23"/>
      <c r="AS2688" s="23"/>
      <c r="AT2688" s="23"/>
      <c r="AU2688" s="14" t="str">
        <f>HYPERLINK("http://www.openstreetmap.org/?mlat=31.9828&amp;mlon=44.3333&amp;zoom=12#map=12/31.9828/44.3333","Maplink1")</f>
        <v>Maplink1</v>
      </c>
      <c r="AV2688" s="14" t="str">
        <f>HYPERLINK("https://www.google.iq/maps/search/+31.9828,44.3333/@31.9828,44.3333,14z?hl=en","Maplink2")</f>
        <v>Maplink2</v>
      </c>
      <c r="AW2688" s="14" t="str">
        <f>HYPERLINK("http://www.bing.com/maps/?lvl=14&amp;sty=h&amp;cp=31.9828~44.3333&amp;sp=point.31.9828_44.3333_Shareet Noor-Tabook","Maplink3")</f>
        <v>Maplink3</v>
      </c>
    </row>
    <row r="2689" spans="1:49" ht="15" customHeight="1" x14ac:dyDescent="0.25">
      <c r="A2689" s="21">
        <v>20282</v>
      </c>
      <c r="B2689" s="22" t="s">
        <v>20</v>
      </c>
      <c r="C2689" s="22" t="s">
        <v>20</v>
      </c>
      <c r="D2689" s="22" t="s">
        <v>5193</v>
      </c>
      <c r="E2689" s="22" t="s">
        <v>5194</v>
      </c>
      <c r="F2689" s="22">
        <v>31.988849999999999</v>
      </c>
      <c r="G2689" s="22">
        <v>44.313389999999998</v>
      </c>
      <c r="H2689" s="21" t="s">
        <v>4986</v>
      </c>
      <c r="I2689" s="21" t="s">
        <v>5084</v>
      </c>
      <c r="J2689" s="21" t="s">
        <v>5195</v>
      </c>
      <c r="K2689" s="24">
        <v>210</v>
      </c>
      <c r="L2689" s="24">
        <v>1260</v>
      </c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210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210</v>
      </c>
      <c r="AL2689" s="23"/>
      <c r="AM2689" s="23"/>
      <c r="AN2689" s="23"/>
      <c r="AO2689" s="23"/>
      <c r="AP2689" s="23">
        <v>164</v>
      </c>
      <c r="AQ2689" s="23"/>
      <c r="AR2689" s="23">
        <v>46</v>
      </c>
      <c r="AS2689" s="23"/>
      <c r="AT2689" s="23"/>
      <c r="AU2689" s="14" t="str">
        <f>HYPERLINK("http://www.openstreetmap.org/?mlat=31.9919&amp;mlon=44.3092&amp;zoom=12#map=12/31.9919/44.3092","Maplink1")</f>
        <v>Maplink1</v>
      </c>
      <c r="AV2689" s="14" t="str">
        <f>HYPERLINK("https://www.google.iq/maps/search/+31.9919,44.3092/@31.9919,44.3092,14z?hl=en","Maplink2")</f>
        <v>Maplink2</v>
      </c>
      <c r="AW2689" s="14" t="str">
        <f>HYPERLINK("http://www.bing.com/maps/?lvl=14&amp;sty=h&amp;cp=31.9919~44.3092&amp;sp=point.31.9919_44.3092_Shawafi Village","Maplink3")</f>
        <v>Maplink3</v>
      </c>
    </row>
    <row r="2690" spans="1:49" ht="15" customHeight="1" x14ac:dyDescent="0.25">
      <c r="A2690" s="21">
        <v>29624</v>
      </c>
      <c r="B2690" s="22" t="s">
        <v>20</v>
      </c>
      <c r="C2690" s="22" t="s">
        <v>20</v>
      </c>
      <c r="D2690" s="22" t="s">
        <v>8971</v>
      </c>
      <c r="E2690" s="22" t="s">
        <v>8972</v>
      </c>
      <c r="F2690" s="22">
        <v>32.14517</v>
      </c>
      <c r="G2690" s="22">
        <v>44.329610000000002</v>
      </c>
      <c r="H2690" s="21" t="s">
        <v>4986</v>
      </c>
      <c r="I2690" s="21" t="s">
        <v>5084</v>
      </c>
      <c r="J2690" s="21"/>
      <c r="K2690" s="24">
        <v>10</v>
      </c>
      <c r="L2690" s="24">
        <v>60</v>
      </c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10</v>
      </c>
      <c r="Z2690" s="23"/>
      <c r="AA2690" s="23"/>
      <c r="AB2690" s="23"/>
      <c r="AC2690" s="23"/>
      <c r="AD2690" s="23"/>
      <c r="AE2690" s="23">
        <v>10</v>
      </c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/>
      <c r="AQ2690" s="23">
        <v>10</v>
      </c>
      <c r="AR2690" s="23"/>
      <c r="AS2690" s="23"/>
      <c r="AT2690" s="23"/>
      <c r="AU2690" s="14" t="str">
        <f>HYPERLINK("http://www.openstreetmap.org/?mlat=32.1452&amp;mlon=44.3296&amp;zoom=12#map=12/32.1452/44.3296","Maplink1")</f>
        <v>Maplink1</v>
      </c>
      <c r="AV2690" s="14" t="str">
        <f>HYPERLINK("https://www.google.iq/maps/search/+32.1452,44.3296/@32.1452,44.3296,14z?hl=en","Maplink2")</f>
        <v>Maplink2</v>
      </c>
      <c r="AW2690" s="14" t="str">
        <f>HYPERLINK("http://www.bing.com/maps/?lvl=14&amp;sty=h&amp;cp=32.1452~44.3296&amp;sp=point.32.1452_44.3296","Maplink3")</f>
        <v>Maplink3</v>
      </c>
    </row>
    <row r="2691" spans="1:49" ht="15" customHeight="1" x14ac:dyDescent="0.25">
      <c r="A2691" s="21">
        <v>17734</v>
      </c>
      <c r="B2691" s="22" t="s">
        <v>21</v>
      </c>
      <c r="C2691" s="22" t="s">
        <v>5196</v>
      </c>
      <c r="D2691" s="22" t="s">
        <v>5196</v>
      </c>
      <c r="E2691" s="22" t="s">
        <v>5197</v>
      </c>
      <c r="F2691" s="22">
        <v>36.75</v>
      </c>
      <c r="G2691" s="22">
        <v>43.89</v>
      </c>
      <c r="H2691" s="21" t="s">
        <v>5198</v>
      </c>
      <c r="I2691" s="21" t="s">
        <v>5199</v>
      </c>
      <c r="J2691" s="21" t="s">
        <v>5200</v>
      </c>
      <c r="K2691" s="24">
        <v>2242</v>
      </c>
      <c r="L2691" s="24">
        <v>13452</v>
      </c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2242</v>
      </c>
      <c r="Z2691" s="23"/>
      <c r="AA2691" s="23"/>
      <c r="AB2691" s="23"/>
      <c r="AC2691" s="23"/>
      <c r="AD2691" s="23"/>
      <c r="AE2691" s="23"/>
      <c r="AF2691" s="23">
        <v>85</v>
      </c>
      <c r="AG2691" s="23"/>
      <c r="AH2691" s="23"/>
      <c r="AI2691" s="23"/>
      <c r="AJ2691" s="23"/>
      <c r="AK2691" s="23">
        <v>1864</v>
      </c>
      <c r="AL2691" s="23"/>
      <c r="AM2691" s="23">
        <v>293</v>
      </c>
      <c r="AN2691" s="23"/>
      <c r="AO2691" s="23"/>
      <c r="AP2691" s="23">
        <v>1130</v>
      </c>
      <c r="AQ2691" s="23">
        <v>1112</v>
      </c>
      <c r="AR2691" s="23"/>
      <c r="AS2691" s="23"/>
      <c r="AT2691" s="23"/>
      <c r="AU2691" s="14" t="str">
        <f>HYPERLINK("http://www.openstreetmap.org/?mlat=36.75&amp;mlon=43.89&amp;zoom=12#map=12/36.75/43.89","Maplink1")</f>
        <v>Maplink1</v>
      </c>
      <c r="AV2691" s="14" t="str">
        <f>HYPERLINK("https://www.google.iq/maps/search/+36.75,43.89/@36.75,43.89,14z?hl=en","Maplink2")</f>
        <v>Maplink2</v>
      </c>
      <c r="AW2691" s="14" t="str">
        <f>HYPERLINK("http://www.bing.com/maps/?lvl=14&amp;sty=h&amp;cp=36.75~43.89&amp;sp=point.36.75_43.89_Akre","Maplink3")</f>
        <v>Maplink3</v>
      </c>
    </row>
    <row r="2692" spans="1:49" ht="15" customHeight="1" x14ac:dyDescent="0.25">
      <c r="A2692" s="21">
        <v>17295</v>
      </c>
      <c r="B2692" s="22" t="s">
        <v>21</v>
      </c>
      <c r="C2692" s="22" t="s">
        <v>5196</v>
      </c>
      <c r="D2692" s="22" t="s">
        <v>5201</v>
      </c>
      <c r="E2692" s="22" t="s">
        <v>5202</v>
      </c>
      <c r="F2692" s="22">
        <v>36.537875</v>
      </c>
      <c r="G2692" s="22">
        <v>43.604081000000001</v>
      </c>
      <c r="H2692" s="21" t="s">
        <v>5198</v>
      </c>
      <c r="I2692" s="21" t="s">
        <v>5199</v>
      </c>
      <c r="J2692" s="21" t="s">
        <v>5203</v>
      </c>
      <c r="K2692" s="24">
        <v>38</v>
      </c>
      <c r="L2692" s="24">
        <v>228</v>
      </c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38</v>
      </c>
      <c r="Z2692" s="23"/>
      <c r="AA2692" s="23"/>
      <c r="AB2692" s="23"/>
      <c r="AC2692" s="23"/>
      <c r="AD2692" s="23"/>
      <c r="AE2692" s="23"/>
      <c r="AF2692" s="23">
        <v>2</v>
      </c>
      <c r="AG2692" s="23"/>
      <c r="AH2692" s="23"/>
      <c r="AI2692" s="23"/>
      <c r="AJ2692" s="23"/>
      <c r="AK2692" s="23">
        <v>29</v>
      </c>
      <c r="AL2692" s="23"/>
      <c r="AM2692" s="23">
        <v>7</v>
      </c>
      <c r="AN2692" s="23"/>
      <c r="AO2692" s="23"/>
      <c r="AP2692" s="23"/>
      <c r="AQ2692" s="23">
        <v>38</v>
      </c>
      <c r="AR2692" s="23"/>
      <c r="AS2692" s="23"/>
      <c r="AT2692" s="23"/>
      <c r="AU2692" s="14" t="str">
        <f>HYPERLINK("http://www.openstreetmap.org/?mlat=36.5379&amp;mlon=43.6041&amp;zoom=12#map=12/36.5379/43.6041","Maplink1")</f>
        <v>Maplink1</v>
      </c>
      <c r="AV2692" s="14" t="str">
        <f>HYPERLINK("https://www.google.iq/maps/search/+36.5379,43.6041/@36.5379,43.6041,14z?hl=en","Maplink2")</f>
        <v>Maplink2</v>
      </c>
      <c r="AW2692" s="14" t="str">
        <f>HYPERLINK("http://www.bing.com/maps/?lvl=14&amp;sty=h&amp;cp=36.5379~43.6041&amp;sp=point.36.5379_43.6041_Amiyanook","Maplink3")</f>
        <v>Maplink3</v>
      </c>
    </row>
    <row r="2693" spans="1:49" ht="15" customHeight="1" x14ac:dyDescent="0.25">
      <c r="A2693" s="21">
        <v>8789</v>
      </c>
      <c r="B2693" s="22" t="s">
        <v>21</v>
      </c>
      <c r="C2693" s="22" t="s">
        <v>5196</v>
      </c>
      <c r="D2693" s="22" t="s">
        <v>5204</v>
      </c>
      <c r="E2693" s="22" t="s">
        <v>5205</v>
      </c>
      <c r="F2693" s="22">
        <v>36.535282000000002</v>
      </c>
      <c r="G2693" s="22">
        <v>43.596578000000001</v>
      </c>
      <c r="H2693" s="21" t="s">
        <v>5198</v>
      </c>
      <c r="I2693" s="21" t="s">
        <v>5199</v>
      </c>
      <c r="J2693" s="21" t="s">
        <v>5206</v>
      </c>
      <c r="K2693" s="24">
        <v>46</v>
      </c>
      <c r="L2693" s="24">
        <v>276</v>
      </c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>
        <v>46</v>
      </c>
      <c r="Z2693" s="23"/>
      <c r="AA2693" s="23"/>
      <c r="AB2693" s="23"/>
      <c r="AC2693" s="23"/>
      <c r="AD2693" s="23"/>
      <c r="AE2693" s="23"/>
      <c r="AF2693" s="23">
        <v>30</v>
      </c>
      <c r="AG2693" s="23"/>
      <c r="AH2693" s="23"/>
      <c r="AI2693" s="23"/>
      <c r="AJ2693" s="23"/>
      <c r="AK2693" s="23">
        <v>7</v>
      </c>
      <c r="AL2693" s="23"/>
      <c r="AM2693" s="23">
        <v>9</v>
      </c>
      <c r="AN2693" s="23"/>
      <c r="AO2693" s="23"/>
      <c r="AP2693" s="23">
        <v>10</v>
      </c>
      <c r="AQ2693" s="23">
        <v>36</v>
      </c>
      <c r="AR2693" s="23"/>
      <c r="AS2693" s="23"/>
      <c r="AT2693" s="23"/>
      <c r="AU2693" s="14" t="str">
        <f>HYPERLINK("http://www.openstreetmap.org/?mlat=36.5353&amp;mlon=43.5966&amp;zoom=12#map=12/36.5353/43.5966","Maplink1")</f>
        <v>Maplink1</v>
      </c>
      <c r="AV2693" s="14" t="str">
        <f>HYPERLINK("https://www.google.iq/maps/search/+36.5353,43.5966/@36.5353,43.5966,14z?hl=en","Maplink2")</f>
        <v>Maplink2</v>
      </c>
      <c r="AW2693" s="14" t="str">
        <f>HYPERLINK("http://www.bing.com/maps/?lvl=14&amp;sty=h&amp;cp=36.5353~43.5966&amp;sp=point.36.5353_43.5966_Amyan","Maplink3")</f>
        <v>Maplink3</v>
      </c>
    </row>
    <row r="2694" spans="1:49" ht="15" customHeight="1" x14ac:dyDescent="0.25">
      <c r="A2694" s="21">
        <v>18256</v>
      </c>
      <c r="B2694" s="22" t="s">
        <v>21</v>
      </c>
      <c r="C2694" s="22" t="s">
        <v>5196</v>
      </c>
      <c r="D2694" s="22" t="s">
        <v>5207</v>
      </c>
      <c r="E2694" s="22" t="s">
        <v>5208</v>
      </c>
      <c r="F2694" s="22">
        <v>36.68</v>
      </c>
      <c r="G2694" s="22">
        <v>44.04</v>
      </c>
      <c r="H2694" s="21" t="s">
        <v>5198</v>
      </c>
      <c r="I2694" s="21" t="s">
        <v>5199</v>
      </c>
      <c r="J2694" s="21" t="s">
        <v>5209</v>
      </c>
      <c r="K2694" s="24">
        <v>81</v>
      </c>
      <c r="L2694" s="24">
        <v>486</v>
      </c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>
        <v>81</v>
      </c>
      <c r="Z2694" s="23"/>
      <c r="AA2694" s="23"/>
      <c r="AB2694" s="23"/>
      <c r="AC2694" s="23"/>
      <c r="AD2694" s="23"/>
      <c r="AE2694" s="23"/>
      <c r="AF2694" s="23">
        <v>16</v>
      </c>
      <c r="AG2694" s="23"/>
      <c r="AH2694" s="23"/>
      <c r="AI2694" s="23"/>
      <c r="AJ2694" s="23"/>
      <c r="AK2694" s="23">
        <v>55</v>
      </c>
      <c r="AL2694" s="23"/>
      <c r="AM2694" s="23">
        <v>10</v>
      </c>
      <c r="AN2694" s="23"/>
      <c r="AO2694" s="23"/>
      <c r="AP2694" s="23"/>
      <c r="AQ2694" s="23">
        <v>81</v>
      </c>
      <c r="AR2694" s="23"/>
      <c r="AS2694" s="23"/>
      <c r="AT2694" s="23"/>
      <c r="AU2694" s="14" t="str">
        <f>HYPERLINK("http://www.openstreetmap.org/?mlat=36.68&amp;mlon=44.04&amp;zoom=12#map=12/36.68/44.04","Maplink1")</f>
        <v>Maplink1</v>
      </c>
      <c r="AV2694" s="14" t="str">
        <f>HYPERLINK("https://www.google.iq/maps/search/+36.68,44.04/@36.68,44.04,14z?hl=en","Maplink2")</f>
        <v>Maplink2</v>
      </c>
      <c r="AW2694" s="14" t="str">
        <f>HYPERLINK("http://www.bing.com/maps/?lvl=14&amp;sty=h&amp;cp=36.68~44.04&amp;sp=point.36.68_44.04_Banasur","Maplink3")</f>
        <v>Maplink3</v>
      </c>
    </row>
    <row r="2695" spans="1:49" ht="15" customHeight="1" x14ac:dyDescent="0.25">
      <c r="A2695" s="21">
        <v>8783</v>
      </c>
      <c r="B2695" s="22" t="s">
        <v>21</v>
      </c>
      <c r="C2695" s="22" t="s">
        <v>5196</v>
      </c>
      <c r="D2695" s="22" t="s">
        <v>5210</v>
      </c>
      <c r="E2695" s="22" t="s">
        <v>5211</v>
      </c>
      <c r="F2695" s="22">
        <v>36.5032</v>
      </c>
      <c r="G2695" s="22">
        <v>43.589199999999998</v>
      </c>
      <c r="H2695" s="21" t="s">
        <v>5198</v>
      </c>
      <c r="I2695" s="21" t="s">
        <v>5199</v>
      </c>
      <c r="J2695" s="21" t="s">
        <v>5212</v>
      </c>
      <c r="K2695" s="24">
        <v>1596</v>
      </c>
      <c r="L2695" s="24">
        <v>9576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1596</v>
      </c>
      <c r="Z2695" s="23"/>
      <c r="AA2695" s="23"/>
      <c r="AB2695" s="23"/>
      <c r="AC2695" s="23"/>
      <c r="AD2695" s="23"/>
      <c r="AE2695" s="23"/>
      <c r="AF2695" s="23">
        <v>82</v>
      </c>
      <c r="AG2695" s="23"/>
      <c r="AH2695" s="23"/>
      <c r="AI2695" s="23"/>
      <c r="AJ2695" s="23"/>
      <c r="AK2695" s="23">
        <v>1444</v>
      </c>
      <c r="AL2695" s="23"/>
      <c r="AM2695" s="23">
        <v>70</v>
      </c>
      <c r="AN2695" s="23"/>
      <c r="AO2695" s="23"/>
      <c r="AP2695" s="23">
        <v>687</v>
      </c>
      <c r="AQ2695" s="23">
        <v>909</v>
      </c>
      <c r="AR2695" s="23"/>
      <c r="AS2695" s="23"/>
      <c r="AT2695" s="23"/>
      <c r="AU2695" s="14" t="str">
        <f>HYPERLINK("http://www.openstreetmap.org/?mlat=36.5032&amp;mlon=43.5892&amp;zoom=12#map=12/36.5032/43.5892","Maplink1")</f>
        <v>Maplink1</v>
      </c>
      <c r="AV2695" s="14" t="str">
        <f>HYPERLINK("https://www.google.iq/maps/search/+36.5032,43.5892/@36.5032,43.5892,14z?hl=en","Maplink2")</f>
        <v>Maplink2</v>
      </c>
      <c r="AW2695" s="14" t="str">
        <f>HYPERLINK("http://www.bing.com/maps/?lvl=14&amp;sty=h&amp;cp=36.5032~43.5892&amp;sp=point.36.5032_43.5892_Bardarash","Maplink3")</f>
        <v>Maplink3</v>
      </c>
    </row>
    <row r="2696" spans="1:49" ht="15" customHeight="1" x14ac:dyDescent="0.25">
      <c r="A2696" s="21">
        <v>29571</v>
      </c>
      <c r="B2696" s="22" t="s">
        <v>21</v>
      </c>
      <c r="C2696" s="22" t="s">
        <v>5196</v>
      </c>
      <c r="D2696" s="22" t="s">
        <v>7497</v>
      </c>
      <c r="E2696" s="22" t="s">
        <v>7498</v>
      </c>
      <c r="F2696" s="22">
        <v>36.505353999999997</v>
      </c>
      <c r="G2696" s="22">
        <v>43.569526000000003</v>
      </c>
      <c r="H2696" s="21" t="s">
        <v>5198</v>
      </c>
      <c r="I2696" s="21" t="s">
        <v>5199</v>
      </c>
      <c r="J2696" s="21"/>
      <c r="K2696" s="24">
        <v>58</v>
      </c>
      <c r="L2696" s="24">
        <v>348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58</v>
      </c>
      <c r="Z2696" s="23"/>
      <c r="AA2696" s="23"/>
      <c r="AB2696" s="23"/>
      <c r="AC2696" s="23"/>
      <c r="AD2696" s="23"/>
      <c r="AE2696" s="23"/>
      <c r="AF2696" s="23">
        <v>20</v>
      </c>
      <c r="AG2696" s="23"/>
      <c r="AH2696" s="23"/>
      <c r="AI2696" s="23"/>
      <c r="AJ2696" s="23"/>
      <c r="AK2696" s="23">
        <v>30</v>
      </c>
      <c r="AL2696" s="23"/>
      <c r="AM2696" s="23">
        <v>8</v>
      </c>
      <c r="AN2696" s="23"/>
      <c r="AO2696" s="23"/>
      <c r="AP2696" s="23">
        <v>15</v>
      </c>
      <c r="AQ2696" s="23">
        <v>43</v>
      </c>
      <c r="AR2696" s="23"/>
      <c r="AS2696" s="23"/>
      <c r="AT2696" s="23"/>
      <c r="AU2696" s="14" t="str">
        <f>HYPERLINK("http://www.openstreetmap.org/?mlat=36.5054&amp;mlon=43.5695&amp;zoom=12#map=12/36.5054/43.5695","Maplink1")</f>
        <v>Maplink1</v>
      </c>
      <c r="AV2696" s="14" t="str">
        <f>HYPERLINK("https://www.google.iq/maps/search/+36.5054,43.5695/@36.5054,43.5695,14z?hl=en","Maplink2")</f>
        <v>Maplink2</v>
      </c>
      <c r="AW2696" s="14" t="str">
        <f>HYPERLINK("http://www.bing.com/maps/?lvl=14&amp;sty=h&amp;cp=36.5054~43.5695&amp;sp=point.36.5054_43.5695","Maplink3")</f>
        <v>Maplink3</v>
      </c>
    </row>
    <row r="2697" spans="1:49" ht="15" customHeight="1" x14ac:dyDescent="0.25">
      <c r="A2697" s="21">
        <v>24907</v>
      </c>
      <c r="B2697" s="22" t="s">
        <v>21</v>
      </c>
      <c r="C2697" s="22" t="s">
        <v>5196</v>
      </c>
      <c r="D2697" s="22" t="s">
        <v>5213</v>
      </c>
      <c r="E2697" s="22" t="s">
        <v>5214</v>
      </c>
      <c r="F2697" s="22">
        <v>36.494357000000001</v>
      </c>
      <c r="G2697" s="22">
        <v>43.566420999999998</v>
      </c>
      <c r="H2697" s="21" t="s">
        <v>5198</v>
      </c>
      <c r="I2697" s="21" t="s">
        <v>5199</v>
      </c>
      <c r="J2697" s="21"/>
      <c r="K2697" s="24">
        <v>2350</v>
      </c>
      <c r="L2697" s="24">
        <v>14100</v>
      </c>
      <c r="M2697" s="23"/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2350</v>
      </c>
      <c r="Z2697" s="23"/>
      <c r="AA2697" s="23"/>
      <c r="AB2697" s="23"/>
      <c r="AC2697" s="23"/>
      <c r="AD2697" s="23"/>
      <c r="AE2697" s="23">
        <v>2350</v>
      </c>
      <c r="AF2697" s="23"/>
      <c r="AG2697" s="23"/>
      <c r="AH2697" s="23"/>
      <c r="AI2697" s="23"/>
      <c r="AJ2697" s="23"/>
      <c r="AK2697" s="23"/>
      <c r="AL2697" s="23"/>
      <c r="AM2697" s="23"/>
      <c r="AN2697" s="23"/>
      <c r="AO2697" s="23"/>
      <c r="AP2697" s="23"/>
      <c r="AQ2697" s="23">
        <v>2328</v>
      </c>
      <c r="AR2697" s="23"/>
      <c r="AS2697" s="23">
        <v>5</v>
      </c>
      <c r="AT2697" s="23">
        <v>17</v>
      </c>
      <c r="AU2697" s="14" t="str">
        <f>HYPERLINK("http://www.openstreetmap.org/?mlat=36.4944&amp;mlon=43.5664&amp;zoom=12#map=12/36.4944/43.5664","Maplink1")</f>
        <v>Maplink1</v>
      </c>
      <c r="AV2697" s="14" t="str">
        <f>HYPERLINK("https://www.google.iq/maps/search/+36.4944,43.5664/@36.4944,43.5664,14z?hl=en","Maplink2")</f>
        <v>Maplink2</v>
      </c>
      <c r="AW2697" s="14" t="str">
        <f>HYPERLINK("http://www.bing.com/maps/?lvl=14&amp;sty=h&amp;cp=36.4944~43.5664&amp;sp=point.36.4944_43.5664_Bardarash Camp","Maplink3")</f>
        <v>Maplink3</v>
      </c>
    </row>
    <row r="2698" spans="1:49" ht="15" customHeight="1" x14ac:dyDescent="0.25">
      <c r="A2698" s="21">
        <v>8777</v>
      </c>
      <c r="B2698" s="22" t="s">
        <v>21</v>
      </c>
      <c r="C2698" s="22" t="s">
        <v>5196</v>
      </c>
      <c r="D2698" s="22" t="s">
        <v>8278</v>
      </c>
      <c r="E2698" s="22" t="s">
        <v>8279</v>
      </c>
      <c r="F2698" s="22">
        <v>36.484439999999999</v>
      </c>
      <c r="G2698" s="22">
        <v>43.690455999999998</v>
      </c>
      <c r="H2698" s="21" t="s">
        <v>5198</v>
      </c>
      <c r="I2698" s="21" t="s">
        <v>5199</v>
      </c>
      <c r="J2698" s="21" t="s">
        <v>8280</v>
      </c>
      <c r="K2698" s="24">
        <v>12</v>
      </c>
      <c r="L2698" s="24">
        <v>72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12</v>
      </c>
      <c r="Z2698" s="23"/>
      <c r="AA2698" s="23"/>
      <c r="AB2698" s="23"/>
      <c r="AC2698" s="23"/>
      <c r="AD2698" s="23"/>
      <c r="AE2698" s="23"/>
      <c r="AF2698" s="23">
        <v>9</v>
      </c>
      <c r="AG2698" s="23"/>
      <c r="AH2698" s="23"/>
      <c r="AI2698" s="23"/>
      <c r="AJ2698" s="23"/>
      <c r="AK2698" s="23">
        <v>3</v>
      </c>
      <c r="AL2698" s="23"/>
      <c r="AM2698" s="23"/>
      <c r="AN2698" s="23"/>
      <c r="AO2698" s="23"/>
      <c r="AP2698" s="23">
        <v>9</v>
      </c>
      <c r="AQ2698" s="23">
        <v>3</v>
      </c>
      <c r="AR2698" s="23"/>
      <c r="AS2698" s="23"/>
      <c r="AT2698" s="23"/>
      <c r="AU2698" s="14" t="str">
        <f>HYPERLINK("http://www.openstreetmap.org/?mlat=36.4844&amp;mlon=43.6905&amp;zoom=12#map=12/36.4844/43.6905","Maplink1")</f>
        <v>Maplink1</v>
      </c>
      <c r="AV2698" s="14" t="str">
        <f>HYPERLINK("https://www.google.iq/maps/search/+36.4844,43.6905/@36.4844,43.6905,14z?hl=en","Maplink2")</f>
        <v>Maplink2</v>
      </c>
      <c r="AW2698" s="14" t="str">
        <f>HYPERLINK("http://www.bing.com/maps/?lvl=14&amp;sty=h&amp;cp=36.4844~43.6905&amp;sp=point.36.4844_43.6905","Maplink3")</f>
        <v>Maplink3</v>
      </c>
    </row>
    <row r="2699" spans="1:49" ht="15" customHeight="1" x14ac:dyDescent="0.25">
      <c r="A2699" s="21">
        <v>17323</v>
      </c>
      <c r="B2699" s="22" t="s">
        <v>21</v>
      </c>
      <c r="C2699" s="22" t="s">
        <v>5196</v>
      </c>
      <c r="D2699" s="22" t="s">
        <v>8973</v>
      </c>
      <c r="E2699" s="22" t="s">
        <v>8974</v>
      </c>
      <c r="F2699" s="22">
        <v>36.563502999999997</v>
      </c>
      <c r="G2699" s="22">
        <v>43.759306000000002</v>
      </c>
      <c r="H2699" s="21" t="s">
        <v>5198</v>
      </c>
      <c r="I2699" s="21" t="s">
        <v>5199</v>
      </c>
      <c r="J2699" s="21" t="s">
        <v>8975</v>
      </c>
      <c r="K2699" s="24">
        <v>21</v>
      </c>
      <c r="L2699" s="24">
        <v>126</v>
      </c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21</v>
      </c>
      <c r="Z2699" s="23"/>
      <c r="AA2699" s="23"/>
      <c r="AB2699" s="23"/>
      <c r="AC2699" s="23"/>
      <c r="AD2699" s="23"/>
      <c r="AE2699" s="23"/>
      <c r="AF2699" s="23">
        <v>21</v>
      </c>
      <c r="AG2699" s="23"/>
      <c r="AH2699" s="23"/>
      <c r="AI2699" s="23"/>
      <c r="AJ2699" s="23"/>
      <c r="AK2699" s="23"/>
      <c r="AL2699" s="23"/>
      <c r="AM2699" s="23"/>
      <c r="AN2699" s="23"/>
      <c r="AO2699" s="23"/>
      <c r="AP2699" s="23"/>
      <c r="AQ2699" s="23">
        <v>21</v>
      </c>
      <c r="AR2699" s="23"/>
      <c r="AS2699" s="23"/>
      <c r="AT2699" s="23"/>
      <c r="AU2699" s="14" t="str">
        <f>HYPERLINK("http://www.openstreetmap.org/?mlat=36.5635&amp;mlon=43.7593&amp;zoom=12#map=12/36.5635/43.7593","Maplink1")</f>
        <v>Maplink1</v>
      </c>
      <c r="AV2699" s="14" t="str">
        <f>HYPERLINK("https://www.google.iq/maps/search/+36.5635,43.7593/@36.5635,43.7593,14z?hl=en","Maplink2")</f>
        <v>Maplink2</v>
      </c>
      <c r="AW2699" s="14" t="str">
        <f>HYPERLINK("http://www.bing.com/maps/?lvl=14&amp;sty=h&amp;cp=36.5635~43.7593&amp;sp=point.36.5635_43.7593","Maplink3")</f>
        <v>Maplink3</v>
      </c>
    </row>
    <row r="2700" spans="1:49" ht="15" customHeight="1" x14ac:dyDescent="0.25">
      <c r="A2700" s="21">
        <v>25816</v>
      </c>
      <c r="B2700" s="22" t="s">
        <v>21</v>
      </c>
      <c r="C2700" s="22" t="s">
        <v>5196</v>
      </c>
      <c r="D2700" s="22" t="s">
        <v>5215</v>
      </c>
      <c r="E2700" s="22" t="s">
        <v>5216</v>
      </c>
      <c r="F2700" s="22">
        <v>36.306908</v>
      </c>
      <c r="G2700" s="22">
        <v>43.673814999999998</v>
      </c>
      <c r="H2700" s="21" t="s">
        <v>5198</v>
      </c>
      <c r="I2700" s="21" t="s">
        <v>5199</v>
      </c>
      <c r="J2700" s="21"/>
      <c r="K2700" s="24">
        <v>102</v>
      </c>
      <c r="L2700" s="24">
        <v>612</v>
      </c>
      <c r="M2700" s="23"/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102</v>
      </c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>
        <v>80</v>
      </c>
      <c r="AL2700" s="23"/>
      <c r="AM2700" s="23">
        <v>22</v>
      </c>
      <c r="AN2700" s="23"/>
      <c r="AO2700" s="23"/>
      <c r="AP2700" s="23">
        <v>60</v>
      </c>
      <c r="AQ2700" s="23">
        <v>42</v>
      </c>
      <c r="AR2700" s="23"/>
      <c r="AS2700" s="23"/>
      <c r="AT2700" s="23"/>
      <c r="AU2700" s="14" t="str">
        <f>HYPERLINK("http://www.openstreetmap.org/?mlat=36.3069&amp;mlon=43.6738&amp;zoom=12#map=12/36.3069/43.6738","Maplink1")</f>
        <v>Maplink1</v>
      </c>
      <c r="AV2700" s="14" t="str">
        <f>HYPERLINK("https://www.google.iq/maps/search/+36.3069,43.6738/@36.3069,43.6738,14z?hl=en","Maplink2")</f>
        <v>Maplink2</v>
      </c>
      <c r="AW2700" s="14" t="str">
        <f>HYPERLINK("http://www.bing.com/maps/?lvl=14&amp;sty=h&amp;cp=36.3069~43.6738&amp;sp=point.36.3069_43.6738_Bishryan","Maplink3")</f>
        <v>Maplink3</v>
      </c>
    </row>
    <row r="2701" spans="1:49" ht="15" customHeight="1" x14ac:dyDescent="0.25">
      <c r="A2701" s="21">
        <v>17776</v>
      </c>
      <c r="B2701" s="22" t="s">
        <v>21</v>
      </c>
      <c r="C2701" s="22" t="s">
        <v>5196</v>
      </c>
      <c r="D2701" s="22" t="s">
        <v>5217</v>
      </c>
      <c r="E2701" s="22" t="s">
        <v>5218</v>
      </c>
      <c r="F2701" s="22">
        <v>36.72</v>
      </c>
      <c r="G2701" s="22">
        <v>44.01</v>
      </c>
      <c r="H2701" s="21" t="s">
        <v>5198</v>
      </c>
      <c r="I2701" s="21" t="s">
        <v>5199</v>
      </c>
      <c r="J2701" s="21" t="s">
        <v>5219</v>
      </c>
      <c r="K2701" s="24">
        <v>90</v>
      </c>
      <c r="L2701" s="24">
        <v>540</v>
      </c>
      <c r="M2701" s="23"/>
      <c r="N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>
        <v>90</v>
      </c>
      <c r="Z2701" s="23"/>
      <c r="AA2701" s="23"/>
      <c r="AB2701" s="23"/>
      <c r="AC2701" s="23"/>
      <c r="AD2701" s="23"/>
      <c r="AE2701" s="23"/>
      <c r="AF2701" s="23">
        <v>8</v>
      </c>
      <c r="AG2701" s="23"/>
      <c r="AH2701" s="23"/>
      <c r="AI2701" s="23"/>
      <c r="AJ2701" s="23"/>
      <c r="AK2701" s="23">
        <v>50</v>
      </c>
      <c r="AL2701" s="23"/>
      <c r="AM2701" s="23">
        <v>32</v>
      </c>
      <c r="AN2701" s="23"/>
      <c r="AO2701" s="23"/>
      <c r="AP2701" s="23"/>
      <c r="AQ2701" s="23">
        <v>90</v>
      </c>
      <c r="AR2701" s="23"/>
      <c r="AS2701" s="23"/>
      <c r="AT2701" s="23"/>
      <c r="AU2701" s="14" t="str">
        <f>HYPERLINK("http://www.openstreetmap.org/?mlat=36.72&amp;mlon=44.01&amp;zoom=12#map=12/36.72/44.01","Maplink1")</f>
        <v>Maplink1</v>
      </c>
      <c r="AV2701" s="14" t="str">
        <f>HYPERLINK("https://www.google.iq/maps/search/+36.72,44.01/@36.72,44.01,14z?hl=en","Maplink2")</f>
        <v>Maplink2</v>
      </c>
      <c r="AW2701" s="14" t="str">
        <f>HYPERLINK("http://www.bing.com/maps/?lvl=14&amp;sty=h&amp;cp=36.72~44.01&amp;sp=point.36.72_44.01_Bjil","Maplink3")</f>
        <v>Maplink3</v>
      </c>
    </row>
    <row r="2702" spans="1:49" ht="15" customHeight="1" x14ac:dyDescent="0.25">
      <c r="A2702" s="21">
        <v>8776</v>
      </c>
      <c r="B2702" s="22" t="s">
        <v>21</v>
      </c>
      <c r="C2702" s="22" t="s">
        <v>5196</v>
      </c>
      <c r="D2702" s="22" t="s">
        <v>5220</v>
      </c>
      <c r="E2702" s="22" t="s">
        <v>5221</v>
      </c>
      <c r="F2702" s="22">
        <v>36.453879000000001</v>
      </c>
      <c r="G2702" s="22">
        <v>43.753667999999998</v>
      </c>
      <c r="H2702" s="21" t="s">
        <v>5198</v>
      </c>
      <c r="I2702" s="21" t="s">
        <v>5199</v>
      </c>
      <c r="J2702" s="21" t="s">
        <v>5222</v>
      </c>
      <c r="K2702" s="24">
        <v>436</v>
      </c>
      <c r="L2702" s="24">
        <v>2616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436</v>
      </c>
      <c r="Z2702" s="23"/>
      <c r="AA2702" s="23"/>
      <c r="AB2702" s="23"/>
      <c r="AC2702" s="23"/>
      <c r="AD2702" s="23"/>
      <c r="AE2702" s="23"/>
      <c r="AF2702" s="23">
        <v>70</v>
      </c>
      <c r="AG2702" s="23"/>
      <c r="AH2702" s="23"/>
      <c r="AI2702" s="23"/>
      <c r="AJ2702" s="23"/>
      <c r="AK2702" s="23">
        <v>228</v>
      </c>
      <c r="AL2702" s="23"/>
      <c r="AM2702" s="23">
        <v>138</v>
      </c>
      <c r="AN2702" s="23"/>
      <c r="AO2702" s="23"/>
      <c r="AP2702" s="23">
        <v>70</v>
      </c>
      <c r="AQ2702" s="23">
        <v>366</v>
      </c>
      <c r="AR2702" s="23"/>
      <c r="AS2702" s="23"/>
      <c r="AT2702" s="23"/>
      <c r="AU2702" s="14" t="str">
        <f>HYPERLINK("http://www.openstreetmap.org/?mlat=36.4539&amp;mlon=43.7537&amp;zoom=12#map=12/36.4539/43.7537","Maplink1")</f>
        <v>Maplink1</v>
      </c>
      <c r="AV2702" s="14" t="str">
        <f>HYPERLINK("https://www.google.iq/maps/search/+36.4539,43.7537/@36.4539,43.7537,14z?hl=en","Maplink2")</f>
        <v>Maplink2</v>
      </c>
      <c r="AW2702" s="14" t="str">
        <f>HYPERLINK("http://www.bing.com/maps/?lvl=14&amp;sty=h&amp;cp=36.4539~43.7537&amp;sp=point.36.4539_43.7537_Daratu","Maplink3")</f>
        <v>Maplink3</v>
      </c>
    </row>
    <row r="2703" spans="1:49" ht="15" customHeight="1" x14ac:dyDescent="0.25">
      <c r="A2703" s="21">
        <v>16953</v>
      </c>
      <c r="B2703" s="22" t="s">
        <v>21</v>
      </c>
      <c r="C2703" s="22" t="s">
        <v>5196</v>
      </c>
      <c r="D2703" s="22" t="s">
        <v>5223</v>
      </c>
      <c r="E2703" s="22" t="s">
        <v>5224</v>
      </c>
      <c r="F2703" s="22">
        <v>36.564300000000003</v>
      </c>
      <c r="G2703" s="22">
        <v>43.591299999999997</v>
      </c>
      <c r="H2703" s="21" t="s">
        <v>5198</v>
      </c>
      <c r="I2703" s="21" t="s">
        <v>5199</v>
      </c>
      <c r="J2703" s="21" t="s">
        <v>5225</v>
      </c>
      <c r="K2703" s="24">
        <v>143</v>
      </c>
      <c r="L2703" s="24">
        <v>858</v>
      </c>
      <c r="M2703" s="23"/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143</v>
      </c>
      <c r="Z2703" s="23"/>
      <c r="AA2703" s="23"/>
      <c r="AB2703" s="23"/>
      <c r="AC2703" s="23"/>
      <c r="AD2703" s="23"/>
      <c r="AE2703" s="23"/>
      <c r="AF2703" s="23">
        <v>50</v>
      </c>
      <c r="AG2703" s="23"/>
      <c r="AH2703" s="23"/>
      <c r="AI2703" s="23"/>
      <c r="AJ2703" s="23"/>
      <c r="AK2703" s="23">
        <v>60</v>
      </c>
      <c r="AL2703" s="23"/>
      <c r="AM2703" s="23">
        <v>33</v>
      </c>
      <c r="AN2703" s="23"/>
      <c r="AO2703" s="23"/>
      <c r="AP2703" s="23">
        <v>60</v>
      </c>
      <c r="AQ2703" s="23">
        <v>83</v>
      </c>
      <c r="AR2703" s="23"/>
      <c r="AS2703" s="23"/>
      <c r="AT2703" s="23"/>
      <c r="AU2703" s="14" t="str">
        <f>HYPERLINK("http://www.openstreetmap.org/?mlat=36.5643&amp;mlon=43.5913&amp;zoom=12#map=12/36.5643/43.5913","Maplink1")</f>
        <v>Maplink1</v>
      </c>
      <c r="AV2703" s="14" t="str">
        <f>HYPERLINK("https://www.google.iq/maps/search/+36.5643,43.5913/@36.5643,43.5913,14z?hl=en","Maplink2")</f>
        <v>Maplink2</v>
      </c>
      <c r="AW2703" s="14" t="str">
        <f>HYPERLINK("http://www.bing.com/maps/?lvl=14&amp;sty=h&amp;cp=36.5643~43.5913&amp;sp=point.36.5643_43.5913_Dinarta","Maplink3")</f>
        <v>Maplink3</v>
      </c>
    </row>
    <row r="2704" spans="1:49" ht="15" customHeight="1" x14ac:dyDescent="0.25">
      <c r="A2704" s="21">
        <v>18223</v>
      </c>
      <c r="B2704" s="22" t="s">
        <v>21</v>
      </c>
      <c r="C2704" s="22" t="s">
        <v>5196</v>
      </c>
      <c r="D2704" s="22" t="s">
        <v>8200</v>
      </c>
      <c r="E2704" s="22" t="s">
        <v>8201</v>
      </c>
      <c r="F2704" s="22">
        <v>36.351689999999998</v>
      </c>
      <c r="G2704" s="22">
        <v>43.650590000000001</v>
      </c>
      <c r="H2704" s="21" t="s">
        <v>5198</v>
      </c>
      <c r="I2704" s="21" t="s">
        <v>5199</v>
      </c>
      <c r="J2704" s="21" t="s">
        <v>8202</v>
      </c>
      <c r="K2704" s="24">
        <v>44</v>
      </c>
      <c r="L2704" s="24">
        <v>264</v>
      </c>
      <c r="M2704" s="23"/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44</v>
      </c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/>
      <c r="AL2704" s="23"/>
      <c r="AM2704" s="23">
        <v>44</v>
      </c>
      <c r="AN2704" s="23"/>
      <c r="AO2704" s="23"/>
      <c r="AP2704" s="23"/>
      <c r="AQ2704" s="23">
        <v>44</v>
      </c>
      <c r="AR2704" s="23"/>
      <c r="AS2704" s="23"/>
      <c r="AT2704" s="23"/>
      <c r="AU2704" s="14" t="str">
        <f>HYPERLINK("http://www.openstreetmap.org/?mlat=36.3517&amp;mlon=43.6506&amp;zoom=12#map=12/36.3517/43.6506","Maplink1")</f>
        <v>Maplink1</v>
      </c>
      <c r="AV2704" s="14" t="str">
        <f>HYPERLINK("https://www.google.iq/maps/search/+36.3517,43.6506/@36.3517,43.6506,14z?hl=en","Maplink2")</f>
        <v>Maplink2</v>
      </c>
      <c r="AW2704" s="14" t="str">
        <f>HYPERLINK("http://www.bing.com/maps/?lvl=14&amp;sty=h&amp;cp=36.3517~43.6506&amp;sp=point.36.3517_43.6506","Maplink3")</f>
        <v>Maplink3</v>
      </c>
    </row>
    <row r="2705" spans="1:49" ht="15" customHeight="1" x14ac:dyDescent="0.25">
      <c r="A2705" s="21">
        <v>29625</v>
      </c>
      <c r="B2705" s="22" t="s">
        <v>21</v>
      </c>
      <c r="C2705" s="22" t="s">
        <v>5196</v>
      </c>
      <c r="D2705" s="22" t="s">
        <v>8976</v>
      </c>
      <c r="E2705" s="22" t="s">
        <v>8977</v>
      </c>
      <c r="F2705" s="22">
        <v>36.291882999999999</v>
      </c>
      <c r="G2705" s="22">
        <v>43.648128</v>
      </c>
      <c r="H2705" s="21" t="s">
        <v>5198</v>
      </c>
      <c r="I2705" s="21" t="s">
        <v>5199</v>
      </c>
      <c r="J2705" s="21"/>
      <c r="K2705" s="24">
        <v>25</v>
      </c>
      <c r="L2705" s="24">
        <v>150</v>
      </c>
      <c r="M2705" s="23"/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25</v>
      </c>
      <c r="Z2705" s="23"/>
      <c r="AA2705" s="23"/>
      <c r="AB2705" s="23"/>
      <c r="AC2705" s="23"/>
      <c r="AD2705" s="23"/>
      <c r="AE2705" s="23"/>
      <c r="AF2705" s="23">
        <v>20</v>
      </c>
      <c r="AG2705" s="23"/>
      <c r="AH2705" s="23"/>
      <c r="AI2705" s="23"/>
      <c r="AJ2705" s="23"/>
      <c r="AK2705" s="23"/>
      <c r="AL2705" s="23"/>
      <c r="AM2705" s="23">
        <v>5</v>
      </c>
      <c r="AN2705" s="23"/>
      <c r="AO2705" s="23"/>
      <c r="AP2705" s="23"/>
      <c r="AQ2705" s="23">
        <v>25</v>
      </c>
      <c r="AR2705" s="23"/>
      <c r="AS2705" s="23"/>
      <c r="AT2705" s="23"/>
      <c r="AU2705" s="14" t="str">
        <f>HYPERLINK("http://www.openstreetmap.org/?mlat=36.2919&amp;mlon=43.6481&amp;zoom=12#map=12/36.2919/43.6481","Maplink1")</f>
        <v>Maplink1</v>
      </c>
      <c r="AV2705" s="14" t="str">
        <f>HYPERLINK("https://www.google.iq/maps/search/+36.2919,43.6481/@36.2919,43.6481,14z?hl=en","Maplink2")</f>
        <v>Maplink2</v>
      </c>
      <c r="AW2705" s="14" t="str">
        <f>HYPERLINK("http://www.bing.com/maps/?lvl=14&amp;sty=h&amp;cp=36.2919~43.6481&amp;sp=point.36.2919_43.6481","Maplink3")</f>
        <v>Maplink3</v>
      </c>
    </row>
    <row r="2706" spans="1:49" ht="15" customHeight="1" x14ac:dyDescent="0.25">
      <c r="A2706" s="21">
        <v>17802</v>
      </c>
      <c r="B2706" s="22" t="s">
        <v>21</v>
      </c>
      <c r="C2706" s="22" t="s">
        <v>5196</v>
      </c>
      <c r="D2706" s="22" t="s">
        <v>5226</v>
      </c>
      <c r="E2706" s="22" t="s">
        <v>5227</v>
      </c>
      <c r="F2706" s="22">
        <v>36.65</v>
      </c>
      <c r="G2706" s="22">
        <v>43.8</v>
      </c>
      <c r="H2706" s="21" t="s">
        <v>5198</v>
      </c>
      <c r="I2706" s="21" t="s">
        <v>5199</v>
      </c>
      <c r="J2706" s="21" t="s">
        <v>5228</v>
      </c>
      <c r="K2706" s="24">
        <v>387</v>
      </c>
      <c r="L2706" s="24">
        <v>2322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387</v>
      </c>
      <c r="Z2706" s="23"/>
      <c r="AA2706" s="23"/>
      <c r="AB2706" s="23"/>
      <c r="AC2706" s="23"/>
      <c r="AD2706" s="23"/>
      <c r="AE2706" s="23"/>
      <c r="AF2706" s="23">
        <v>191</v>
      </c>
      <c r="AG2706" s="23"/>
      <c r="AH2706" s="23"/>
      <c r="AI2706" s="23"/>
      <c r="AJ2706" s="23"/>
      <c r="AK2706" s="23">
        <v>46</v>
      </c>
      <c r="AL2706" s="23"/>
      <c r="AM2706" s="23">
        <v>150</v>
      </c>
      <c r="AN2706" s="23"/>
      <c r="AO2706" s="23"/>
      <c r="AP2706" s="23">
        <v>101</v>
      </c>
      <c r="AQ2706" s="23">
        <v>286</v>
      </c>
      <c r="AR2706" s="23"/>
      <c r="AS2706" s="23"/>
      <c r="AT2706" s="23"/>
      <c r="AU2706" s="14" t="str">
        <f>HYPERLINK("http://www.openstreetmap.org/?mlat=36.65&amp;mlon=43.8&amp;zoom=12#map=12/36.65/43.8","Maplink1")</f>
        <v>Maplink1</v>
      </c>
      <c r="AV2706" s="14" t="str">
        <f>HYPERLINK("https://www.google.iq/maps/search/+36.65,43.8/@36.65,43.8,14z?hl=en","Maplink2")</f>
        <v>Maplink2</v>
      </c>
      <c r="AW2706" s="14" t="str">
        <f>HYPERLINK("http://www.bing.com/maps/?lvl=14&amp;sty=h&amp;cp=36.65~43.8&amp;sp=point.36.65_43.8_Grdasin","Maplink3")</f>
        <v>Maplink3</v>
      </c>
    </row>
    <row r="2707" spans="1:49" ht="15" customHeight="1" x14ac:dyDescent="0.25">
      <c r="A2707" s="21">
        <v>29626</v>
      </c>
      <c r="B2707" s="22" t="s">
        <v>21</v>
      </c>
      <c r="C2707" s="22" t="s">
        <v>5196</v>
      </c>
      <c r="D2707" s="22" t="s">
        <v>8978</v>
      </c>
      <c r="E2707" s="22" t="s">
        <v>8979</v>
      </c>
      <c r="F2707" s="22">
        <v>36.638933000000002</v>
      </c>
      <c r="G2707" s="22">
        <v>43.578271999999998</v>
      </c>
      <c r="H2707" s="21" t="s">
        <v>5198</v>
      </c>
      <c r="I2707" s="21" t="s">
        <v>5199</v>
      </c>
      <c r="J2707" s="21"/>
      <c r="K2707" s="24">
        <v>52</v>
      </c>
      <c r="L2707" s="24">
        <v>312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52</v>
      </c>
      <c r="Z2707" s="23"/>
      <c r="AA2707" s="23"/>
      <c r="AB2707" s="23"/>
      <c r="AC2707" s="23"/>
      <c r="AD2707" s="23"/>
      <c r="AE2707" s="23"/>
      <c r="AF2707" s="23">
        <v>41</v>
      </c>
      <c r="AG2707" s="23"/>
      <c r="AH2707" s="23"/>
      <c r="AI2707" s="23"/>
      <c r="AJ2707" s="23"/>
      <c r="AK2707" s="23">
        <v>6</v>
      </c>
      <c r="AL2707" s="23"/>
      <c r="AM2707" s="23">
        <v>5</v>
      </c>
      <c r="AN2707" s="23"/>
      <c r="AO2707" s="23"/>
      <c r="AP2707" s="23"/>
      <c r="AQ2707" s="23">
        <v>52</v>
      </c>
      <c r="AR2707" s="23"/>
      <c r="AS2707" s="23"/>
      <c r="AT2707" s="23"/>
      <c r="AU2707" s="14" t="str">
        <f>HYPERLINK("http://www.openstreetmap.org/?mlat=36.6389&amp;mlon=43.5783&amp;zoom=12#map=12/36.6389/43.5783","Maplink1")</f>
        <v>Maplink1</v>
      </c>
      <c r="AV2707" s="14" t="str">
        <f>HYPERLINK("https://www.google.iq/maps/search/+36.6389,43.5783/@36.6389,43.5783,14z?hl=en","Maplink2")</f>
        <v>Maplink2</v>
      </c>
      <c r="AW2707" s="14" t="str">
        <f>HYPERLINK("http://www.bing.com/maps/?lvl=14&amp;sty=h&amp;cp=36.6389~43.5783&amp;sp=point.36.6389_43.5783","Maplink3")</f>
        <v>Maplink3</v>
      </c>
    </row>
    <row r="2708" spans="1:49" ht="15" customHeight="1" x14ac:dyDescent="0.25">
      <c r="A2708" s="21">
        <v>17096</v>
      </c>
      <c r="B2708" s="22" t="s">
        <v>21</v>
      </c>
      <c r="C2708" s="22" t="s">
        <v>5196</v>
      </c>
      <c r="D2708" s="22" t="s">
        <v>8980</v>
      </c>
      <c r="E2708" s="22" t="s">
        <v>8981</v>
      </c>
      <c r="F2708" s="22">
        <v>36.561731000000002</v>
      </c>
      <c r="G2708" s="22">
        <v>43.565050999999997</v>
      </c>
      <c r="H2708" s="21" t="s">
        <v>5198</v>
      </c>
      <c r="I2708" s="21" t="s">
        <v>5199</v>
      </c>
      <c r="J2708" s="21" t="s">
        <v>8982</v>
      </c>
      <c r="K2708" s="24">
        <v>62</v>
      </c>
      <c r="L2708" s="24">
        <v>372</v>
      </c>
      <c r="M2708" s="23"/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62</v>
      </c>
      <c r="Z2708" s="23"/>
      <c r="AA2708" s="23"/>
      <c r="AB2708" s="23"/>
      <c r="AC2708" s="23"/>
      <c r="AD2708" s="23"/>
      <c r="AE2708" s="23"/>
      <c r="AF2708" s="23">
        <v>38</v>
      </c>
      <c r="AG2708" s="23"/>
      <c r="AH2708" s="23"/>
      <c r="AI2708" s="23"/>
      <c r="AJ2708" s="23"/>
      <c r="AK2708" s="23">
        <v>20</v>
      </c>
      <c r="AL2708" s="23"/>
      <c r="AM2708" s="23">
        <v>4</v>
      </c>
      <c r="AN2708" s="23"/>
      <c r="AO2708" s="23"/>
      <c r="AP2708" s="23"/>
      <c r="AQ2708" s="23">
        <v>62</v>
      </c>
      <c r="AR2708" s="23"/>
      <c r="AS2708" s="23"/>
      <c r="AT2708" s="23"/>
      <c r="AU2708" s="14" t="str">
        <f>HYPERLINK("http://www.openstreetmap.org/?mlat=36.5617&amp;mlon=43.5651&amp;zoom=12#map=12/36.5617/43.5651","Maplink1")</f>
        <v>Maplink1</v>
      </c>
      <c r="AV2708" s="14" t="str">
        <f>HYPERLINK("https://www.google.iq/maps/search/+36.5617,43.5651/@36.5617,43.5651,14z?hl=en","Maplink2")</f>
        <v>Maplink2</v>
      </c>
      <c r="AW2708" s="14" t="str">
        <f>HYPERLINK("http://www.bing.com/maps/?lvl=14&amp;sty=h&amp;cp=36.5617~43.5651&amp;sp=point.36.5617_43.5651","Maplink3")</f>
        <v>Maplink3</v>
      </c>
    </row>
    <row r="2709" spans="1:49" ht="15" customHeight="1" x14ac:dyDescent="0.25">
      <c r="A2709" s="21">
        <v>24581</v>
      </c>
      <c r="B2709" s="22" t="s">
        <v>21</v>
      </c>
      <c r="C2709" s="22" t="s">
        <v>5196</v>
      </c>
      <c r="D2709" s="22" t="s">
        <v>5229</v>
      </c>
      <c r="E2709" s="22" t="s">
        <v>5230</v>
      </c>
      <c r="F2709" s="22">
        <v>36.271470999999998</v>
      </c>
      <c r="G2709" s="22">
        <v>43.636327999999999</v>
      </c>
      <c r="H2709" s="21" t="s">
        <v>5198</v>
      </c>
      <c r="I2709" s="21" t="s">
        <v>5199</v>
      </c>
      <c r="J2709" s="21"/>
      <c r="K2709" s="24">
        <v>888</v>
      </c>
      <c r="L2709" s="24">
        <v>5328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888</v>
      </c>
      <c r="Z2709" s="23"/>
      <c r="AA2709" s="23"/>
      <c r="AB2709" s="23"/>
      <c r="AC2709" s="23"/>
      <c r="AD2709" s="23"/>
      <c r="AE2709" s="23"/>
      <c r="AF2709" s="23">
        <v>74</v>
      </c>
      <c r="AG2709" s="23"/>
      <c r="AH2709" s="23"/>
      <c r="AI2709" s="23"/>
      <c r="AJ2709" s="23"/>
      <c r="AK2709" s="23">
        <v>757</v>
      </c>
      <c r="AL2709" s="23"/>
      <c r="AM2709" s="23">
        <v>57</v>
      </c>
      <c r="AN2709" s="23"/>
      <c r="AO2709" s="23"/>
      <c r="AP2709" s="23">
        <v>138</v>
      </c>
      <c r="AQ2709" s="23">
        <v>750</v>
      </c>
      <c r="AR2709" s="23"/>
      <c r="AS2709" s="23"/>
      <c r="AT2709" s="23"/>
      <c r="AU2709" s="14" t="str">
        <f>HYPERLINK("http://www.openstreetmap.org/?mlat=36.2721&amp;mlon=43.6734&amp;zoom=12#map=12/36.2721/43.6734","Maplink1")</f>
        <v>Maplink1</v>
      </c>
      <c r="AV2709" s="14" t="str">
        <f>HYPERLINK("https://www.google.iq/maps/search/+36.2721,43.6734/@36.2721,43.6734,14z?hl=en","Maplink2")</f>
        <v>Maplink2</v>
      </c>
      <c r="AW2709" s="14" t="str">
        <f>HYPERLINK("http://www.bing.com/maps/?lvl=14&amp;sty=h&amp;cp=36.2721~43.6734&amp;sp=point.36.2721_43.6734_Kalak","Maplink3")</f>
        <v>Maplink3</v>
      </c>
    </row>
    <row r="2710" spans="1:49" ht="15" customHeight="1" x14ac:dyDescent="0.25">
      <c r="A2710" s="21">
        <v>17142</v>
      </c>
      <c r="B2710" s="22" t="s">
        <v>21</v>
      </c>
      <c r="C2710" s="22" t="s">
        <v>5196</v>
      </c>
      <c r="D2710" s="22" t="s">
        <v>5231</v>
      </c>
      <c r="E2710" s="22" t="s">
        <v>5232</v>
      </c>
      <c r="F2710" s="22">
        <v>36.493519999999997</v>
      </c>
      <c r="G2710" s="22">
        <v>43.525624000000001</v>
      </c>
      <c r="H2710" s="21" t="s">
        <v>5198</v>
      </c>
      <c r="I2710" s="21" t="s">
        <v>5199</v>
      </c>
      <c r="J2710" s="21" t="s">
        <v>5233</v>
      </c>
      <c r="K2710" s="24">
        <v>32</v>
      </c>
      <c r="L2710" s="24">
        <v>192</v>
      </c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32</v>
      </c>
      <c r="Z2710" s="23"/>
      <c r="AA2710" s="23"/>
      <c r="AB2710" s="23"/>
      <c r="AC2710" s="23"/>
      <c r="AD2710" s="23"/>
      <c r="AE2710" s="23"/>
      <c r="AF2710" s="23">
        <v>5</v>
      </c>
      <c r="AG2710" s="23"/>
      <c r="AH2710" s="23"/>
      <c r="AI2710" s="23"/>
      <c r="AJ2710" s="23"/>
      <c r="AK2710" s="23">
        <v>15</v>
      </c>
      <c r="AL2710" s="23"/>
      <c r="AM2710" s="23">
        <v>12</v>
      </c>
      <c r="AN2710" s="23"/>
      <c r="AO2710" s="23"/>
      <c r="AP2710" s="23"/>
      <c r="AQ2710" s="23">
        <v>32</v>
      </c>
      <c r="AR2710" s="23"/>
      <c r="AS2710" s="23"/>
      <c r="AT2710" s="23"/>
      <c r="AU2710" s="14" t="str">
        <f>HYPERLINK("http://www.openstreetmap.org/?mlat=36.4935&amp;mlon=43.5256&amp;zoom=12#map=12/36.4935/43.5256","Maplink1")</f>
        <v>Maplink1</v>
      </c>
      <c r="AV2710" s="14" t="str">
        <f>HYPERLINK("https://www.google.iq/maps/search/+36.4935,43.5256/@36.4935,43.5256,14z?hl=en","Maplink2")</f>
        <v>Maplink2</v>
      </c>
      <c r="AW2710" s="14" t="str">
        <f>HYPERLINK("http://www.bing.com/maps/?lvl=14&amp;sty=h&amp;cp=36.4935~43.5256&amp;sp=point.36.4935_43.5256_Kani Lan","Maplink3")</f>
        <v>Maplink3</v>
      </c>
    </row>
    <row r="2711" spans="1:49" ht="15" customHeight="1" x14ac:dyDescent="0.25">
      <c r="A2711" s="21">
        <v>29605</v>
      </c>
      <c r="B2711" s="22" t="s">
        <v>21</v>
      </c>
      <c r="C2711" s="22" t="s">
        <v>5196</v>
      </c>
      <c r="D2711" s="22" t="s">
        <v>8281</v>
      </c>
      <c r="E2711" s="22" t="s">
        <v>8282</v>
      </c>
      <c r="F2711" s="22">
        <v>36.493789999999997</v>
      </c>
      <c r="G2711" s="22">
        <v>43.643487999999998</v>
      </c>
      <c r="H2711" s="21" t="s">
        <v>5198</v>
      </c>
      <c r="I2711" s="21" t="s">
        <v>5199</v>
      </c>
      <c r="J2711" s="21"/>
      <c r="K2711" s="24">
        <v>63</v>
      </c>
      <c r="L2711" s="24">
        <v>378</v>
      </c>
      <c r="M2711" s="23"/>
      <c r="N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>
        <v>63</v>
      </c>
      <c r="Z2711" s="23"/>
      <c r="AA2711" s="23"/>
      <c r="AB2711" s="23"/>
      <c r="AC2711" s="23"/>
      <c r="AD2711" s="23"/>
      <c r="AE2711" s="23"/>
      <c r="AF2711" s="23">
        <v>48</v>
      </c>
      <c r="AG2711" s="23"/>
      <c r="AH2711" s="23"/>
      <c r="AI2711" s="23"/>
      <c r="AJ2711" s="23"/>
      <c r="AK2711" s="23">
        <v>6</v>
      </c>
      <c r="AL2711" s="23"/>
      <c r="AM2711" s="23">
        <v>9</v>
      </c>
      <c r="AN2711" s="23"/>
      <c r="AO2711" s="23"/>
      <c r="AP2711" s="23">
        <v>5</v>
      </c>
      <c r="AQ2711" s="23">
        <v>58</v>
      </c>
      <c r="AR2711" s="23"/>
      <c r="AS2711" s="23"/>
      <c r="AT2711" s="23"/>
      <c r="AU2711" s="14" t="str">
        <f>HYPERLINK("http://www.openstreetmap.org/?mlat=36.4938&amp;mlon=43.6435&amp;zoom=12#map=12/36.4938/43.6435","Maplink1")</f>
        <v>Maplink1</v>
      </c>
      <c r="AV2711" s="14" t="str">
        <f>HYPERLINK("https://www.google.iq/maps/search/+36.4938,43.6435/@36.4938,43.6435,14z?hl=en","Maplink2")</f>
        <v>Maplink2</v>
      </c>
      <c r="AW2711" s="14" t="str">
        <f>HYPERLINK("http://www.bing.com/maps/?lvl=14&amp;sty=h&amp;cp=36.4938~43.6435&amp;sp=point.36.4938_43.6435","Maplink3")</f>
        <v>Maplink3</v>
      </c>
    </row>
    <row r="2712" spans="1:49" ht="15" customHeight="1" x14ac:dyDescent="0.25">
      <c r="A2712" s="21">
        <v>17012</v>
      </c>
      <c r="B2712" s="22" t="s">
        <v>21</v>
      </c>
      <c r="C2712" s="22" t="s">
        <v>5196</v>
      </c>
      <c r="D2712" s="22" t="s">
        <v>5234</v>
      </c>
      <c r="E2712" s="22" t="s">
        <v>5235</v>
      </c>
      <c r="F2712" s="22">
        <v>36.671700000000001</v>
      </c>
      <c r="G2712" s="22">
        <v>43.610399999999998</v>
      </c>
      <c r="H2712" s="21" t="s">
        <v>5198</v>
      </c>
      <c r="I2712" s="21" t="s">
        <v>5199</v>
      </c>
      <c r="J2712" s="21" t="s">
        <v>5236</v>
      </c>
      <c r="K2712" s="24">
        <v>36</v>
      </c>
      <c r="L2712" s="24">
        <v>216</v>
      </c>
      <c r="M2712" s="23"/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>
        <v>36</v>
      </c>
      <c r="Z2712" s="23"/>
      <c r="AA2712" s="23"/>
      <c r="AB2712" s="23"/>
      <c r="AC2712" s="23"/>
      <c r="AD2712" s="23"/>
      <c r="AE2712" s="23"/>
      <c r="AF2712" s="23">
        <v>33</v>
      </c>
      <c r="AG2712" s="23"/>
      <c r="AH2712" s="23"/>
      <c r="AI2712" s="23"/>
      <c r="AJ2712" s="23"/>
      <c r="AK2712" s="23"/>
      <c r="AL2712" s="23"/>
      <c r="AM2712" s="23">
        <v>3</v>
      </c>
      <c r="AN2712" s="23"/>
      <c r="AO2712" s="23"/>
      <c r="AP2712" s="23"/>
      <c r="AQ2712" s="23">
        <v>36</v>
      </c>
      <c r="AR2712" s="23"/>
      <c r="AS2712" s="23"/>
      <c r="AT2712" s="23"/>
      <c r="AU2712" s="14" t="str">
        <f>HYPERLINK("http://www.openstreetmap.org/?mlat=36.6717&amp;mlon=43.6104&amp;zoom=12#map=12/36.6717/43.6104","Maplink1")</f>
        <v>Maplink1</v>
      </c>
      <c r="AV2712" s="14" t="str">
        <f>HYPERLINK("https://www.google.iq/maps/search/+36.6717,43.6104/@36.6717,43.6104,14z?hl=en","Maplink2")</f>
        <v>Maplink2</v>
      </c>
      <c r="AW2712" s="14" t="str">
        <f>HYPERLINK("http://www.bing.com/maps/?lvl=14&amp;sty=h&amp;cp=36.6717~43.6104&amp;sp=point.36.6717_43.6104_Khalilkan","Maplink3")</f>
        <v>Maplink3</v>
      </c>
    </row>
    <row r="2713" spans="1:49" ht="15" customHeight="1" x14ac:dyDescent="0.25">
      <c r="A2713" s="21">
        <v>17293</v>
      </c>
      <c r="B2713" s="22" t="s">
        <v>21</v>
      </c>
      <c r="C2713" s="22" t="s">
        <v>5196</v>
      </c>
      <c r="D2713" s="22" t="s">
        <v>5239</v>
      </c>
      <c r="E2713" s="22" t="s">
        <v>5240</v>
      </c>
      <c r="F2713" s="22">
        <v>36.545476999999998</v>
      </c>
      <c r="G2713" s="22">
        <v>43.620634000000003</v>
      </c>
      <c r="H2713" s="21" t="s">
        <v>5198</v>
      </c>
      <c r="I2713" s="21" t="s">
        <v>5199</v>
      </c>
      <c r="J2713" s="21" t="s">
        <v>5241</v>
      </c>
      <c r="K2713" s="24">
        <v>7</v>
      </c>
      <c r="L2713" s="24">
        <v>42</v>
      </c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7</v>
      </c>
      <c r="Z2713" s="23"/>
      <c r="AA2713" s="23"/>
      <c r="AB2713" s="23"/>
      <c r="AC2713" s="23"/>
      <c r="AD2713" s="23"/>
      <c r="AE2713" s="23"/>
      <c r="AF2713" s="23">
        <v>7</v>
      </c>
      <c r="AG2713" s="23"/>
      <c r="AH2713" s="23"/>
      <c r="AI2713" s="23"/>
      <c r="AJ2713" s="23"/>
      <c r="AK2713" s="23"/>
      <c r="AL2713" s="23"/>
      <c r="AM2713" s="23"/>
      <c r="AN2713" s="23"/>
      <c r="AO2713" s="23"/>
      <c r="AP2713" s="23">
        <v>5</v>
      </c>
      <c r="AQ2713" s="23">
        <v>2</v>
      </c>
      <c r="AR2713" s="23"/>
      <c r="AS2713" s="23"/>
      <c r="AT2713" s="23"/>
      <c r="AU2713" s="14" t="str">
        <f>HYPERLINK("http://www.openstreetmap.org/?mlat=36.5455&amp;mlon=43.6206&amp;zoom=12#map=12/36.5455/43.6206","Maplink1")</f>
        <v>Maplink1</v>
      </c>
      <c r="AV2713" s="14" t="str">
        <f>HYPERLINK("https://www.google.iq/maps/search/+36.5455,43.6206/@36.5455,43.6206,14z?hl=en","Maplink2")</f>
        <v>Maplink2</v>
      </c>
      <c r="AW2713" s="14" t="str">
        <f>HYPERLINK("http://www.bing.com/maps/?lvl=14&amp;sty=h&amp;cp=36.5455~43.6206&amp;sp=point.36.5455_43.6206_Mam Wa Zina","Maplink3")</f>
        <v>Maplink3</v>
      </c>
    </row>
    <row r="2714" spans="1:49" ht="15" customHeight="1" x14ac:dyDescent="0.25">
      <c r="A2714" s="21">
        <v>17272</v>
      </c>
      <c r="B2714" s="22" t="s">
        <v>21</v>
      </c>
      <c r="C2714" s="22" t="s">
        <v>5196</v>
      </c>
      <c r="D2714" s="22" t="s">
        <v>8983</v>
      </c>
      <c r="E2714" s="22" t="s">
        <v>5237</v>
      </c>
      <c r="F2714" s="22">
        <v>36.689225</v>
      </c>
      <c r="G2714" s="22">
        <v>43.799573000000002</v>
      </c>
      <c r="H2714" s="21" t="s">
        <v>5198</v>
      </c>
      <c r="I2714" s="21" t="s">
        <v>5199</v>
      </c>
      <c r="J2714" s="21" t="s">
        <v>5238</v>
      </c>
      <c r="K2714" s="24">
        <v>1883</v>
      </c>
      <c r="L2714" s="24">
        <v>11298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1883</v>
      </c>
      <c r="Z2714" s="23"/>
      <c r="AA2714" s="23"/>
      <c r="AB2714" s="23"/>
      <c r="AC2714" s="23"/>
      <c r="AD2714" s="23"/>
      <c r="AE2714" s="23">
        <v>1883</v>
      </c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>
        <v>1883</v>
      </c>
      <c r="AR2714" s="23"/>
      <c r="AS2714" s="23"/>
      <c r="AT2714" s="23"/>
      <c r="AU2714" s="14" t="str">
        <f>HYPERLINK("http://www.openstreetmap.org/?mlat=36.6892&amp;mlon=43.7996&amp;zoom=12#map=12/36.6892/43.7996","Maplink1")</f>
        <v>Maplink1</v>
      </c>
      <c r="AV2714" s="14" t="str">
        <f>HYPERLINK("https://www.google.iq/maps/search/+36.6892,43.7996/@36.6892,43.7996,14z?hl=en","Maplink2")</f>
        <v>Maplink2</v>
      </c>
      <c r="AW2714" s="14" t="str">
        <f>HYPERLINK("http://www.bing.com/maps/?lvl=14&amp;sty=h&amp;cp=36.6892~43.7996&amp;sp=point.36.6892_43.7996_Mam el yan camp","Maplink3")</f>
        <v>Maplink3</v>
      </c>
    </row>
    <row r="2715" spans="1:49" ht="15" customHeight="1" x14ac:dyDescent="0.25">
      <c r="A2715" s="21">
        <v>24580</v>
      </c>
      <c r="B2715" s="22" t="s">
        <v>21</v>
      </c>
      <c r="C2715" s="22" t="s">
        <v>5196</v>
      </c>
      <c r="D2715" s="22" t="s">
        <v>5242</v>
      </c>
      <c r="E2715" s="22" t="s">
        <v>5243</v>
      </c>
      <c r="F2715" s="22">
        <v>36.623052999999999</v>
      </c>
      <c r="G2715" s="22">
        <v>43.700668999999998</v>
      </c>
      <c r="H2715" s="21" t="s">
        <v>5198</v>
      </c>
      <c r="I2715" s="21" t="s">
        <v>5199</v>
      </c>
      <c r="J2715" s="21"/>
      <c r="K2715" s="24">
        <v>1013</v>
      </c>
      <c r="L2715" s="24">
        <v>6078</v>
      </c>
      <c r="M2715" s="23"/>
      <c r="N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>
        <v>1013</v>
      </c>
      <c r="Z2715" s="23"/>
      <c r="AA2715" s="23"/>
      <c r="AB2715" s="23"/>
      <c r="AC2715" s="23"/>
      <c r="AD2715" s="23"/>
      <c r="AE2715" s="23"/>
      <c r="AF2715" s="23">
        <v>376</v>
      </c>
      <c r="AG2715" s="23"/>
      <c r="AH2715" s="23"/>
      <c r="AI2715" s="23"/>
      <c r="AJ2715" s="23"/>
      <c r="AK2715" s="23">
        <v>612</v>
      </c>
      <c r="AL2715" s="23"/>
      <c r="AM2715" s="23">
        <v>25</v>
      </c>
      <c r="AN2715" s="23"/>
      <c r="AO2715" s="23"/>
      <c r="AP2715" s="23">
        <v>675</v>
      </c>
      <c r="AQ2715" s="23">
        <v>338</v>
      </c>
      <c r="AR2715" s="23"/>
      <c r="AS2715" s="23"/>
      <c r="AT2715" s="23"/>
      <c r="AU2715" s="14" t="str">
        <f>HYPERLINK("http://www.openstreetmap.org/?mlat=36.6231&amp;mlon=43.7007&amp;zoom=12#map=12/36.6231/43.7007","Maplink1")</f>
        <v>Maplink1</v>
      </c>
      <c r="AV2715" s="14" t="str">
        <f>HYPERLINK("https://www.google.iq/maps/search/+36.6231,43.7007/@36.6231,43.7007,14z?hl=en","Maplink2")</f>
        <v>Maplink2</v>
      </c>
      <c r="AW2715" s="14" t="str">
        <f>HYPERLINK("http://www.bing.com/maps/?lvl=14&amp;sty=h&amp;cp=36.6231~43.7007&amp;sp=point.36.6231_43.7007_Roviya","Maplink3")</f>
        <v>Maplink3</v>
      </c>
    </row>
    <row r="2716" spans="1:49" ht="15" customHeight="1" x14ac:dyDescent="0.25">
      <c r="A2716" s="21">
        <v>29627</v>
      </c>
      <c r="B2716" s="22" t="s">
        <v>21</v>
      </c>
      <c r="C2716" s="22" t="s">
        <v>5196</v>
      </c>
      <c r="D2716" s="22" t="s">
        <v>8984</v>
      </c>
      <c r="E2716" s="22" t="s">
        <v>8985</v>
      </c>
      <c r="F2716" s="22">
        <v>36.640096999999997</v>
      </c>
      <c r="G2716" s="22">
        <v>43.710126000000002</v>
      </c>
      <c r="H2716" s="21" t="s">
        <v>5198</v>
      </c>
      <c r="I2716" s="21" t="s">
        <v>5199</v>
      </c>
      <c r="J2716" s="21"/>
      <c r="K2716" s="24">
        <v>93</v>
      </c>
      <c r="L2716" s="24">
        <v>558</v>
      </c>
      <c r="M2716" s="23"/>
      <c r="N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>
        <v>93</v>
      </c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>
        <v>93</v>
      </c>
      <c r="AL2716" s="23"/>
      <c r="AM2716" s="23"/>
      <c r="AN2716" s="23"/>
      <c r="AO2716" s="23"/>
      <c r="AP2716" s="23"/>
      <c r="AQ2716" s="23">
        <v>93</v>
      </c>
      <c r="AR2716" s="23"/>
      <c r="AS2716" s="23"/>
      <c r="AT2716" s="23"/>
      <c r="AU2716" s="14" t="str">
        <f>HYPERLINK("http://www.openstreetmap.org/?mlat=36.6401&amp;mlon=43.7101&amp;zoom=12#map=12/36.6401/43.7101","Maplink1")</f>
        <v>Maplink1</v>
      </c>
      <c r="AV2716" s="14" t="str">
        <f>HYPERLINK("https://www.google.iq/maps/search/+36.6401,43.7101/@36.6401,43.7101,14z?hl=en","Maplink2")</f>
        <v>Maplink2</v>
      </c>
      <c r="AW2716" s="14" t="str">
        <f>HYPERLINK("http://www.bing.com/maps/?lvl=14&amp;sty=h&amp;cp=36.6401~43.7101&amp;sp=point.36.6401_43.7101","Maplink3")</f>
        <v>Maplink3</v>
      </c>
    </row>
    <row r="2717" spans="1:49" ht="15" customHeight="1" x14ac:dyDescent="0.25">
      <c r="A2717" s="21">
        <v>8780</v>
      </c>
      <c r="B2717" s="22" t="s">
        <v>21</v>
      </c>
      <c r="C2717" s="22" t="s">
        <v>5196</v>
      </c>
      <c r="D2717" s="22" t="s">
        <v>8283</v>
      </c>
      <c r="E2717" s="22" t="s">
        <v>8284</v>
      </c>
      <c r="F2717" s="22">
        <v>36.490502999999997</v>
      </c>
      <c r="G2717" s="22">
        <v>43.663181000000002</v>
      </c>
      <c r="H2717" s="21" t="s">
        <v>5198</v>
      </c>
      <c r="I2717" s="21" t="s">
        <v>5199</v>
      </c>
      <c r="J2717" s="21" t="s">
        <v>8285</v>
      </c>
      <c r="K2717" s="24">
        <v>60</v>
      </c>
      <c r="L2717" s="24">
        <v>360</v>
      </c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60</v>
      </c>
      <c r="Z2717" s="23"/>
      <c r="AA2717" s="23"/>
      <c r="AB2717" s="23"/>
      <c r="AC2717" s="23"/>
      <c r="AD2717" s="23"/>
      <c r="AE2717" s="23"/>
      <c r="AF2717" s="23">
        <v>55</v>
      </c>
      <c r="AG2717" s="23"/>
      <c r="AH2717" s="23"/>
      <c r="AI2717" s="23"/>
      <c r="AJ2717" s="23"/>
      <c r="AK2717" s="23">
        <v>2</v>
      </c>
      <c r="AL2717" s="23">
        <v>3</v>
      </c>
      <c r="AM2717" s="23"/>
      <c r="AN2717" s="23"/>
      <c r="AO2717" s="23"/>
      <c r="AP2717" s="23">
        <v>20</v>
      </c>
      <c r="AQ2717" s="23">
        <v>40</v>
      </c>
      <c r="AR2717" s="23"/>
      <c r="AS2717" s="23"/>
      <c r="AT2717" s="23"/>
      <c r="AU2717" s="14" t="str">
        <f>HYPERLINK("http://www.openstreetmap.org/?mlat=36.4905&amp;mlon=43.6632&amp;zoom=12#map=12/36.4905/43.6632","Maplink1")</f>
        <v>Maplink1</v>
      </c>
      <c r="AV2717" s="14" t="str">
        <f>HYPERLINK("https://www.google.iq/maps/search/+36.4905,43.6632/@36.4905,43.6632,14z?hl=en","Maplink2")</f>
        <v>Maplink2</v>
      </c>
      <c r="AW2717" s="14" t="str">
        <f>HYPERLINK("http://www.bing.com/maps/?lvl=14&amp;sty=h&amp;cp=36.4905~43.6632&amp;sp=point.36.4905_43.6632","Maplink3")</f>
        <v>Maplink3</v>
      </c>
    </row>
    <row r="2718" spans="1:49" ht="15" customHeight="1" x14ac:dyDescent="0.25">
      <c r="A2718" s="21">
        <v>18162</v>
      </c>
      <c r="B2718" s="22" t="s">
        <v>21</v>
      </c>
      <c r="C2718" s="22" t="s">
        <v>5196</v>
      </c>
      <c r="D2718" s="22" t="s">
        <v>5244</v>
      </c>
      <c r="E2718" s="22" t="s">
        <v>8986</v>
      </c>
      <c r="F2718" s="22">
        <v>36.153486000000001</v>
      </c>
      <c r="G2718" s="22">
        <v>43.571137</v>
      </c>
      <c r="H2718" s="21" t="s">
        <v>5198</v>
      </c>
      <c r="I2718" s="21" t="s">
        <v>5199</v>
      </c>
      <c r="J2718" s="21" t="s">
        <v>5245</v>
      </c>
      <c r="K2718" s="24">
        <v>17</v>
      </c>
      <c r="L2718" s="24">
        <v>102</v>
      </c>
      <c r="M2718" s="23"/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17</v>
      </c>
      <c r="Z2718" s="23"/>
      <c r="AA2718" s="23"/>
      <c r="AB2718" s="23"/>
      <c r="AC2718" s="23"/>
      <c r="AD2718" s="23"/>
      <c r="AE2718" s="23"/>
      <c r="AF2718" s="23">
        <v>2</v>
      </c>
      <c r="AG2718" s="23"/>
      <c r="AH2718" s="23"/>
      <c r="AI2718" s="23"/>
      <c r="AJ2718" s="23"/>
      <c r="AK2718" s="23">
        <v>6</v>
      </c>
      <c r="AL2718" s="23"/>
      <c r="AM2718" s="23">
        <v>9</v>
      </c>
      <c r="AN2718" s="23"/>
      <c r="AO2718" s="23"/>
      <c r="AP2718" s="23">
        <v>2</v>
      </c>
      <c r="AQ2718" s="23">
        <v>15</v>
      </c>
      <c r="AR2718" s="23"/>
      <c r="AS2718" s="23"/>
      <c r="AT2718" s="23"/>
      <c r="AU2718" s="14" t="str">
        <f>HYPERLINK("http://www.openstreetmap.org/?mlat=36.1535&amp;mlon=43.5711&amp;zoom=12#map=12/36.1535/43.5711","Maplink1")</f>
        <v>Maplink1</v>
      </c>
      <c r="AV2718" s="14" t="str">
        <f>HYPERLINK("https://www.google.iq/maps/search/+36.1535,43.5711/@36.1535,43.5711,14z?hl=en","Maplink2")</f>
        <v>Maplink2</v>
      </c>
      <c r="AW2718" s="14" t="str">
        <f>HYPERLINK("http://www.bing.com/maps/?lvl=14&amp;sty=h&amp;cp=36.1535~43.5711&amp;sp=point.36.1535_43.5711_Zawi Rash","Maplink3")</f>
        <v>Maplink3</v>
      </c>
    </row>
    <row r="2719" spans="1:49" ht="15" customHeight="1" x14ac:dyDescent="0.25">
      <c r="A2719" s="21">
        <v>17147</v>
      </c>
      <c r="B2719" s="22" t="s">
        <v>21</v>
      </c>
      <c r="C2719" s="22" t="s">
        <v>5196</v>
      </c>
      <c r="D2719" s="22" t="s">
        <v>5246</v>
      </c>
      <c r="E2719" s="22" t="s">
        <v>5247</v>
      </c>
      <c r="F2719" s="22">
        <v>36.493577999999999</v>
      </c>
      <c r="G2719" s="22">
        <v>43.624358000000001</v>
      </c>
      <c r="H2719" s="21" t="s">
        <v>5198</v>
      </c>
      <c r="I2719" s="21" t="s">
        <v>5199</v>
      </c>
      <c r="J2719" s="21" t="s">
        <v>5248</v>
      </c>
      <c r="K2719" s="24">
        <v>49</v>
      </c>
      <c r="L2719" s="24">
        <v>294</v>
      </c>
      <c r="M2719" s="23"/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49</v>
      </c>
      <c r="Z2719" s="23"/>
      <c r="AA2719" s="23"/>
      <c r="AB2719" s="23"/>
      <c r="AC2719" s="23"/>
      <c r="AD2719" s="23"/>
      <c r="AE2719" s="23"/>
      <c r="AF2719" s="23">
        <v>30</v>
      </c>
      <c r="AG2719" s="23"/>
      <c r="AH2719" s="23"/>
      <c r="AI2719" s="23"/>
      <c r="AJ2719" s="23"/>
      <c r="AK2719" s="23">
        <v>9</v>
      </c>
      <c r="AL2719" s="23"/>
      <c r="AM2719" s="23">
        <v>10</v>
      </c>
      <c r="AN2719" s="23"/>
      <c r="AO2719" s="23"/>
      <c r="AP2719" s="23">
        <v>9</v>
      </c>
      <c r="AQ2719" s="23">
        <v>40</v>
      </c>
      <c r="AR2719" s="23"/>
      <c r="AS2719" s="23"/>
      <c r="AT2719" s="23"/>
      <c r="AU2719" s="14" t="str">
        <f>HYPERLINK("http://www.openstreetmap.org/?mlat=36.4936&amp;mlon=43.6244&amp;zoom=12#map=12/36.4936/43.6244","Maplink1")</f>
        <v>Maplink1</v>
      </c>
      <c r="AV2719" s="14" t="str">
        <f>HYPERLINK("https://www.google.iq/maps/search/+36.4936,43.6244/@36.4936,43.6244,14z?hl=en","Maplink2")</f>
        <v>Maplink2</v>
      </c>
      <c r="AW2719" s="14" t="str">
        <f>HYPERLINK("http://www.bing.com/maps/?lvl=14&amp;sty=h&amp;cp=36.4936~43.6244&amp;sp=point.36.4936_43.6244_Zimzimuk","Maplink3")</f>
        <v>Maplink3</v>
      </c>
    </row>
    <row r="2720" spans="1:49" ht="15" customHeight="1" x14ac:dyDescent="0.25">
      <c r="A2720" s="21">
        <v>17976</v>
      </c>
      <c r="B2720" s="22" t="s">
        <v>21</v>
      </c>
      <c r="C2720" s="22" t="s">
        <v>5249</v>
      </c>
      <c r="D2720" s="22" t="s">
        <v>5250</v>
      </c>
      <c r="E2720" s="22" t="s">
        <v>5251</v>
      </c>
      <c r="F2720" s="22">
        <v>36.299999999999997</v>
      </c>
      <c r="G2720" s="22">
        <v>43.19</v>
      </c>
      <c r="H2720" s="21" t="s">
        <v>5198</v>
      </c>
      <c r="I2720" s="21" t="s">
        <v>5252</v>
      </c>
      <c r="J2720" s="21" t="s">
        <v>5253</v>
      </c>
      <c r="K2720" s="24">
        <v>33</v>
      </c>
      <c r="L2720" s="24">
        <v>198</v>
      </c>
      <c r="M2720" s="23"/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33</v>
      </c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>
        <v>13</v>
      </c>
      <c r="AK2720" s="23"/>
      <c r="AL2720" s="23"/>
      <c r="AM2720" s="23">
        <v>20</v>
      </c>
      <c r="AN2720" s="23"/>
      <c r="AO2720" s="23"/>
      <c r="AP2720" s="23"/>
      <c r="AQ2720" s="23"/>
      <c r="AR2720" s="23">
        <v>33</v>
      </c>
      <c r="AS2720" s="23"/>
      <c r="AT2720" s="23"/>
      <c r="AU2720" s="14" t="str">
        <f>HYPERLINK("http://www.openstreetmap.org/?mlat=36.3&amp;mlon=43.19&amp;zoom=12#map=12/36.3/43.19","Maplink1")</f>
        <v>Maplink1</v>
      </c>
      <c r="AV2720" s="14" t="str">
        <f>HYPERLINK("https://www.google.iq/maps/search/+36.3,43.19/@36.3,43.19,14z?hl=en","Maplink2")</f>
        <v>Maplink2</v>
      </c>
      <c r="AW2720" s="14" t="str">
        <f>HYPERLINK("http://www.bing.com/maps/?lvl=14&amp;sty=h&amp;cp=36.3~43.19&amp;sp=point.36.3_43.19_Yarimjah","Maplink3")</f>
        <v>Maplink3</v>
      </c>
    </row>
    <row r="2721" spans="1:49" ht="15" customHeight="1" x14ac:dyDescent="0.25">
      <c r="A2721" s="21">
        <v>18251</v>
      </c>
      <c r="B2721" s="22" t="s">
        <v>21</v>
      </c>
      <c r="C2721" s="22" t="s">
        <v>5254</v>
      </c>
      <c r="D2721" s="22" t="s">
        <v>8286</v>
      </c>
      <c r="E2721" s="22" t="s">
        <v>8287</v>
      </c>
      <c r="F2721" s="22">
        <v>36.663983000000002</v>
      </c>
      <c r="G2721" s="22">
        <v>43.26858</v>
      </c>
      <c r="H2721" s="21" t="s">
        <v>5198</v>
      </c>
      <c r="I2721" s="21" t="s">
        <v>5257</v>
      </c>
      <c r="J2721" s="21" t="s">
        <v>8288</v>
      </c>
      <c r="K2721" s="24">
        <v>36</v>
      </c>
      <c r="L2721" s="24">
        <v>216</v>
      </c>
      <c r="M2721" s="23"/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36</v>
      </c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>
        <v>36</v>
      </c>
      <c r="AN2721" s="23"/>
      <c r="AO2721" s="23"/>
      <c r="AP2721" s="23"/>
      <c r="AQ2721" s="23">
        <v>36</v>
      </c>
      <c r="AR2721" s="23"/>
      <c r="AS2721" s="23"/>
      <c r="AT2721" s="23"/>
      <c r="AU2721" s="14" t="str">
        <f>HYPERLINK("http://www.openstreetmap.org/?mlat=36.664&amp;mlon=43.2686&amp;zoom=12#map=12/36.664/43.2686","Maplink1")</f>
        <v>Maplink1</v>
      </c>
      <c r="AV2721" s="14" t="str">
        <f>HYPERLINK("https://www.google.iq/maps/search/+36.664,43.2686/@36.664,43.2686,14z?hl=en","Maplink2")</f>
        <v>Maplink2</v>
      </c>
      <c r="AW2721" s="14" t="str">
        <f>HYPERLINK("http://www.bing.com/maps/?lvl=14&amp;sty=h&amp;cp=36.664~43.2686&amp;sp=point.36.664_43.2686","Maplink3")</f>
        <v>Maplink3</v>
      </c>
    </row>
    <row r="2722" spans="1:49" ht="15" customHeight="1" x14ac:dyDescent="0.25">
      <c r="A2722" s="21">
        <v>17338</v>
      </c>
      <c r="B2722" s="22" t="s">
        <v>21</v>
      </c>
      <c r="C2722" s="22" t="s">
        <v>5254</v>
      </c>
      <c r="D2722" s="22" t="s">
        <v>5255</v>
      </c>
      <c r="E2722" s="22" t="s">
        <v>5256</v>
      </c>
      <c r="F2722" s="22">
        <v>36.83</v>
      </c>
      <c r="G2722" s="22">
        <v>43.32</v>
      </c>
      <c r="H2722" s="21" t="s">
        <v>5198</v>
      </c>
      <c r="I2722" s="21" t="s">
        <v>5257</v>
      </c>
      <c r="J2722" s="21" t="s">
        <v>5258</v>
      </c>
      <c r="K2722" s="24">
        <v>215</v>
      </c>
      <c r="L2722" s="24">
        <v>1290</v>
      </c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215</v>
      </c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>
        <v>29</v>
      </c>
      <c r="AL2722" s="23"/>
      <c r="AM2722" s="23">
        <v>186</v>
      </c>
      <c r="AN2722" s="23"/>
      <c r="AO2722" s="23"/>
      <c r="AP2722" s="23">
        <v>55</v>
      </c>
      <c r="AQ2722" s="23">
        <v>160</v>
      </c>
      <c r="AR2722" s="23"/>
      <c r="AS2722" s="23"/>
      <c r="AT2722" s="23"/>
      <c r="AU2722" s="14" t="str">
        <f>HYPERLINK("http://www.openstreetmap.org/?mlat=36.83&amp;mlon=43.32&amp;zoom=12#map=12/36.83/43.32","Maplink1")</f>
        <v>Maplink1</v>
      </c>
      <c r="AV2722" s="14" t="str">
        <f>HYPERLINK("https://www.google.iq/maps/search/+36.83,43.32/@36.83,43.32,14z?hl=en","Maplink2")</f>
        <v>Maplink2</v>
      </c>
      <c r="AW2722" s="14" t="str">
        <f>HYPERLINK("http://www.bing.com/maps/?lvl=14&amp;sty=h&amp;cp=36.83~43.32&amp;sp=point.36.83_43.32_Atrush","Maplink3")</f>
        <v>Maplink3</v>
      </c>
    </row>
    <row r="2723" spans="1:49" ht="15" customHeight="1" x14ac:dyDescent="0.25">
      <c r="A2723" s="21">
        <v>17752</v>
      </c>
      <c r="B2723" s="22" t="s">
        <v>21</v>
      </c>
      <c r="C2723" s="22" t="s">
        <v>5254</v>
      </c>
      <c r="D2723" s="22" t="s">
        <v>5259</v>
      </c>
      <c r="E2723" s="22" t="s">
        <v>5260</v>
      </c>
      <c r="F2723" s="22">
        <v>36.72</v>
      </c>
      <c r="G2723" s="22">
        <v>43.24</v>
      </c>
      <c r="H2723" s="21" t="s">
        <v>5198</v>
      </c>
      <c r="I2723" s="21" t="s">
        <v>5257</v>
      </c>
      <c r="J2723" s="21" t="s">
        <v>5261</v>
      </c>
      <c r="K2723" s="24">
        <v>1151</v>
      </c>
      <c r="L2723" s="24">
        <v>6906</v>
      </c>
      <c r="M2723" s="23"/>
      <c r="N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>
        <v>1151</v>
      </c>
      <c r="Z2723" s="23"/>
      <c r="AA2723" s="23"/>
      <c r="AB2723" s="23"/>
      <c r="AC2723" s="23"/>
      <c r="AD2723" s="23"/>
      <c r="AE2723" s="23"/>
      <c r="AF2723" s="23">
        <v>130</v>
      </c>
      <c r="AG2723" s="23"/>
      <c r="AH2723" s="23"/>
      <c r="AI2723" s="23"/>
      <c r="AJ2723" s="23"/>
      <c r="AK2723" s="23">
        <v>277</v>
      </c>
      <c r="AL2723" s="23"/>
      <c r="AM2723" s="23">
        <v>744</v>
      </c>
      <c r="AN2723" s="23"/>
      <c r="AO2723" s="23"/>
      <c r="AP2723" s="23"/>
      <c r="AQ2723" s="23">
        <v>1146</v>
      </c>
      <c r="AR2723" s="23"/>
      <c r="AS2723" s="23">
        <v>5</v>
      </c>
      <c r="AT2723" s="23"/>
      <c r="AU2723" s="14" t="str">
        <f>HYPERLINK("http://www.openstreetmap.org/?mlat=36.72&amp;mlon=43.24&amp;zoom=12#map=12/36.72/43.24","Maplink1")</f>
        <v>Maplink1</v>
      </c>
      <c r="AV2723" s="14" t="str">
        <f>HYPERLINK("https://www.google.iq/maps/search/+36.72,43.24/@36.72,43.24,14z?hl=en","Maplink2")</f>
        <v>Maplink2</v>
      </c>
      <c r="AW2723" s="14" t="str">
        <f>HYPERLINK("http://www.bing.com/maps/?lvl=14&amp;sty=h&amp;cp=36.72~43.24&amp;sp=point.36.72_43.24_Baadre","Maplink3")</f>
        <v>Maplink3</v>
      </c>
    </row>
    <row r="2724" spans="1:49" ht="15" customHeight="1" x14ac:dyDescent="0.25">
      <c r="A2724" s="21">
        <v>26071</v>
      </c>
      <c r="B2724" s="22" t="s">
        <v>21</v>
      </c>
      <c r="C2724" s="22" t="s">
        <v>5254</v>
      </c>
      <c r="D2724" s="22" t="s">
        <v>5262</v>
      </c>
      <c r="E2724" s="22" t="s">
        <v>5263</v>
      </c>
      <c r="F2724" s="22">
        <v>36.694251000000001</v>
      </c>
      <c r="G2724" s="22">
        <v>43.553401999999998</v>
      </c>
      <c r="H2724" s="21" t="s">
        <v>5198</v>
      </c>
      <c r="I2724" s="21" t="s">
        <v>5257</v>
      </c>
      <c r="J2724" s="21"/>
      <c r="K2724" s="24">
        <v>118</v>
      </c>
      <c r="L2724" s="24">
        <v>708</v>
      </c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118</v>
      </c>
      <c r="Z2724" s="23"/>
      <c r="AA2724" s="23"/>
      <c r="AB2724" s="23"/>
      <c r="AC2724" s="23"/>
      <c r="AD2724" s="23"/>
      <c r="AE2724" s="23"/>
      <c r="AF2724" s="23">
        <v>110</v>
      </c>
      <c r="AG2724" s="23"/>
      <c r="AH2724" s="23"/>
      <c r="AI2724" s="23"/>
      <c r="AJ2724" s="23"/>
      <c r="AK2724" s="23">
        <v>8</v>
      </c>
      <c r="AL2724" s="23"/>
      <c r="AM2724" s="23"/>
      <c r="AN2724" s="23"/>
      <c r="AO2724" s="23"/>
      <c r="AP2724" s="23">
        <v>4</v>
      </c>
      <c r="AQ2724" s="23">
        <v>114</v>
      </c>
      <c r="AR2724" s="23"/>
      <c r="AS2724" s="23"/>
      <c r="AT2724" s="23"/>
      <c r="AU2724" s="14" t="str">
        <f>HYPERLINK("http://www.openstreetmap.org/?mlat=36.6943&amp;mlon=43.5534&amp;zoom=12#map=12/36.6943/43.5534","Maplink1")</f>
        <v>Maplink1</v>
      </c>
      <c r="AV2724" s="14" t="str">
        <f>HYPERLINK("https://www.google.iq/maps/search/+36.6943,43.5534/@36.6943,43.5534,14z?hl=en","Maplink2")</f>
        <v>Maplink2</v>
      </c>
      <c r="AW2724" s="14" t="str">
        <f>HYPERLINK("http://www.bing.com/maps/?lvl=14&amp;sty=h&amp;cp=36.6943~43.5534&amp;sp=point.36.6943_43.5534_Bajle","Maplink3")</f>
        <v>Maplink3</v>
      </c>
    </row>
    <row r="2725" spans="1:49" ht="15" customHeight="1" x14ac:dyDescent="0.25">
      <c r="A2725" s="21">
        <v>18294</v>
      </c>
      <c r="B2725" s="22" t="s">
        <v>21</v>
      </c>
      <c r="C2725" s="22" t="s">
        <v>5254</v>
      </c>
      <c r="D2725" s="22" t="s">
        <v>8203</v>
      </c>
      <c r="E2725" s="22" t="s">
        <v>8204</v>
      </c>
      <c r="F2725" s="22">
        <v>36.703800000000001</v>
      </c>
      <c r="G2725" s="22">
        <v>43.322290000000002</v>
      </c>
      <c r="H2725" s="21" t="s">
        <v>5198</v>
      </c>
      <c r="I2725" s="21" t="s">
        <v>5257</v>
      </c>
      <c r="J2725" s="21" t="s">
        <v>5264</v>
      </c>
      <c r="K2725" s="24">
        <v>100</v>
      </c>
      <c r="L2725" s="24">
        <v>600</v>
      </c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100</v>
      </c>
      <c r="Z2725" s="23"/>
      <c r="AA2725" s="23"/>
      <c r="AB2725" s="23"/>
      <c r="AC2725" s="23"/>
      <c r="AD2725" s="23"/>
      <c r="AE2725" s="23"/>
      <c r="AF2725" s="23">
        <v>24</v>
      </c>
      <c r="AG2725" s="23"/>
      <c r="AH2725" s="23"/>
      <c r="AI2725" s="23"/>
      <c r="AJ2725" s="23"/>
      <c r="AK2725" s="23">
        <v>1</v>
      </c>
      <c r="AL2725" s="23"/>
      <c r="AM2725" s="23">
        <v>75</v>
      </c>
      <c r="AN2725" s="23"/>
      <c r="AO2725" s="23"/>
      <c r="AP2725" s="23"/>
      <c r="AQ2725" s="23">
        <v>100</v>
      </c>
      <c r="AR2725" s="23"/>
      <c r="AS2725" s="23"/>
      <c r="AT2725" s="23"/>
      <c r="AU2725" s="14" t="str">
        <f>HYPERLINK("http://www.openstreetmap.org/?mlat=36.7038&amp;mlon=43.3223&amp;zoom=12#map=12/36.7038/43.3223","Maplink1")</f>
        <v>Maplink1</v>
      </c>
      <c r="AV2725" s="14" t="str">
        <f>HYPERLINK("https://www.google.iq/maps/search/+36.7038,43.3223/@36.7038,43.3223,14z?hl=en","Maplink2")</f>
        <v>Maplink2</v>
      </c>
      <c r="AW2725" s="14" t="str">
        <f>HYPERLINK("http://www.bing.com/maps/?lvl=14&amp;sty=h&amp;cp=36.7038~43.3223&amp;sp=point.36.7038_43.3223_Bersik","Maplink3")</f>
        <v>Maplink3</v>
      </c>
    </row>
    <row r="2726" spans="1:49" ht="15" customHeight="1" x14ac:dyDescent="0.25">
      <c r="A2726" s="21">
        <v>18265</v>
      </c>
      <c r="B2726" s="22" t="s">
        <v>21</v>
      </c>
      <c r="C2726" s="22" t="s">
        <v>5254</v>
      </c>
      <c r="D2726" s="22" t="s">
        <v>5265</v>
      </c>
      <c r="E2726" s="22" t="s">
        <v>5266</v>
      </c>
      <c r="F2726" s="22">
        <v>36.651333999999999</v>
      </c>
      <c r="G2726" s="22">
        <v>43.382523999999997</v>
      </c>
      <c r="H2726" s="21" t="s">
        <v>5198</v>
      </c>
      <c r="I2726" s="21" t="s">
        <v>5257</v>
      </c>
      <c r="J2726" s="21" t="s">
        <v>5267</v>
      </c>
      <c r="K2726" s="24">
        <v>97</v>
      </c>
      <c r="L2726" s="24">
        <v>582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97</v>
      </c>
      <c r="Z2726" s="23"/>
      <c r="AA2726" s="23"/>
      <c r="AB2726" s="23"/>
      <c r="AC2726" s="23"/>
      <c r="AD2726" s="23"/>
      <c r="AE2726" s="23"/>
      <c r="AF2726" s="23">
        <v>45</v>
      </c>
      <c r="AG2726" s="23"/>
      <c r="AH2726" s="23"/>
      <c r="AI2726" s="23"/>
      <c r="AJ2726" s="23">
        <v>11</v>
      </c>
      <c r="AK2726" s="23">
        <v>10</v>
      </c>
      <c r="AL2726" s="23"/>
      <c r="AM2726" s="23">
        <v>31</v>
      </c>
      <c r="AN2726" s="23"/>
      <c r="AO2726" s="23"/>
      <c r="AP2726" s="23"/>
      <c r="AQ2726" s="23">
        <v>97</v>
      </c>
      <c r="AR2726" s="23"/>
      <c r="AS2726" s="23"/>
      <c r="AT2726" s="23"/>
      <c r="AU2726" s="14" t="str">
        <f>HYPERLINK("http://www.openstreetmap.org/?mlat=36.6513&amp;mlon=43.3825&amp;zoom=12#map=12/36.6513/43.3825","Maplink1")</f>
        <v>Maplink1</v>
      </c>
      <c r="AV2726" s="14" t="str">
        <f>HYPERLINK("https://www.google.iq/maps/search/+36.6513,43.3825/@36.6513,43.3825,14z?hl=en","Maplink2")</f>
        <v>Maplink2</v>
      </c>
      <c r="AW2726" s="14" t="str">
        <f>HYPERLINK("http://www.bing.com/maps/?lvl=14&amp;sty=h&amp;cp=36.6513~43.3825&amp;sp=point.36.6513_43.3825_Betnar","Maplink3")</f>
        <v>Maplink3</v>
      </c>
    </row>
    <row r="2727" spans="1:49" ht="15" customHeight="1" x14ac:dyDescent="0.25">
      <c r="A2727" s="21">
        <v>29608</v>
      </c>
      <c r="B2727" s="22" t="s">
        <v>21</v>
      </c>
      <c r="C2727" s="22" t="s">
        <v>5254</v>
      </c>
      <c r="D2727" s="22" t="s">
        <v>8289</v>
      </c>
      <c r="E2727" s="22" t="s">
        <v>8290</v>
      </c>
      <c r="F2727" s="22">
        <v>36.823771999999998</v>
      </c>
      <c r="G2727" s="22">
        <v>43.332391999999999</v>
      </c>
      <c r="H2727" s="21" t="s">
        <v>5198</v>
      </c>
      <c r="I2727" s="21" t="s">
        <v>5257</v>
      </c>
      <c r="J2727" s="21"/>
      <c r="K2727" s="24">
        <v>30</v>
      </c>
      <c r="L2727" s="24">
        <v>180</v>
      </c>
      <c r="M2727" s="23"/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30</v>
      </c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>
        <v>30</v>
      </c>
      <c r="AN2727" s="23"/>
      <c r="AO2727" s="23"/>
      <c r="AP2727" s="23"/>
      <c r="AQ2727" s="23">
        <v>30</v>
      </c>
      <c r="AR2727" s="23"/>
      <c r="AS2727" s="23"/>
      <c r="AT2727" s="23"/>
      <c r="AU2727" s="14" t="str">
        <f>HYPERLINK("http://www.openstreetmap.org/?mlat=36.8238&amp;mlon=43.3324&amp;zoom=12#map=12/36.8238/43.3324","Maplink1")</f>
        <v>Maplink1</v>
      </c>
      <c r="AV2727" s="14" t="str">
        <f>HYPERLINK("https://www.google.iq/maps/search/+36.8238,43.3324/@36.8238,43.3324,14z?hl=en","Maplink2")</f>
        <v>Maplink2</v>
      </c>
      <c r="AW2727" s="14" t="str">
        <f>HYPERLINK("http://www.bing.com/maps/?lvl=14&amp;sty=h&amp;cp=36.8238~43.3324&amp;sp=point.36.8238_43.3324","Maplink3")</f>
        <v>Maplink3</v>
      </c>
    </row>
    <row r="2728" spans="1:49" ht="15" customHeight="1" x14ac:dyDescent="0.25">
      <c r="A2728" s="21">
        <v>21008</v>
      </c>
      <c r="B2728" s="22" t="s">
        <v>21</v>
      </c>
      <c r="C2728" s="22" t="s">
        <v>5254</v>
      </c>
      <c r="D2728" s="22" t="s">
        <v>5268</v>
      </c>
      <c r="E2728" s="22" t="s">
        <v>5269</v>
      </c>
      <c r="F2728" s="22">
        <v>36.636429999999997</v>
      </c>
      <c r="G2728" s="22">
        <v>43.52431</v>
      </c>
      <c r="H2728" s="21" t="s">
        <v>5198</v>
      </c>
      <c r="I2728" s="21" t="s">
        <v>5257</v>
      </c>
      <c r="J2728" s="21" t="s">
        <v>5270</v>
      </c>
      <c r="K2728" s="24">
        <v>287</v>
      </c>
      <c r="L2728" s="24">
        <v>1722</v>
      </c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287</v>
      </c>
      <c r="Z2728" s="23"/>
      <c r="AA2728" s="23"/>
      <c r="AB2728" s="23"/>
      <c r="AC2728" s="23"/>
      <c r="AD2728" s="23"/>
      <c r="AE2728" s="23"/>
      <c r="AF2728" s="23">
        <v>74</v>
      </c>
      <c r="AG2728" s="23"/>
      <c r="AH2728" s="23"/>
      <c r="AI2728" s="23"/>
      <c r="AJ2728" s="23"/>
      <c r="AK2728" s="23">
        <v>157</v>
      </c>
      <c r="AL2728" s="23"/>
      <c r="AM2728" s="23">
        <v>56</v>
      </c>
      <c r="AN2728" s="23"/>
      <c r="AO2728" s="23"/>
      <c r="AP2728" s="23">
        <v>141</v>
      </c>
      <c r="AQ2728" s="23">
        <v>146</v>
      </c>
      <c r="AR2728" s="23"/>
      <c r="AS2728" s="23"/>
      <c r="AT2728" s="23"/>
      <c r="AU2728" s="14" t="str">
        <f>HYPERLINK("http://www.openstreetmap.org/?mlat=36.6364&amp;mlon=43.5243&amp;zoom=12#map=12/36.6364/43.5243","Maplink1")</f>
        <v>Maplink1</v>
      </c>
      <c r="AV2728" s="14" t="str">
        <f>HYPERLINK("https://www.google.iq/maps/search/+36.6364,43.5243/@36.6364,43.5243,14z?hl=en","Maplink2")</f>
        <v>Maplink2</v>
      </c>
      <c r="AW2728" s="14" t="str">
        <f>HYPERLINK("http://www.bing.com/maps/?lvl=14&amp;sty=h&amp;cp=36.6364~43.5243&amp;sp=point.36.6364_43.5243_Chira","Maplink3")</f>
        <v>Maplink3</v>
      </c>
    </row>
    <row r="2729" spans="1:49" ht="15" customHeight="1" x14ac:dyDescent="0.25">
      <c r="A2729" s="21">
        <v>18246</v>
      </c>
      <c r="B2729" s="22" t="s">
        <v>21</v>
      </c>
      <c r="C2729" s="22" t="s">
        <v>5254</v>
      </c>
      <c r="D2729" s="22" t="s">
        <v>8291</v>
      </c>
      <c r="E2729" s="22" t="s">
        <v>8292</v>
      </c>
      <c r="F2729" s="22">
        <v>36.660516000000001</v>
      </c>
      <c r="G2729" s="22">
        <v>43.302072000000003</v>
      </c>
      <c r="H2729" s="21" t="s">
        <v>5198</v>
      </c>
      <c r="I2729" s="21" t="s">
        <v>5257</v>
      </c>
      <c r="J2729" s="21" t="s">
        <v>8293</v>
      </c>
      <c r="K2729" s="24">
        <v>10</v>
      </c>
      <c r="L2729" s="24">
        <v>60</v>
      </c>
      <c r="M2729" s="23"/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10</v>
      </c>
      <c r="Z2729" s="23"/>
      <c r="AA2729" s="23"/>
      <c r="AB2729" s="23"/>
      <c r="AC2729" s="23"/>
      <c r="AD2729" s="23"/>
      <c r="AE2729" s="23"/>
      <c r="AF2729" s="23">
        <v>6</v>
      </c>
      <c r="AG2729" s="23"/>
      <c r="AH2729" s="23"/>
      <c r="AI2729" s="23"/>
      <c r="AJ2729" s="23"/>
      <c r="AK2729" s="23"/>
      <c r="AL2729" s="23"/>
      <c r="AM2729" s="23">
        <v>4</v>
      </c>
      <c r="AN2729" s="23"/>
      <c r="AO2729" s="23"/>
      <c r="AP2729" s="23"/>
      <c r="AQ2729" s="23">
        <v>10</v>
      </c>
      <c r="AR2729" s="23"/>
      <c r="AS2729" s="23"/>
      <c r="AT2729" s="23"/>
      <c r="AU2729" s="14" t="str">
        <f>HYPERLINK("http://www.openstreetmap.org/?mlat=36.6605&amp;mlon=43.3021&amp;zoom=12#map=12/36.6605/43.3021","Maplink1")</f>
        <v>Maplink1</v>
      </c>
      <c r="AV2729" s="14" t="str">
        <f>HYPERLINK("https://www.google.iq/maps/search/+36.6605,43.3021/@36.6605,43.3021,14z?hl=en","Maplink2")</f>
        <v>Maplink2</v>
      </c>
      <c r="AW2729" s="14" t="str">
        <f>HYPERLINK("http://www.bing.com/maps/?lvl=14&amp;sty=h&amp;cp=36.6605~43.3021&amp;sp=point.36.6605_43.3021","Maplink3")</f>
        <v>Maplink3</v>
      </c>
    </row>
    <row r="2730" spans="1:49" ht="15" customHeight="1" x14ac:dyDescent="0.25">
      <c r="A2730" s="21">
        <v>24796</v>
      </c>
      <c r="B2730" s="22" t="s">
        <v>21</v>
      </c>
      <c r="C2730" s="22" t="s">
        <v>5254</v>
      </c>
      <c r="D2730" s="22" t="s">
        <v>8987</v>
      </c>
      <c r="E2730" s="22" t="s">
        <v>5273</v>
      </c>
      <c r="F2730" s="22">
        <v>36.722700000000003</v>
      </c>
      <c r="G2730" s="22">
        <v>43.267299999999999</v>
      </c>
      <c r="H2730" s="21" t="s">
        <v>5198</v>
      </c>
      <c r="I2730" s="21" t="s">
        <v>5257</v>
      </c>
      <c r="J2730" s="21"/>
      <c r="K2730" s="24">
        <v>2710</v>
      </c>
      <c r="L2730" s="24">
        <v>16260</v>
      </c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2710</v>
      </c>
      <c r="Z2730" s="23"/>
      <c r="AA2730" s="23"/>
      <c r="AB2730" s="23"/>
      <c r="AC2730" s="23"/>
      <c r="AD2730" s="23"/>
      <c r="AE2730" s="23">
        <v>2710</v>
      </c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>
        <v>2710</v>
      </c>
      <c r="AR2730" s="23"/>
      <c r="AS2730" s="23"/>
      <c r="AT2730" s="23"/>
      <c r="AU2730" s="14" t="str">
        <f>HYPERLINK("http://www.openstreetmap.org/?mlat=36.7227&amp;mlon=43.2673&amp;zoom=12#map=12/36.7227/43.2673","Maplink1")</f>
        <v>Maplink1</v>
      </c>
      <c r="AV2730" s="14" t="str">
        <f>HYPERLINK("https://www.google.iq/maps/search/+36.7227,43.2673/@36.7227,43.2673,14z?hl=en","Maplink2")</f>
        <v>Maplink2</v>
      </c>
      <c r="AW2730" s="14" t="str">
        <f>HYPERLINK("http://www.bing.com/maps/?lvl=14&amp;sty=h&amp;cp=36.7227~43.2673&amp;sp=point.36.7227_43.2673_Esyan Camp","Maplink3")</f>
        <v>Maplink3</v>
      </c>
    </row>
    <row r="2731" spans="1:49" ht="15" customHeight="1" x14ac:dyDescent="0.25">
      <c r="A2731" s="21">
        <v>25945</v>
      </c>
      <c r="B2731" s="22" t="s">
        <v>21</v>
      </c>
      <c r="C2731" s="22" t="s">
        <v>5254</v>
      </c>
      <c r="D2731" s="22" t="s">
        <v>5271</v>
      </c>
      <c r="E2731" s="22" t="s">
        <v>5272</v>
      </c>
      <c r="F2731" s="22">
        <v>36.716659999999997</v>
      </c>
      <c r="G2731" s="22">
        <v>43.289230000000003</v>
      </c>
      <c r="H2731" s="21" t="s">
        <v>5198</v>
      </c>
      <c r="I2731" s="21" t="s">
        <v>5257</v>
      </c>
      <c r="J2731" s="21"/>
      <c r="K2731" s="24">
        <v>288</v>
      </c>
      <c r="L2731" s="24">
        <v>1728</v>
      </c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288</v>
      </c>
      <c r="Z2731" s="23"/>
      <c r="AA2731" s="23"/>
      <c r="AB2731" s="23"/>
      <c r="AC2731" s="23"/>
      <c r="AD2731" s="23"/>
      <c r="AE2731" s="23"/>
      <c r="AF2731" s="23">
        <v>30</v>
      </c>
      <c r="AG2731" s="23"/>
      <c r="AH2731" s="23"/>
      <c r="AI2731" s="23"/>
      <c r="AJ2731" s="23"/>
      <c r="AK2731" s="23">
        <v>12</v>
      </c>
      <c r="AL2731" s="23"/>
      <c r="AM2731" s="23">
        <v>246</v>
      </c>
      <c r="AN2731" s="23"/>
      <c r="AO2731" s="23"/>
      <c r="AP2731" s="23"/>
      <c r="AQ2731" s="23">
        <v>288</v>
      </c>
      <c r="AR2731" s="23"/>
      <c r="AS2731" s="23"/>
      <c r="AT2731" s="23"/>
      <c r="AU2731" s="14" t="str">
        <f>HYPERLINK("http://www.openstreetmap.org/?mlat=36.7167&amp;mlon=43.2892&amp;zoom=12#map=12/36.7167/43.2892","Maplink1")</f>
        <v>Maplink1</v>
      </c>
      <c r="AV2731" s="14" t="str">
        <f>HYPERLINK("https://www.google.iq/maps/search/+36.7167,43.2892/@36.7167,43.2892,14z?hl=en","Maplink2")</f>
        <v>Maplink2</v>
      </c>
      <c r="AW2731" s="14" t="str">
        <f>HYPERLINK("http://www.bing.com/maps/?lvl=14&amp;sty=h&amp;cp=36.7167~43.2892&amp;sp=point.36.7167_43.2892_Esiyan Village","Maplink3")</f>
        <v>Maplink3</v>
      </c>
    </row>
    <row r="2732" spans="1:49" ht="15" customHeight="1" x14ac:dyDescent="0.25">
      <c r="A2732" s="21">
        <v>18058</v>
      </c>
      <c r="B2732" s="22" t="s">
        <v>21</v>
      </c>
      <c r="C2732" s="22" t="s">
        <v>5254</v>
      </c>
      <c r="D2732" s="22" t="s">
        <v>5276</v>
      </c>
      <c r="E2732" s="22" t="s">
        <v>5277</v>
      </c>
      <c r="F2732" s="22">
        <v>36.58</v>
      </c>
      <c r="G2732" s="22">
        <v>43.52</v>
      </c>
      <c r="H2732" s="21" t="s">
        <v>5198</v>
      </c>
      <c r="I2732" s="21" t="s">
        <v>5257</v>
      </c>
      <c r="J2732" s="21" t="s">
        <v>5278</v>
      </c>
      <c r="K2732" s="24">
        <v>1011</v>
      </c>
      <c r="L2732" s="24">
        <v>6066</v>
      </c>
      <c r="M2732" s="23">
        <v>4</v>
      </c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1007</v>
      </c>
      <c r="Z2732" s="23"/>
      <c r="AA2732" s="23"/>
      <c r="AB2732" s="23"/>
      <c r="AC2732" s="23"/>
      <c r="AD2732" s="23"/>
      <c r="AE2732" s="23"/>
      <c r="AF2732" s="23">
        <v>156</v>
      </c>
      <c r="AG2732" s="23"/>
      <c r="AH2732" s="23"/>
      <c r="AI2732" s="23"/>
      <c r="AJ2732" s="23"/>
      <c r="AK2732" s="23">
        <v>639</v>
      </c>
      <c r="AL2732" s="23">
        <v>3</v>
      </c>
      <c r="AM2732" s="23">
        <v>213</v>
      </c>
      <c r="AN2732" s="23"/>
      <c r="AO2732" s="23">
        <v>4</v>
      </c>
      <c r="AP2732" s="23">
        <v>419</v>
      </c>
      <c r="AQ2732" s="23">
        <v>584</v>
      </c>
      <c r="AR2732" s="23"/>
      <c r="AS2732" s="23"/>
      <c r="AT2732" s="23">
        <v>4</v>
      </c>
      <c r="AU2732" s="14" t="str">
        <f>HYPERLINK("http://www.openstreetmap.org/?mlat=36.58&amp;mlon=43.52&amp;zoom=12#map=12/36.58/43.52","Maplink1")</f>
        <v>Maplink1</v>
      </c>
      <c r="AV2732" s="14" t="str">
        <f>HYPERLINK("https://www.google.iq/maps/search/+36.58,43.52/@36.58,43.52,14z?hl=en","Maplink2")</f>
        <v>Maplink2</v>
      </c>
      <c r="AW2732" s="14" t="str">
        <f>HYPERLINK("http://www.bing.com/maps/?lvl=14&amp;sty=h&amp;cp=36.58~43.52&amp;sp=point.36.58_43.52_Kalakchi","Maplink3")</f>
        <v>Maplink3</v>
      </c>
    </row>
    <row r="2733" spans="1:49" ht="15" customHeight="1" x14ac:dyDescent="0.25">
      <c r="A2733" s="21">
        <v>18213</v>
      </c>
      <c r="B2733" s="22" t="s">
        <v>21</v>
      </c>
      <c r="C2733" s="22" t="s">
        <v>5254</v>
      </c>
      <c r="D2733" s="22" t="s">
        <v>8988</v>
      </c>
      <c r="E2733" s="22" t="s">
        <v>5274</v>
      </c>
      <c r="F2733" s="22">
        <v>36.770000000000003</v>
      </c>
      <c r="G2733" s="22">
        <v>43.3</v>
      </c>
      <c r="H2733" s="21" t="s">
        <v>5198</v>
      </c>
      <c r="I2733" s="21" t="s">
        <v>5257</v>
      </c>
      <c r="J2733" s="21" t="s">
        <v>5275</v>
      </c>
      <c r="K2733" s="24">
        <v>7</v>
      </c>
      <c r="L2733" s="24">
        <v>42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7</v>
      </c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>
        <v>7</v>
      </c>
      <c r="AK2733" s="23"/>
      <c r="AL2733" s="23"/>
      <c r="AM2733" s="23"/>
      <c r="AN2733" s="23"/>
      <c r="AO2733" s="23"/>
      <c r="AP2733" s="23"/>
      <c r="AQ2733" s="23">
        <v>7</v>
      </c>
      <c r="AR2733" s="23"/>
      <c r="AS2733" s="23"/>
      <c r="AT2733" s="23"/>
      <c r="AU2733" s="14" t="str">
        <f>HYPERLINK("http://www.openstreetmap.org/?mlat=36.77&amp;mlon=43.3&amp;zoom=12#map=12/36.77/43.3","Maplink1")</f>
        <v>Maplink1</v>
      </c>
      <c r="AV2733" s="14" t="str">
        <f>HYPERLINK("https://www.google.iq/maps/search/+36.77,43.3/@36.77,43.3,14z?hl=en","Maplink2")</f>
        <v>Maplink2</v>
      </c>
      <c r="AW2733" s="14" t="str">
        <f>HYPERLINK("http://www.bing.com/maps/?lvl=14&amp;sty=h&amp;cp=36.77~43.3&amp;sp=point.36.77_43.3_Galye Lalish","Maplink3")</f>
        <v>Maplink3</v>
      </c>
    </row>
    <row r="2734" spans="1:49" ht="15" customHeight="1" x14ac:dyDescent="0.25">
      <c r="A2734" s="21">
        <v>17535</v>
      </c>
      <c r="B2734" s="22" t="s">
        <v>21</v>
      </c>
      <c r="C2734" s="22" t="s">
        <v>5254</v>
      </c>
      <c r="D2734" s="22" t="s">
        <v>8989</v>
      </c>
      <c r="E2734" s="22" t="s">
        <v>5279</v>
      </c>
      <c r="F2734" s="22">
        <v>36.64</v>
      </c>
      <c r="G2734" s="22">
        <v>43.4</v>
      </c>
      <c r="H2734" s="21" t="s">
        <v>5198</v>
      </c>
      <c r="I2734" s="21" t="s">
        <v>5257</v>
      </c>
      <c r="J2734" s="21" t="s">
        <v>5280</v>
      </c>
      <c r="K2734" s="24">
        <v>860</v>
      </c>
      <c r="L2734" s="24">
        <v>5160</v>
      </c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860</v>
      </c>
      <c r="Z2734" s="23"/>
      <c r="AA2734" s="23"/>
      <c r="AB2734" s="23"/>
      <c r="AC2734" s="23"/>
      <c r="AD2734" s="23"/>
      <c r="AE2734" s="23"/>
      <c r="AF2734" s="23">
        <v>421</v>
      </c>
      <c r="AG2734" s="23"/>
      <c r="AH2734" s="23"/>
      <c r="AI2734" s="23"/>
      <c r="AJ2734" s="23">
        <v>52</v>
      </c>
      <c r="AK2734" s="23">
        <v>96</v>
      </c>
      <c r="AL2734" s="23"/>
      <c r="AM2734" s="23">
        <v>291</v>
      </c>
      <c r="AN2734" s="23"/>
      <c r="AO2734" s="23"/>
      <c r="AP2734" s="23"/>
      <c r="AQ2734" s="23">
        <v>860</v>
      </c>
      <c r="AR2734" s="23"/>
      <c r="AS2734" s="23"/>
      <c r="AT2734" s="23"/>
      <c r="AU2734" s="14" t="str">
        <f>HYPERLINK("http://www.openstreetmap.org/?mlat=36.64&amp;mlon=43.4&amp;zoom=12#map=12/36.64/43.4","Maplink1")</f>
        <v>Maplink1</v>
      </c>
      <c r="AV2734" s="14" t="str">
        <f>HYPERLINK("https://www.google.iq/maps/search/+36.64,43.4/@36.64,43.4,14z?hl=en","Maplink2")</f>
        <v>Maplink2</v>
      </c>
      <c r="AW2734" s="14" t="str">
        <f>HYPERLINK("http://www.bing.com/maps/?lvl=14&amp;sty=h&amp;cp=36.64~43.4&amp;sp=point.36.64_43.4_Mahd","Maplink3")</f>
        <v>Maplink3</v>
      </c>
    </row>
    <row r="2735" spans="1:49" ht="15" customHeight="1" x14ac:dyDescent="0.25">
      <c r="A2735" s="21">
        <v>27230</v>
      </c>
      <c r="B2735" s="22" t="s">
        <v>21</v>
      </c>
      <c r="C2735" s="22" t="s">
        <v>5254</v>
      </c>
      <c r="D2735" s="22" t="s">
        <v>5281</v>
      </c>
      <c r="E2735" s="22" t="s">
        <v>5282</v>
      </c>
      <c r="F2735" s="22">
        <v>36.672381999999999</v>
      </c>
      <c r="G2735" s="22">
        <v>43.434327000000003</v>
      </c>
      <c r="H2735" s="21"/>
      <c r="I2735" s="21"/>
      <c r="J2735" s="21"/>
      <c r="K2735" s="24">
        <v>1004</v>
      </c>
      <c r="L2735" s="24">
        <v>6024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1004</v>
      </c>
      <c r="Z2735" s="23"/>
      <c r="AA2735" s="23"/>
      <c r="AB2735" s="23"/>
      <c r="AC2735" s="23"/>
      <c r="AD2735" s="23"/>
      <c r="AE2735" s="23">
        <v>1004</v>
      </c>
      <c r="AF2735" s="23"/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>
        <v>1004</v>
      </c>
      <c r="AR2735" s="23"/>
      <c r="AS2735" s="23"/>
      <c r="AT2735" s="23"/>
      <c r="AU2735" s="14" t="str">
        <f>HYPERLINK("http://www.openstreetmap.org/?mlat=36.6724&amp;mlon=43.4343&amp;zoom=12#map=12/36.6724/43.4343","Maplink1")</f>
        <v>Maplink1</v>
      </c>
      <c r="AV2735" s="14" t="str">
        <f>HYPERLINK("https://www.google.iq/maps/search/+36.6724,43.4343/@36.6724,43.4343,14z?hl=en","Maplink2")</f>
        <v>Maplink2</v>
      </c>
      <c r="AW2735" s="14" t="str">
        <f>HYPERLINK("http://www.bing.com/maps/?lvl=14&amp;sty=h&amp;cp=36.6724~43.4343&amp;sp=point.36.6724_43.4343_Mam Rashan Camp","Maplink3")</f>
        <v>Maplink3</v>
      </c>
    </row>
    <row r="2736" spans="1:49" ht="15" customHeight="1" x14ac:dyDescent="0.25">
      <c r="A2736" s="21">
        <v>17532</v>
      </c>
      <c r="B2736" s="22" t="s">
        <v>21</v>
      </c>
      <c r="C2736" s="22" t="s">
        <v>5254</v>
      </c>
      <c r="D2736" s="22" t="s">
        <v>5283</v>
      </c>
      <c r="E2736" s="22" t="s">
        <v>5284</v>
      </c>
      <c r="F2736" s="22">
        <v>36.668098999999998</v>
      </c>
      <c r="G2736" s="22">
        <v>43.426116</v>
      </c>
      <c r="H2736" s="21" t="s">
        <v>5198</v>
      </c>
      <c r="I2736" s="21" t="s">
        <v>5257</v>
      </c>
      <c r="J2736" s="21" t="s">
        <v>5285</v>
      </c>
      <c r="K2736" s="24">
        <v>57</v>
      </c>
      <c r="L2736" s="24">
        <v>342</v>
      </c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57</v>
      </c>
      <c r="Z2736" s="23"/>
      <c r="AA2736" s="23"/>
      <c r="AB2736" s="23"/>
      <c r="AC2736" s="23"/>
      <c r="AD2736" s="23"/>
      <c r="AE2736" s="23"/>
      <c r="AF2736" s="23">
        <v>43</v>
      </c>
      <c r="AG2736" s="23"/>
      <c r="AH2736" s="23"/>
      <c r="AI2736" s="23"/>
      <c r="AJ2736" s="23"/>
      <c r="AK2736" s="23"/>
      <c r="AL2736" s="23"/>
      <c r="AM2736" s="23">
        <v>14</v>
      </c>
      <c r="AN2736" s="23"/>
      <c r="AO2736" s="23"/>
      <c r="AP2736" s="23"/>
      <c r="AQ2736" s="23">
        <v>57</v>
      </c>
      <c r="AR2736" s="23"/>
      <c r="AS2736" s="23"/>
      <c r="AT2736" s="23"/>
      <c r="AU2736" s="14" t="str">
        <f>HYPERLINK("http://www.openstreetmap.org/?mlat=36.6681&amp;mlon=43.4261&amp;zoom=12#map=12/36.6681/43.4261","Maplink1")</f>
        <v>Maplink1</v>
      </c>
      <c r="AV2736" s="14" t="str">
        <f>HYPERLINK("https://www.google.iq/maps/search/+36.6681,43.4261/@36.6681,43.4261,14z?hl=en","Maplink2")</f>
        <v>Maplink2</v>
      </c>
      <c r="AW2736" s="14" t="str">
        <f>HYPERLINK("http://www.bing.com/maps/?lvl=14&amp;sty=h&amp;cp=36.6681~43.4261&amp;sp=point.36.6681_43.4261_Mamrashan","Maplink3")</f>
        <v>Maplink3</v>
      </c>
    </row>
    <row r="2737" spans="1:49" ht="15" customHeight="1" x14ac:dyDescent="0.25">
      <c r="A2737" s="21">
        <v>16949</v>
      </c>
      <c r="B2737" s="22" t="s">
        <v>21</v>
      </c>
      <c r="C2737" s="22" t="s">
        <v>5254</v>
      </c>
      <c r="D2737" s="22" t="s">
        <v>8294</v>
      </c>
      <c r="E2737" s="22" t="s">
        <v>8295</v>
      </c>
      <c r="F2737" s="22">
        <v>36.804839999999999</v>
      </c>
      <c r="G2737" s="22">
        <v>43.511971000000003</v>
      </c>
      <c r="H2737" s="21" t="s">
        <v>5198</v>
      </c>
      <c r="I2737" s="21" t="s">
        <v>5257</v>
      </c>
      <c r="J2737" s="21" t="s">
        <v>8296</v>
      </c>
      <c r="K2737" s="24">
        <v>27</v>
      </c>
      <c r="L2737" s="24">
        <v>162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27</v>
      </c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>
        <v>27</v>
      </c>
      <c r="AN2737" s="23"/>
      <c r="AO2737" s="23"/>
      <c r="AP2737" s="23"/>
      <c r="AQ2737" s="23">
        <v>27</v>
      </c>
      <c r="AR2737" s="23"/>
      <c r="AS2737" s="23"/>
      <c r="AT2737" s="23"/>
      <c r="AU2737" s="14" t="str">
        <f>HYPERLINK("http://www.openstreetmap.org/?mlat=36.8048&amp;mlon=43.512&amp;zoom=12#map=12/36.8048/43.512","Maplink1")</f>
        <v>Maplink1</v>
      </c>
      <c r="AV2737" s="14" t="str">
        <f>HYPERLINK("https://www.google.iq/maps/search/+36.8048,43.512/@36.8048,43.512,14z?hl=en","Maplink2")</f>
        <v>Maplink2</v>
      </c>
      <c r="AW2737" s="14" t="str">
        <f>HYPERLINK("http://www.bing.com/maps/?lvl=14&amp;sty=h&amp;cp=36.8048~43.512&amp;sp=point.36.8048_43.512","Maplink3")</f>
        <v>Maplink3</v>
      </c>
    </row>
    <row r="2738" spans="1:49" ht="15" customHeight="1" x14ac:dyDescent="0.25">
      <c r="A2738" s="21">
        <v>24191</v>
      </c>
      <c r="B2738" s="22" t="s">
        <v>21</v>
      </c>
      <c r="C2738" s="22" t="s">
        <v>5254</v>
      </c>
      <c r="D2738" s="22" t="s">
        <v>5286</v>
      </c>
      <c r="E2738" s="22" t="s">
        <v>5287</v>
      </c>
      <c r="F2738" s="22">
        <v>36.646832000000003</v>
      </c>
      <c r="G2738" s="22">
        <v>43.569071000000001</v>
      </c>
      <c r="H2738" s="21" t="s">
        <v>5198</v>
      </c>
      <c r="I2738" s="21" t="s">
        <v>5257</v>
      </c>
      <c r="J2738" s="21" t="s">
        <v>5288</v>
      </c>
      <c r="K2738" s="24">
        <v>101</v>
      </c>
      <c r="L2738" s="24">
        <v>606</v>
      </c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>
        <v>101</v>
      </c>
      <c r="Z2738" s="23"/>
      <c r="AA2738" s="23"/>
      <c r="AB2738" s="23"/>
      <c r="AC2738" s="23"/>
      <c r="AD2738" s="23"/>
      <c r="AE2738" s="23"/>
      <c r="AF2738" s="23">
        <v>43</v>
      </c>
      <c r="AG2738" s="23"/>
      <c r="AH2738" s="23"/>
      <c r="AI2738" s="23"/>
      <c r="AJ2738" s="23">
        <v>5</v>
      </c>
      <c r="AK2738" s="23">
        <v>40</v>
      </c>
      <c r="AL2738" s="23"/>
      <c r="AM2738" s="23">
        <v>13</v>
      </c>
      <c r="AN2738" s="23"/>
      <c r="AO2738" s="23"/>
      <c r="AP2738" s="23">
        <v>21</v>
      </c>
      <c r="AQ2738" s="23">
        <v>80</v>
      </c>
      <c r="AR2738" s="23"/>
      <c r="AS2738" s="23"/>
      <c r="AT2738" s="23"/>
      <c r="AU2738" s="14" t="str">
        <f>HYPERLINK("http://www.openstreetmap.org/?mlat=36.6468&amp;mlon=43.5691&amp;zoom=12#map=12/36.6468/43.5691","Maplink1")</f>
        <v>Maplink1</v>
      </c>
      <c r="AV2738" s="14" t="str">
        <f>HYPERLINK("https://www.google.iq/maps/search/+36.6468,43.5691/@36.6468,43.5691,14z?hl=en","Maplink2")</f>
        <v>Maplink2</v>
      </c>
      <c r="AW2738" s="14" t="str">
        <f>HYPERLINK("http://www.bing.com/maps/?lvl=14&amp;sty=h&amp;cp=36.6468~43.5691&amp;sp=point.36.6468_43.5691_Mula Barwan","Maplink3")</f>
        <v>Maplink3</v>
      </c>
    </row>
    <row r="2739" spans="1:49" ht="15" customHeight="1" x14ac:dyDescent="0.25">
      <c r="A2739" s="21">
        <v>18199</v>
      </c>
      <c r="B2739" s="22" t="s">
        <v>21</v>
      </c>
      <c r="C2739" s="22" t="s">
        <v>5254</v>
      </c>
      <c r="D2739" s="22" t="s">
        <v>5289</v>
      </c>
      <c r="E2739" s="22" t="s">
        <v>5290</v>
      </c>
      <c r="F2739" s="22">
        <v>36.69</v>
      </c>
      <c r="G2739" s="22">
        <v>43.6</v>
      </c>
      <c r="H2739" s="21" t="s">
        <v>5198</v>
      </c>
      <c r="I2739" s="21" t="s">
        <v>5257</v>
      </c>
      <c r="J2739" s="21" t="s">
        <v>5291</v>
      </c>
      <c r="K2739" s="24">
        <v>800</v>
      </c>
      <c r="L2739" s="24">
        <v>4800</v>
      </c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800</v>
      </c>
      <c r="Z2739" s="23"/>
      <c r="AA2739" s="23"/>
      <c r="AB2739" s="23"/>
      <c r="AC2739" s="23"/>
      <c r="AD2739" s="23"/>
      <c r="AE2739" s="23"/>
      <c r="AF2739" s="23">
        <v>100</v>
      </c>
      <c r="AG2739" s="23"/>
      <c r="AH2739" s="23"/>
      <c r="AI2739" s="23"/>
      <c r="AJ2739" s="23"/>
      <c r="AK2739" s="23">
        <v>562</v>
      </c>
      <c r="AL2739" s="23"/>
      <c r="AM2739" s="23">
        <v>138</v>
      </c>
      <c r="AN2739" s="23"/>
      <c r="AO2739" s="23"/>
      <c r="AP2739" s="23">
        <v>167</v>
      </c>
      <c r="AQ2739" s="23">
        <v>633</v>
      </c>
      <c r="AR2739" s="23"/>
      <c r="AS2739" s="23"/>
      <c r="AT2739" s="23"/>
      <c r="AU2739" s="14" t="str">
        <f>HYPERLINK("http://www.openstreetmap.org/?mlat=36.69&amp;mlon=43.6&amp;zoom=12#map=12/36.69/43.6","Maplink1")</f>
        <v>Maplink1</v>
      </c>
      <c r="AV2739" s="14" t="str">
        <f>HYPERLINK("https://www.google.iq/maps/search/+36.69,43.6/@36.69,43.6,14z?hl=en","Maplink2")</f>
        <v>Maplink2</v>
      </c>
      <c r="AW2739" s="14" t="str">
        <f>HYPERLINK("http://www.bing.com/maps/?lvl=14&amp;sty=h&amp;cp=36.69~43.6&amp;sp=point.36.69_43.6_Qasrok","Maplink3")</f>
        <v>Maplink3</v>
      </c>
    </row>
    <row r="2740" spans="1:49" ht="15" customHeight="1" x14ac:dyDescent="0.25">
      <c r="A2740" s="21">
        <v>25817</v>
      </c>
      <c r="B2740" s="22" t="s">
        <v>21</v>
      </c>
      <c r="C2740" s="22" t="s">
        <v>5254</v>
      </c>
      <c r="D2740" s="22" t="s">
        <v>8990</v>
      </c>
      <c r="E2740" s="22" t="s">
        <v>5295</v>
      </c>
      <c r="F2740" s="22">
        <v>36.682135000000002</v>
      </c>
      <c r="G2740" s="22">
        <v>43.342022999999998</v>
      </c>
      <c r="H2740" s="21" t="s">
        <v>5198</v>
      </c>
      <c r="I2740" s="21" t="s">
        <v>5257</v>
      </c>
      <c r="J2740" s="21"/>
      <c r="K2740" s="24">
        <v>956</v>
      </c>
      <c r="L2740" s="24">
        <v>5736</v>
      </c>
      <c r="M2740" s="23"/>
      <c r="N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>
        <v>956</v>
      </c>
      <c r="Z2740" s="23"/>
      <c r="AA2740" s="23"/>
      <c r="AB2740" s="23"/>
      <c r="AC2740" s="23"/>
      <c r="AD2740" s="23"/>
      <c r="AE2740" s="23">
        <v>956</v>
      </c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>
        <v>956</v>
      </c>
      <c r="AR2740" s="23"/>
      <c r="AS2740" s="23"/>
      <c r="AT2740" s="23"/>
      <c r="AU2740" s="14" t="str">
        <f>HYPERLINK("http://www.openstreetmap.org/?mlat=36.6821&amp;mlon=43.342&amp;zoom=12#map=12/36.6821/43.342","Maplink1")</f>
        <v>Maplink1</v>
      </c>
      <c r="AV2740" s="14" t="str">
        <f>HYPERLINK("https://www.google.iq/maps/search/+36.6821,43.342/@36.6821,43.342,14z?hl=en","Maplink2")</f>
        <v>Maplink2</v>
      </c>
      <c r="AW2740" s="14" t="str">
        <f>HYPERLINK("http://www.bing.com/maps/?lvl=14&amp;sty=h&amp;cp=36.6821~43.342&amp;sp=point.36.6821_43.342_Shikhan Camp","Maplink3")</f>
        <v>Maplink3</v>
      </c>
    </row>
    <row r="2741" spans="1:49" ht="15" customHeight="1" x14ac:dyDescent="0.25">
      <c r="A2741" s="21">
        <v>17333</v>
      </c>
      <c r="B2741" s="22" t="s">
        <v>21</v>
      </c>
      <c r="C2741" s="22" t="s">
        <v>5254</v>
      </c>
      <c r="D2741" s="22" t="s">
        <v>5292</v>
      </c>
      <c r="E2741" s="22" t="s">
        <v>5293</v>
      </c>
      <c r="F2741" s="22">
        <v>36.770000000000003</v>
      </c>
      <c r="G2741" s="22">
        <v>43.45</v>
      </c>
      <c r="H2741" s="21" t="s">
        <v>5198</v>
      </c>
      <c r="I2741" s="21" t="s">
        <v>5257</v>
      </c>
      <c r="J2741" s="21" t="s">
        <v>5294</v>
      </c>
      <c r="K2741" s="24">
        <v>2583</v>
      </c>
      <c r="L2741" s="24">
        <v>15498</v>
      </c>
      <c r="M2741" s="23"/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2583</v>
      </c>
      <c r="Z2741" s="23"/>
      <c r="AA2741" s="23"/>
      <c r="AB2741" s="23"/>
      <c r="AC2741" s="23"/>
      <c r="AD2741" s="23"/>
      <c r="AE2741" s="23"/>
      <c r="AF2741" s="23">
        <v>577</v>
      </c>
      <c r="AG2741" s="23"/>
      <c r="AH2741" s="23">
        <v>1</v>
      </c>
      <c r="AI2741" s="23"/>
      <c r="AJ2741" s="23">
        <v>3</v>
      </c>
      <c r="AK2741" s="23">
        <v>1485</v>
      </c>
      <c r="AL2741" s="23"/>
      <c r="AM2741" s="23">
        <v>517</v>
      </c>
      <c r="AN2741" s="23"/>
      <c r="AO2741" s="23"/>
      <c r="AP2741" s="23">
        <v>613</v>
      </c>
      <c r="AQ2741" s="23">
        <v>1970</v>
      </c>
      <c r="AR2741" s="23"/>
      <c r="AS2741" s="23"/>
      <c r="AT2741" s="23"/>
      <c r="AU2741" s="14" t="str">
        <f>HYPERLINK("http://www.openstreetmap.org/?mlat=36.77&amp;mlon=43.45&amp;zoom=12#map=12/36.77/43.45","Maplink1")</f>
        <v>Maplink1</v>
      </c>
      <c r="AV2741" s="14" t="str">
        <f>HYPERLINK("https://www.google.iq/maps/search/+36.77,43.45/@36.77,43.45,14z?hl=en","Maplink2")</f>
        <v>Maplink2</v>
      </c>
      <c r="AW2741" s="14" t="str">
        <f>HYPERLINK("http://www.bing.com/maps/?lvl=14&amp;sty=h&amp;cp=36.77~43.45&amp;sp=point.36.77_43.45_Shekhan","Maplink3")</f>
        <v>Maplink3</v>
      </c>
    </row>
    <row r="2742" spans="1:49" ht="15" customHeight="1" x14ac:dyDescent="0.25">
      <c r="A2742" s="21">
        <v>29607</v>
      </c>
      <c r="B2742" s="22" t="s">
        <v>21</v>
      </c>
      <c r="C2742" s="22" t="s">
        <v>5254</v>
      </c>
      <c r="D2742" s="22" t="s">
        <v>8297</v>
      </c>
      <c r="E2742" s="22" t="s">
        <v>8298</v>
      </c>
      <c r="F2742" s="22">
        <v>36.833612000000002</v>
      </c>
      <c r="G2742" s="22">
        <v>43.464578000000003</v>
      </c>
      <c r="H2742" s="21" t="s">
        <v>5198</v>
      </c>
      <c r="I2742" s="21" t="s">
        <v>5257</v>
      </c>
      <c r="J2742" s="21"/>
      <c r="K2742" s="24">
        <v>42</v>
      </c>
      <c r="L2742" s="24">
        <v>252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42</v>
      </c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>
        <v>42</v>
      </c>
      <c r="AL2742" s="23"/>
      <c r="AM2742" s="23"/>
      <c r="AN2742" s="23"/>
      <c r="AO2742" s="23"/>
      <c r="AP2742" s="23"/>
      <c r="AQ2742" s="23">
        <v>42</v>
      </c>
      <c r="AR2742" s="23"/>
      <c r="AS2742" s="23"/>
      <c r="AT2742" s="23"/>
      <c r="AU2742" s="14" t="str">
        <f>HYPERLINK("http://www.openstreetmap.org/?mlat=36.8336&amp;mlon=43.4646&amp;zoom=12#map=12/36.8336/43.4646","Maplink1")</f>
        <v>Maplink1</v>
      </c>
      <c r="AV2742" s="14" t="str">
        <f>HYPERLINK("https://www.google.iq/maps/search/+36.8336,43.4646/@36.8336,43.4646,14z?hl=en","Maplink2")</f>
        <v>Maplink2</v>
      </c>
      <c r="AW2742" s="14" t="str">
        <f>HYPERLINK("http://www.bing.com/maps/?lvl=14&amp;sty=h&amp;cp=36.8336~43.4646&amp;sp=point.36.8336_43.4646","Maplink3")</f>
        <v>Maplink3</v>
      </c>
    </row>
    <row r="2743" spans="1:49" ht="15" customHeight="1" x14ac:dyDescent="0.25">
      <c r="A2743" s="21">
        <v>17981</v>
      </c>
      <c r="B2743" s="22" t="s">
        <v>21</v>
      </c>
      <c r="C2743" s="22" t="s">
        <v>5254</v>
      </c>
      <c r="D2743" s="22" t="s">
        <v>5296</v>
      </c>
      <c r="E2743" s="22" t="s">
        <v>5297</v>
      </c>
      <c r="F2743" s="22">
        <v>36.570298000000001</v>
      </c>
      <c r="G2743" s="22">
        <v>43.369554999999998</v>
      </c>
      <c r="H2743" s="21" t="s">
        <v>5198</v>
      </c>
      <c r="I2743" s="21" t="s">
        <v>5257</v>
      </c>
      <c r="J2743" s="21" t="s">
        <v>5298</v>
      </c>
      <c r="K2743" s="24">
        <v>378</v>
      </c>
      <c r="L2743" s="24">
        <v>2268</v>
      </c>
      <c r="M2743" s="23"/>
      <c r="N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>
        <v>378</v>
      </c>
      <c r="Z2743" s="23"/>
      <c r="AA2743" s="23"/>
      <c r="AB2743" s="23"/>
      <c r="AC2743" s="23"/>
      <c r="AD2743" s="23"/>
      <c r="AE2743" s="23"/>
      <c r="AF2743" s="23">
        <v>171</v>
      </c>
      <c r="AG2743" s="23"/>
      <c r="AH2743" s="23"/>
      <c r="AI2743" s="23"/>
      <c r="AJ2743" s="23">
        <v>1</v>
      </c>
      <c r="AK2743" s="23">
        <v>4</v>
      </c>
      <c r="AL2743" s="23"/>
      <c r="AM2743" s="23">
        <v>202</v>
      </c>
      <c r="AN2743" s="23"/>
      <c r="AO2743" s="23"/>
      <c r="AP2743" s="23">
        <v>81</v>
      </c>
      <c r="AQ2743" s="23">
        <v>281</v>
      </c>
      <c r="AR2743" s="23"/>
      <c r="AS2743" s="23">
        <v>16</v>
      </c>
      <c r="AT2743" s="23"/>
      <c r="AU2743" s="14" t="str">
        <f>HYPERLINK("http://www.openstreetmap.org/?mlat=36.5703&amp;mlon=43.3696&amp;zoom=12#map=12/36.5703/43.3696","Maplink1")</f>
        <v>Maplink1</v>
      </c>
      <c r="AV2743" s="14" t="str">
        <f>HYPERLINK("https://www.google.iq/maps/search/+36.5703,43.3696/@36.5703,43.3696,14z?hl=en","Maplink2")</f>
        <v>Maplink2</v>
      </c>
      <c r="AW2743" s="14" t="str">
        <f>HYPERLINK("http://www.bing.com/maps/?lvl=14&amp;sty=h&amp;cp=36.5703~43.3696&amp;sp=point.36.5703_43.3696_Zelkan","Maplink3")</f>
        <v>Maplink3</v>
      </c>
    </row>
    <row r="2744" spans="1:49" ht="15" customHeight="1" x14ac:dyDescent="0.25">
      <c r="A2744" s="21">
        <v>26070</v>
      </c>
      <c r="B2744" s="22" t="s">
        <v>21</v>
      </c>
      <c r="C2744" s="22" t="s">
        <v>5254</v>
      </c>
      <c r="D2744" s="22" t="s">
        <v>5299</v>
      </c>
      <c r="E2744" s="22" t="s">
        <v>5300</v>
      </c>
      <c r="F2744" s="22">
        <v>36.637349999999998</v>
      </c>
      <c r="G2744" s="22">
        <v>43.479058999999999</v>
      </c>
      <c r="H2744" s="21" t="s">
        <v>5198</v>
      </c>
      <c r="I2744" s="21" t="s">
        <v>5257</v>
      </c>
      <c r="J2744" s="21"/>
      <c r="K2744" s="24">
        <v>94</v>
      </c>
      <c r="L2744" s="24">
        <v>564</v>
      </c>
      <c r="M2744" s="23"/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94</v>
      </c>
      <c r="Z2744" s="23"/>
      <c r="AA2744" s="23"/>
      <c r="AB2744" s="23"/>
      <c r="AC2744" s="23"/>
      <c r="AD2744" s="23"/>
      <c r="AE2744" s="23"/>
      <c r="AF2744" s="23">
        <v>5</v>
      </c>
      <c r="AG2744" s="23"/>
      <c r="AH2744" s="23"/>
      <c r="AI2744" s="23"/>
      <c r="AJ2744" s="23"/>
      <c r="AK2744" s="23">
        <v>11</v>
      </c>
      <c r="AL2744" s="23"/>
      <c r="AM2744" s="23">
        <v>78</v>
      </c>
      <c r="AN2744" s="23"/>
      <c r="AO2744" s="23"/>
      <c r="AP2744" s="23"/>
      <c r="AQ2744" s="23">
        <v>94</v>
      </c>
      <c r="AR2744" s="23"/>
      <c r="AS2744" s="23"/>
      <c r="AT2744" s="23"/>
      <c r="AU2744" s="14" t="str">
        <f>HYPERLINK("http://www.openstreetmap.org/?mlat=36.6373&amp;mlon=43.4791&amp;zoom=12#map=12/36.6373/43.4791","Maplink1")</f>
        <v>Maplink1</v>
      </c>
      <c r="AV2744" s="14" t="str">
        <f>HYPERLINK("https://www.google.iq/maps/search/+36.6373,43.4791/@36.6373,43.4791,14z?hl=en","Maplink2")</f>
        <v>Maplink2</v>
      </c>
      <c r="AW2744" s="14" t="str">
        <f>HYPERLINK("http://www.bing.com/maps/?lvl=14&amp;sty=h&amp;cp=36.6373~43.4791&amp;sp=point.36.6373_43.4791_Zinava","Maplink3")</f>
        <v>Maplink3</v>
      </c>
    </row>
    <row r="2745" spans="1:49" ht="15" customHeight="1" x14ac:dyDescent="0.25">
      <c r="A2745" s="21">
        <v>27271</v>
      </c>
      <c r="B2745" s="22" t="s">
        <v>21</v>
      </c>
      <c r="C2745" s="22" t="s">
        <v>5301</v>
      </c>
      <c r="D2745" s="22" t="s">
        <v>5302</v>
      </c>
      <c r="E2745" s="22" t="s">
        <v>5303</v>
      </c>
      <c r="F2745" s="22">
        <v>35.925024000000001</v>
      </c>
      <c r="G2745" s="22">
        <v>42.562232000000002</v>
      </c>
      <c r="H2745" s="21" t="s">
        <v>5198</v>
      </c>
      <c r="I2745" s="21" t="s">
        <v>5304</v>
      </c>
      <c r="J2745" s="21"/>
      <c r="K2745" s="24">
        <v>240</v>
      </c>
      <c r="L2745" s="24">
        <v>1440</v>
      </c>
      <c r="M2745" s="23"/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240</v>
      </c>
      <c r="Z2745" s="23"/>
      <c r="AA2745" s="23"/>
      <c r="AB2745" s="23"/>
      <c r="AC2745" s="23"/>
      <c r="AD2745" s="23"/>
      <c r="AE2745" s="23"/>
      <c r="AF2745" s="23"/>
      <c r="AG2745" s="23"/>
      <c r="AH2745" s="23">
        <v>60</v>
      </c>
      <c r="AI2745" s="23"/>
      <c r="AJ2745" s="23"/>
      <c r="AK2745" s="23"/>
      <c r="AL2745" s="23"/>
      <c r="AM2745" s="23"/>
      <c r="AN2745" s="23">
        <v>180</v>
      </c>
      <c r="AO2745" s="23"/>
      <c r="AP2745" s="23"/>
      <c r="AQ2745" s="23"/>
      <c r="AR2745" s="23"/>
      <c r="AS2745" s="23">
        <v>240</v>
      </c>
      <c r="AT2745" s="23"/>
      <c r="AU2745" s="14" t="str">
        <f>HYPERLINK("http://www.openstreetmap.org/?mlat=35.925&amp;mlon=42.5622&amp;zoom=12#map=12/35.925/42.5622","Maplink1")</f>
        <v>Maplink1</v>
      </c>
      <c r="AV2745" s="14" t="str">
        <f>HYPERLINK("https://www.google.iq/maps/search/+35.925,42.5622/@35.925,42.5622,14z?hl=en","Maplink2")</f>
        <v>Maplink2</v>
      </c>
      <c r="AW2745" s="14" t="str">
        <f>HYPERLINK("http://www.bing.com/maps/?lvl=14&amp;sty=h&amp;cp=35.925~42.5622&amp;sp=point.35.925_42.5622_Tal abta","Maplink3")</f>
        <v>Maplink3</v>
      </c>
    </row>
    <row r="2746" spans="1:49" ht="15" customHeight="1" x14ac:dyDescent="0.25">
      <c r="A2746" s="21">
        <v>18001</v>
      </c>
      <c r="B2746" s="22" t="s">
        <v>21</v>
      </c>
      <c r="C2746" s="22" t="s">
        <v>5305</v>
      </c>
      <c r="D2746" s="22" t="s">
        <v>5306</v>
      </c>
      <c r="E2746" s="22" t="s">
        <v>5307</v>
      </c>
      <c r="F2746" s="22">
        <v>35.978015999999997</v>
      </c>
      <c r="G2746" s="22">
        <v>43.029788000000003</v>
      </c>
      <c r="H2746" s="21" t="s">
        <v>5198</v>
      </c>
      <c r="I2746" s="21" t="s">
        <v>5308</v>
      </c>
      <c r="J2746" s="21" t="s">
        <v>5309</v>
      </c>
      <c r="K2746" s="24">
        <v>40</v>
      </c>
      <c r="L2746" s="24">
        <v>240</v>
      </c>
      <c r="M2746" s="23"/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>
        <v>40</v>
      </c>
      <c r="AB2746" s="23"/>
      <c r="AC2746" s="23"/>
      <c r="AD2746" s="23"/>
      <c r="AE2746" s="23"/>
      <c r="AF2746" s="23">
        <v>20</v>
      </c>
      <c r="AG2746" s="23"/>
      <c r="AH2746" s="23"/>
      <c r="AI2746" s="23"/>
      <c r="AJ2746" s="23"/>
      <c r="AK2746" s="23"/>
      <c r="AL2746" s="23"/>
      <c r="AM2746" s="23"/>
      <c r="AN2746" s="23">
        <v>20</v>
      </c>
      <c r="AO2746" s="23"/>
      <c r="AP2746" s="23"/>
      <c r="AQ2746" s="23"/>
      <c r="AR2746" s="23"/>
      <c r="AS2746" s="23">
        <v>20</v>
      </c>
      <c r="AT2746" s="23">
        <v>20</v>
      </c>
      <c r="AU2746" s="14" t="str">
        <f>HYPERLINK("http://www.openstreetmap.org/?mlat=35.978&amp;mlon=43.0298&amp;zoom=12#map=12/35.978/43.0298","Maplink1")</f>
        <v>Maplink1</v>
      </c>
      <c r="AV2746" s="14" t="str">
        <f>HYPERLINK("https://www.google.iq/maps/search/+35.978,43.0298/@35.978,43.0298,14z?hl=en","Maplink2")</f>
        <v>Maplink2</v>
      </c>
      <c r="AW2746" s="14" t="str">
        <f>HYPERLINK("http://www.bing.com/maps/?lvl=14&amp;sty=h&amp;cp=35.978~43.0298&amp;sp=point.35.978_43.0298_Abu Arayis Village","Maplink3")</f>
        <v>Maplink3</v>
      </c>
    </row>
    <row r="2747" spans="1:49" ht="15" customHeight="1" x14ac:dyDescent="0.25">
      <c r="A2747" s="21">
        <v>23930</v>
      </c>
      <c r="B2747" s="22" t="s">
        <v>21</v>
      </c>
      <c r="C2747" s="22" t="s">
        <v>5305</v>
      </c>
      <c r="D2747" s="22" t="s">
        <v>5310</v>
      </c>
      <c r="E2747" s="22" t="s">
        <v>5311</v>
      </c>
      <c r="F2747" s="22">
        <v>35.798295000000003</v>
      </c>
      <c r="G2747" s="22">
        <v>43.292765000000003</v>
      </c>
      <c r="H2747" s="21" t="s">
        <v>5198</v>
      </c>
      <c r="I2747" s="21" t="s">
        <v>5308</v>
      </c>
      <c r="J2747" s="21" t="s">
        <v>5312</v>
      </c>
      <c r="K2747" s="24">
        <v>10</v>
      </c>
      <c r="L2747" s="24">
        <v>60</v>
      </c>
      <c r="M2747" s="23">
        <v>10</v>
      </c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>
        <v>7</v>
      </c>
      <c r="AG2747" s="23"/>
      <c r="AH2747" s="23"/>
      <c r="AI2747" s="23"/>
      <c r="AJ2747" s="23"/>
      <c r="AK2747" s="23">
        <v>3</v>
      </c>
      <c r="AL2747" s="23"/>
      <c r="AM2747" s="23"/>
      <c r="AN2747" s="23"/>
      <c r="AO2747" s="23">
        <v>10</v>
      </c>
      <c r="AP2747" s="23"/>
      <c r="AQ2747" s="23"/>
      <c r="AR2747" s="23"/>
      <c r="AS2747" s="23"/>
      <c r="AT2747" s="23"/>
      <c r="AU2747" s="14" t="str">
        <f>HYPERLINK("http://www.openstreetmap.org/?mlat=35.7983&amp;mlon=43.2928&amp;zoom=12#map=12/35.7983/43.2928","Maplink1")</f>
        <v>Maplink1</v>
      </c>
      <c r="AV2747" s="14" t="str">
        <f>HYPERLINK("https://www.google.iq/maps/search/+35.7983,43.2928/@35.7983,43.2928,14z?hl=en","Maplink2")</f>
        <v>Maplink2</v>
      </c>
      <c r="AW2747" s="14" t="str">
        <f>HYPERLINK("http://www.bing.com/maps/?lvl=14&amp;sty=h&amp;cp=35.7983~43.2928&amp;sp=point.35.7983_43.2928_Ahijlah village","Maplink3")</f>
        <v>Maplink3</v>
      </c>
    </row>
    <row r="2748" spans="1:49" ht="15" customHeight="1" x14ac:dyDescent="0.25">
      <c r="A2748" s="21">
        <v>24549</v>
      </c>
      <c r="B2748" s="22" t="s">
        <v>21</v>
      </c>
      <c r="C2748" s="22" t="s">
        <v>5305</v>
      </c>
      <c r="D2748" s="22" t="s">
        <v>5313</v>
      </c>
      <c r="E2748" s="22" t="s">
        <v>5314</v>
      </c>
      <c r="F2748" s="22">
        <v>36.358848999999999</v>
      </c>
      <c r="G2748" s="22">
        <v>43.074015000000003</v>
      </c>
      <c r="H2748" s="21" t="s">
        <v>5198</v>
      </c>
      <c r="I2748" s="21" t="s">
        <v>5308</v>
      </c>
      <c r="J2748" s="21"/>
      <c r="K2748" s="24">
        <v>733</v>
      </c>
      <c r="L2748" s="24">
        <v>4398</v>
      </c>
      <c r="M2748" s="23"/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707</v>
      </c>
      <c r="Z2748" s="23"/>
      <c r="AA2748" s="23">
        <v>26</v>
      </c>
      <c r="AB2748" s="23"/>
      <c r="AC2748" s="23"/>
      <c r="AD2748" s="23"/>
      <c r="AE2748" s="23">
        <v>30</v>
      </c>
      <c r="AF2748" s="23">
        <v>25</v>
      </c>
      <c r="AG2748" s="23"/>
      <c r="AH2748" s="23">
        <v>81</v>
      </c>
      <c r="AI2748" s="23"/>
      <c r="AJ2748" s="23">
        <v>25</v>
      </c>
      <c r="AK2748" s="23">
        <v>329</v>
      </c>
      <c r="AL2748" s="23">
        <v>31</v>
      </c>
      <c r="AM2748" s="23">
        <v>172</v>
      </c>
      <c r="AN2748" s="23">
        <v>40</v>
      </c>
      <c r="AO2748" s="23"/>
      <c r="AP2748" s="23"/>
      <c r="AQ2748" s="23">
        <v>37</v>
      </c>
      <c r="AR2748" s="23">
        <v>243</v>
      </c>
      <c r="AS2748" s="23">
        <v>310</v>
      </c>
      <c r="AT2748" s="23">
        <v>143</v>
      </c>
      <c r="AU2748" s="14" t="str">
        <f>HYPERLINK("http://www.openstreetmap.org/?mlat=36.3588&amp;mlon=43.074&amp;zoom=12#map=12/36.3588/43.074","Maplink1")</f>
        <v>Maplink1</v>
      </c>
      <c r="AV2748" s="14" t="str">
        <f>HYPERLINK("https://www.google.iq/maps/search/+36.3588,43.074/@36.3588,43.074,14z?hl=en","Maplink2")</f>
        <v>Maplink2</v>
      </c>
      <c r="AW2748" s="14" t="str">
        <f>HYPERLINK("http://www.bing.com/maps/?lvl=14&amp;sty=h&amp;cp=36.3588~43.074&amp;sp=point.36.3588_43.074_Al Harmaat","Maplink3")</f>
        <v>Maplink3</v>
      </c>
    </row>
    <row r="2749" spans="1:49" ht="15" customHeight="1" x14ac:dyDescent="0.25">
      <c r="A2749" s="21">
        <v>18361</v>
      </c>
      <c r="B2749" s="22" t="s">
        <v>21</v>
      </c>
      <c r="C2749" s="22" t="s">
        <v>5305</v>
      </c>
      <c r="D2749" s="22" t="s">
        <v>1239</v>
      </c>
      <c r="E2749" s="22" t="s">
        <v>5315</v>
      </c>
      <c r="F2749" s="22">
        <v>36.354999999999997</v>
      </c>
      <c r="G2749" s="22">
        <v>43.169444439999999</v>
      </c>
      <c r="H2749" s="21" t="s">
        <v>5198</v>
      </c>
      <c r="I2749" s="21" t="s">
        <v>5308</v>
      </c>
      <c r="J2749" s="21" t="s">
        <v>5316</v>
      </c>
      <c r="K2749" s="24">
        <v>57</v>
      </c>
      <c r="L2749" s="24">
        <v>342</v>
      </c>
      <c r="M2749" s="23">
        <v>32</v>
      </c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25</v>
      </c>
      <c r="Z2749" s="23"/>
      <c r="AA2749" s="23"/>
      <c r="AB2749" s="23"/>
      <c r="AC2749" s="23"/>
      <c r="AD2749" s="23"/>
      <c r="AE2749" s="23"/>
      <c r="AF2749" s="23">
        <v>19</v>
      </c>
      <c r="AG2749" s="23"/>
      <c r="AH2749" s="23"/>
      <c r="AI2749" s="23"/>
      <c r="AJ2749" s="23"/>
      <c r="AK2749" s="23">
        <v>25</v>
      </c>
      <c r="AL2749" s="23"/>
      <c r="AM2749" s="23">
        <v>13</v>
      </c>
      <c r="AN2749" s="23"/>
      <c r="AO2749" s="23">
        <v>4</v>
      </c>
      <c r="AP2749" s="23"/>
      <c r="AQ2749" s="23"/>
      <c r="AR2749" s="23">
        <v>25</v>
      </c>
      <c r="AS2749" s="23">
        <v>28</v>
      </c>
      <c r="AT2749" s="23"/>
      <c r="AU2749" s="14" t="str">
        <f>HYPERLINK("http://www.openstreetmap.org/?mlat=36.355&amp;mlon=43.1694&amp;zoom=12#map=12/36.355/43.1694","Maplink1")</f>
        <v>Maplink1</v>
      </c>
      <c r="AV2749" s="14" t="str">
        <f>HYPERLINK("https://www.google.iq/maps/search/+36.355,43.1694/@36.355,43.1694,14z?hl=en","Maplink2")</f>
        <v>Maplink2</v>
      </c>
      <c r="AW2749" s="14" t="str">
        <f>HYPERLINK("http://www.bing.com/maps/?lvl=14&amp;sty=h&amp;cp=36.355~43.1694&amp;sp=point.36.355_43.1694_Al jazera","Maplink3")</f>
        <v>Maplink3</v>
      </c>
    </row>
    <row r="2750" spans="1:49" ht="15" customHeight="1" x14ac:dyDescent="0.25">
      <c r="A2750" s="21">
        <v>20798</v>
      </c>
      <c r="B2750" s="22" t="s">
        <v>21</v>
      </c>
      <c r="C2750" s="22" t="s">
        <v>5305</v>
      </c>
      <c r="D2750" s="22" t="s">
        <v>8991</v>
      </c>
      <c r="E2750" s="22" t="s">
        <v>5317</v>
      </c>
      <c r="F2750" s="22">
        <v>36.259918999999996</v>
      </c>
      <c r="G2750" s="22">
        <v>42.927059</v>
      </c>
      <c r="H2750" s="21" t="s">
        <v>5198</v>
      </c>
      <c r="I2750" s="21" t="s">
        <v>5308</v>
      </c>
      <c r="J2750" s="21" t="s">
        <v>5318</v>
      </c>
      <c r="K2750" s="24">
        <v>200</v>
      </c>
      <c r="L2750" s="24">
        <v>1200</v>
      </c>
      <c r="M2750" s="23"/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200</v>
      </c>
      <c r="Z2750" s="23"/>
      <c r="AA2750" s="23"/>
      <c r="AB2750" s="23"/>
      <c r="AC2750" s="23"/>
      <c r="AD2750" s="23"/>
      <c r="AE2750" s="23"/>
      <c r="AF2750" s="23">
        <v>200</v>
      </c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>
        <v>200</v>
      </c>
      <c r="AQ2750" s="23"/>
      <c r="AR2750" s="23"/>
      <c r="AS2750" s="23"/>
      <c r="AT2750" s="23"/>
      <c r="AU2750" s="14" t="str">
        <f>HYPERLINK("http://www.openstreetmap.org/?mlat=36.2599&amp;mlon=42.9271&amp;zoom=12#map=12/36.2599/42.9271","Maplink1")</f>
        <v>Maplink1</v>
      </c>
      <c r="AV2750" s="14" t="str">
        <f>HYPERLINK("https://www.google.iq/maps/search/+36.2599,42.9271/@36.2599,42.9271,14z?hl=en","Maplink2")</f>
        <v>Maplink2</v>
      </c>
      <c r="AW2750" s="14" t="str">
        <f>HYPERLINK("http://www.bing.com/maps/?lvl=14&amp;sty=h&amp;cp=36.2599~42.9271&amp;sp=point.36.2599_42.9271_Al Mazraa’a Village","Maplink3")</f>
        <v>Maplink3</v>
      </c>
    </row>
    <row r="2751" spans="1:49" ht="15" customHeight="1" x14ac:dyDescent="0.25">
      <c r="A2751" s="21">
        <v>17127</v>
      </c>
      <c r="B2751" s="22" t="s">
        <v>21</v>
      </c>
      <c r="C2751" s="22" t="s">
        <v>5305</v>
      </c>
      <c r="D2751" s="22" t="s">
        <v>5319</v>
      </c>
      <c r="E2751" s="22" t="s">
        <v>5320</v>
      </c>
      <c r="F2751" s="22">
        <v>35.797638999999997</v>
      </c>
      <c r="G2751" s="22">
        <v>43.293194999999997</v>
      </c>
      <c r="H2751" s="21" t="s">
        <v>5198</v>
      </c>
      <c r="I2751" s="21" t="s">
        <v>5308</v>
      </c>
      <c r="J2751" s="21" t="s">
        <v>5321</v>
      </c>
      <c r="K2751" s="24">
        <v>50</v>
      </c>
      <c r="L2751" s="24">
        <v>300</v>
      </c>
      <c r="M2751" s="23"/>
      <c r="N2751" s="23"/>
      <c r="O2751" s="23"/>
      <c r="P2751" s="23"/>
      <c r="Q2751" s="23"/>
      <c r="R2751" s="23"/>
      <c r="S2751" s="23"/>
      <c r="T2751" s="23"/>
      <c r="U2751" s="23">
        <v>50</v>
      </c>
      <c r="V2751" s="23"/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  <c r="AL2751" s="23"/>
      <c r="AM2751" s="23"/>
      <c r="AN2751" s="23">
        <v>50</v>
      </c>
      <c r="AO2751" s="23"/>
      <c r="AP2751" s="23"/>
      <c r="AQ2751" s="23"/>
      <c r="AR2751" s="23"/>
      <c r="AS2751" s="23">
        <v>50</v>
      </c>
      <c r="AT2751" s="23"/>
      <c r="AU2751" s="14" t="str">
        <f>HYPERLINK("http://www.openstreetmap.org/?mlat=35.7976&amp;mlon=43.2932&amp;zoom=12#map=12/35.7976/43.2932","Maplink1")</f>
        <v>Maplink1</v>
      </c>
      <c r="AV2751" s="14" t="str">
        <f>HYPERLINK("https://www.google.iq/maps/search/+35.7976,43.2932/@35.7976,43.2932,14z?hl=en","Maplink2")</f>
        <v>Maplink2</v>
      </c>
      <c r="AW2751" s="14" t="str">
        <f>HYPERLINK("http://www.bing.com/maps/?lvl=14&amp;sty=h&amp;cp=35.7976~43.2932&amp;sp=point.35.7976_43.2932_Al Qyara Center","Maplink3")</f>
        <v>Maplink3</v>
      </c>
    </row>
    <row r="2752" spans="1:49" ht="15" customHeight="1" x14ac:dyDescent="0.25">
      <c r="A2752" s="21">
        <v>18377</v>
      </c>
      <c r="B2752" s="22" t="s">
        <v>21</v>
      </c>
      <c r="C2752" s="22" t="s">
        <v>5305</v>
      </c>
      <c r="D2752" s="22" t="s">
        <v>5322</v>
      </c>
      <c r="E2752" s="22" t="s">
        <v>1273</v>
      </c>
      <c r="F2752" s="22">
        <v>36.401666669999997</v>
      </c>
      <c r="G2752" s="22">
        <v>43.090277780000001</v>
      </c>
      <c r="H2752" s="21" t="s">
        <v>5198</v>
      </c>
      <c r="I2752" s="21" t="s">
        <v>5308</v>
      </c>
      <c r="J2752" s="21" t="s">
        <v>5323</v>
      </c>
      <c r="K2752" s="24">
        <v>410</v>
      </c>
      <c r="L2752" s="24">
        <v>2460</v>
      </c>
      <c r="M2752" s="23">
        <v>5</v>
      </c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405</v>
      </c>
      <c r="Z2752" s="23"/>
      <c r="AA2752" s="23"/>
      <c r="AB2752" s="23"/>
      <c r="AC2752" s="23"/>
      <c r="AD2752" s="23"/>
      <c r="AE2752" s="23"/>
      <c r="AF2752" s="23">
        <v>92</v>
      </c>
      <c r="AG2752" s="23"/>
      <c r="AH2752" s="23"/>
      <c r="AI2752" s="23"/>
      <c r="AJ2752" s="23"/>
      <c r="AK2752" s="23">
        <v>263</v>
      </c>
      <c r="AL2752" s="23"/>
      <c r="AM2752" s="23">
        <v>55</v>
      </c>
      <c r="AN2752" s="23"/>
      <c r="AO2752" s="23"/>
      <c r="AP2752" s="23"/>
      <c r="AQ2752" s="23"/>
      <c r="AR2752" s="23">
        <v>275</v>
      </c>
      <c r="AS2752" s="23">
        <v>131</v>
      </c>
      <c r="AT2752" s="23">
        <v>4</v>
      </c>
      <c r="AU2752" s="14" t="str">
        <f>HYPERLINK("http://www.openstreetmap.org/?mlat=36.4017&amp;mlon=43.0903&amp;zoom=12#map=12/36.4017/43.0903","Maplink1")</f>
        <v>Maplink1</v>
      </c>
      <c r="AV2752" s="14" t="str">
        <f>HYPERLINK("https://www.google.iq/maps/search/+36.4017,43.0903/@36.4017,43.0903,14z?hl=en","Maplink2")</f>
        <v>Maplink2</v>
      </c>
      <c r="AW2752" s="14" t="str">
        <f>HYPERLINK("http://www.bing.com/maps/?lvl=14&amp;sty=h&amp;cp=36.4017~43.0903&amp;sp=point.36.4017_43.0903_Al rasheediya","Maplink3")</f>
        <v>Maplink3</v>
      </c>
    </row>
    <row r="2753" spans="1:49" ht="15" customHeight="1" x14ac:dyDescent="0.25">
      <c r="A2753" s="21">
        <v>24617</v>
      </c>
      <c r="B2753" s="22" t="s">
        <v>21</v>
      </c>
      <c r="C2753" s="22" t="s">
        <v>5305</v>
      </c>
      <c r="D2753" s="22" t="s">
        <v>5324</v>
      </c>
      <c r="E2753" s="22" t="s">
        <v>5325</v>
      </c>
      <c r="F2753" s="22">
        <v>36.302428999999997</v>
      </c>
      <c r="G2753" s="22">
        <v>43.189763999999997</v>
      </c>
      <c r="H2753" s="21" t="s">
        <v>5198</v>
      </c>
      <c r="I2753" s="21" t="s">
        <v>5308</v>
      </c>
      <c r="J2753" s="21"/>
      <c r="K2753" s="24">
        <v>93</v>
      </c>
      <c r="L2753" s="24">
        <v>558</v>
      </c>
      <c r="M2753" s="23"/>
      <c r="N2753" s="23"/>
      <c r="O2753" s="23"/>
      <c r="P2753" s="23"/>
      <c r="Q2753" s="23"/>
      <c r="R2753" s="23"/>
      <c r="S2753" s="23"/>
      <c r="T2753" s="23"/>
      <c r="U2753" s="23">
        <v>12</v>
      </c>
      <c r="V2753" s="23"/>
      <c r="W2753" s="23"/>
      <c r="X2753" s="23"/>
      <c r="Y2753" s="23">
        <v>56</v>
      </c>
      <c r="Z2753" s="23"/>
      <c r="AA2753" s="23">
        <v>25</v>
      </c>
      <c r="AB2753" s="23"/>
      <c r="AC2753" s="23"/>
      <c r="AD2753" s="23"/>
      <c r="AE2753" s="23"/>
      <c r="AF2753" s="23">
        <v>21</v>
      </c>
      <c r="AG2753" s="23"/>
      <c r="AH2753" s="23"/>
      <c r="AI2753" s="23"/>
      <c r="AJ2753" s="23"/>
      <c r="AK2753" s="23">
        <v>43</v>
      </c>
      <c r="AL2753" s="23"/>
      <c r="AM2753" s="23">
        <v>9</v>
      </c>
      <c r="AN2753" s="23">
        <v>20</v>
      </c>
      <c r="AO2753" s="23"/>
      <c r="AP2753" s="23"/>
      <c r="AQ2753" s="23"/>
      <c r="AR2753" s="23">
        <v>26</v>
      </c>
      <c r="AS2753" s="23">
        <v>67</v>
      </c>
      <c r="AT2753" s="23"/>
      <c r="AU2753" s="14" t="str">
        <f>HYPERLINK("http://www.openstreetmap.org/?mlat=36.3024&amp;mlon=43.1898&amp;zoom=12#map=12/36.3024/43.1898","Maplink1")</f>
        <v>Maplink1</v>
      </c>
      <c r="AV2753" s="14" t="str">
        <f>HYPERLINK("https://www.google.iq/maps/search/+36.3024,43.1898/@36.3024,43.1898,14z?hl=en","Maplink2")</f>
        <v>Maplink2</v>
      </c>
      <c r="AW2753" s="14" t="str">
        <f>HYPERLINK("http://www.bing.com/maps/?lvl=14&amp;sty=h&amp;cp=36.3024~43.1898&amp;sp=point.36.3024_43.1898_Al Sahiroon","Maplink3")</f>
        <v>Maplink3</v>
      </c>
    </row>
    <row r="2754" spans="1:49" ht="15" customHeight="1" x14ac:dyDescent="0.25">
      <c r="A2754" s="21">
        <v>24616</v>
      </c>
      <c r="B2754" s="22" t="s">
        <v>21</v>
      </c>
      <c r="C2754" s="22" t="s">
        <v>5305</v>
      </c>
      <c r="D2754" s="22" t="s">
        <v>5326</v>
      </c>
      <c r="E2754" s="22" t="s">
        <v>5327</v>
      </c>
      <c r="F2754" s="22">
        <v>36.253732999999997</v>
      </c>
      <c r="G2754" s="22">
        <v>43.178994000000003</v>
      </c>
      <c r="H2754" s="21" t="s">
        <v>5198</v>
      </c>
      <c r="I2754" s="21" t="s">
        <v>5308</v>
      </c>
      <c r="J2754" s="21"/>
      <c r="K2754" s="24">
        <v>13</v>
      </c>
      <c r="L2754" s="24">
        <v>78</v>
      </c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>
        <v>13</v>
      </c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>
        <v>8</v>
      </c>
      <c r="AK2754" s="23"/>
      <c r="AL2754" s="23"/>
      <c r="AM2754" s="23">
        <v>5</v>
      </c>
      <c r="AN2754" s="23"/>
      <c r="AO2754" s="23"/>
      <c r="AP2754" s="23"/>
      <c r="AQ2754" s="23"/>
      <c r="AR2754" s="23">
        <v>8</v>
      </c>
      <c r="AS2754" s="23"/>
      <c r="AT2754" s="23">
        <v>5</v>
      </c>
      <c r="AU2754" s="14" t="str">
        <f>HYPERLINK("http://www.openstreetmap.org/?mlat=36.2537&amp;mlon=43.179&amp;zoom=12#map=12/36.2537/43.179","Maplink1")</f>
        <v>Maplink1</v>
      </c>
      <c r="AV2754" s="14" t="str">
        <f>HYPERLINK("https://www.google.iq/maps/search/+36.2537,43.179/@36.2537,43.179,14z?hl=en","Maplink2")</f>
        <v>Maplink2</v>
      </c>
      <c r="AW2754" s="14" t="str">
        <f>HYPERLINK("http://www.bing.com/maps/?lvl=14&amp;sty=h&amp;cp=36.2537~43.179&amp;sp=point.36.2537_43.179_Al Shamsiyat","Maplink3")</f>
        <v>Maplink3</v>
      </c>
    </row>
    <row r="2755" spans="1:49" ht="15" customHeight="1" x14ac:dyDescent="0.25">
      <c r="A2755" s="21">
        <v>18356</v>
      </c>
      <c r="B2755" s="22" t="s">
        <v>21</v>
      </c>
      <c r="C2755" s="22" t="s">
        <v>5305</v>
      </c>
      <c r="D2755" s="22" t="s">
        <v>5328</v>
      </c>
      <c r="E2755" s="22" t="s">
        <v>3253</v>
      </c>
      <c r="F2755" s="22">
        <v>36.392499999999998</v>
      </c>
      <c r="G2755" s="22">
        <v>43.199166669999997</v>
      </c>
      <c r="H2755" s="21" t="s">
        <v>5198</v>
      </c>
      <c r="I2755" s="21" t="s">
        <v>5308</v>
      </c>
      <c r="J2755" s="21" t="s">
        <v>5329</v>
      </c>
      <c r="K2755" s="24">
        <v>195</v>
      </c>
      <c r="L2755" s="24">
        <v>1170</v>
      </c>
      <c r="M2755" s="23">
        <v>10</v>
      </c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175</v>
      </c>
      <c r="Z2755" s="23"/>
      <c r="AA2755" s="23">
        <v>10</v>
      </c>
      <c r="AB2755" s="23"/>
      <c r="AC2755" s="23"/>
      <c r="AD2755" s="23"/>
      <c r="AE2755" s="23"/>
      <c r="AF2755" s="23">
        <v>59</v>
      </c>
      <c r="AG2755" s="23"/>
      <c r="AH2755" s="23"/>
      <c r="AI2755" s="23"/>
      <c r="AJ2755" s="23"/>
      <c r="AK2755" s="23">
        <v>33</v>
      </c>
      <c r="AL2755" s="23">
        <v>55</v>
      </c>
      <c r="AM2755" s="23">
        <v>48</v>
      </c>
      <c r="AN2755" s="23"/>
      <c r="AO2755" s="23">
        <v>10</v>
      </c>
      <c r="AP2755" s="23"/>
      <c r="AQ2755" s="23">
        <v>110</v>
      </c>
      <c r="AR2755" s="23"/>
      <c r="AS2755" s="23">
        <v>68</v>
      </c>
      <c r="AT2755" s="23">
        <v>7</v>
      </c>
      <c r="AU2755" s="14" t="str">
        <f>HYPERLINK("http://www.openstreetmap.org/?mlat=36.3925&amp;mlon=43.1992&amp;zoom=12#map=12/36.3925/43.1992","Maplink1")</f>
        <v>Maplink1</v>
      </c>
      <c r="AV2755" s="14" t="str">
        <f>HYPERLINK("https://www.google.iq/maps/search/+36.3925,43.1992/@36.3925,43.1992,14z?hl=en","Maplink2")</f>
        <v>Maplink2</v>
      </c>
      <c r="AW2755" s="14" t="str">
        <f>HYPERLINK("http://www.bing.com/maps/?lvl=14&amp;sty=h&amp;cp=36.3925~43.1992&amp;sp=point.36.3925_43.1992_Al tahreer","Maplink3")</f>
        <v>Maplink3</v>
      </c>
    </row>
    <row r="2756" spans="1:49" ht="15" customHeight="1" x14ac:dyDescent="0.25">
      <c r="A2756" s="21">
        <v>25066</v>
      </c>
      <c r="B2756" s="22" t="s">
        <v>21</v>
      </c>
      <c r="C2756" s="22" t="s">
        <v>5305</v>
      </c>
      <c r="D2756" s="22" t="s">
        <v>5330</v>
      </c>
      <c r="E2756" s="22" t="s">
        <v>5331</v>
      </c>
      <c r="F2756" s="22">
        <v>36.341839</v>
      </c>
      <c r="G2756" s="22">
        <v>43.052996</v>
      </c>
      <c r="H2756" s="21" t="s">
        <v>5198</v>
      </c>
      <c r="I2756" s="21" t="s">
        <v>5308</v>
      </c>
      <c r="J2756" s="21"/>
      <c r="K2756" s="24">
        <v>285</v>
      </c>
      <c r="L2756" s="24">
        <v>1710</v>
      </c>
      <c r="M2756" s="23">
        <v>7</v>
      </c>
      <c r="N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>
        <v>268</v>
      </c>
      <c r="Z2756" s="23"/>
      <c r="AA2756" s="23">
        <v>10</v>
      </c>
      <c r="AB2756" s="23"/>
      <c r="AC2756" s="23"/>
      <c r="AD2756" s="23"/>
      <c r="AE2756" s="23"/>
      <c r="AF2756" s="23">
        <v>51</v>
      </c>
      <c r="AG2756" s="23"/>
      <c r="AH2756" s="23">
        <v>17</v>
      </c>
      <c r="AI2756" s="23"/>
      <c r="AJ2756" s="23"/>
      <c r="AK2756" s="23">
        <v>42</v>
      </c>
      <c r="AL2756" s="23"/>
      <c r="AM2756" s="23">
        <v>121</v>
      </c>
      <c r="AN2756" s="23">
        <v>54</v>
      </c>
      <c r="AO2756" s="23"/>
      <c r="AP2756" s="23"/>
      <c r="AQ2756" s="23"/>
      <c r="AR2756" s="23">
        <v>53</v>
      </c>
      <c r="AS2756" s="23">
        <v>82</v>
      </c>
      <c r="AT2756" s="23">
        <v>150</v>
      </c>
      <c r="AU2756" s="14" t="str">
        <f>HYPERLINK("http://www.openstreetmap.org/?mlat=36.3418&amp;mlon=43.053&amp;zoom=12#map=12/36.3418/43.053","Maplink1")</f>
        <v>Maplink1</v>
      </c>
      <c r="AV2756" s="14" t="str">
        <f>HYPERLINK("https://www.google.iq/maps/search/+36.3418,43.053/@36.3418,43.053,14z?hl=en","Maplink2")</f>
        <v>Maplink2</v>
      </c>
      <c r="AW2756" s="14" t="str">
        <f>HYPERLINK("http://www.bing.com/maps/?lvl=14&amp;sty=h&amp;cp=36.3418~43.053&amp;sp=point.36.3418_43.053_Al Tanak","Maplink3")</f>
        <v>Maplink3</v>
      </c>
    </row>
    <row r="2757" spans="1:49" ht="15" customHeight="1" x14ac:dyDescent="0.25">
      <c r="A2757" s="21">
        <v>18328</v>
      </c>
      <c r="B2757" s="22" t="s">
        <v>21</v>
      </c>
      <c r="C2757" s="22" t="s">
        <v>5305</v>
      </c>
      <c r="D2757" s="22" t="s">
        <v>5332</v>
      </c>
      <c r="E2757" s="22" t="s">
        <v>5333</v>
      </c>
      <c r="F2757" s="22">
        <v>36.353351000000004</v>
      </c>
      <c r="G2757" s="22">
        <v>43.214264</v>
      </c>
      <c r="H2757" s="21" t="s">
        <v>5198</v>
      </c>
      <c r="I2757" s="21" t="s">
        <v>5308</v>
      </c>
      <c r="J2757" s="21" t="s">
        <v>5334</v>
      </c>
      <c r="K2757" s="24">
        <v>41</v>
      </c>
      <c r="L2757" s="24">
        <v>246</v>
      </c>
      <c r="M2757" s="23">
        <v>16</v>
      </c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21</v>
      </c>
      <c r="Z2757" s="23"/>
      <c r="AA2757" s="23">
        <v>4</v>
      </c>
      <c r="AB2757" s="23"/>
      <c r="AC2757" s="23"/>
      <c r="AD2757" s="23"/>
      <c r="AE2757" s="23"/>
      <c r="AF2757" s="23">
        <v>2</v>
      </c>
      <c r="AG2757" s="23"/>
      <c r="AH2757" s="23"/>
      <c r="AI2757" s="23"/>
      <c r="AJ2757" s="23"/>
      <c r="AK2757" s="23">
        <v>4</v>
      </c>
      <c r="AL2757" s="23"/>
      <c r="AM2757" s="23">
        <v>14</v>
      </c>
      <c r="AN2757" s="23">
        <v>21</v>
      </c>
      <c r="AO2757" s="23">
        <v>6</v>
      </c>
      <c r="AP2757" s="23"/>
      <c r="AQ2757" s="23"/>
      <c r="AR2757" s="23"/>
      <c r="AS2757" s="23">
        <v>25</v>
      </c>
      <c r="AT2757" s="23">
        <v>10</v>
      </c>
      <c r="AU2757" s="14" t="str">
        <f>HYPERLINK("http://www.openstreetmap.org/?mlat=36.3534&amp;mlon=43.2143&amp;zoom=12#map=12/36.3534/43.2143","Maplink1")</f>
        <v>Maplink1</v>
      </c>
      <c r="AV2757" s="14" t="str">
        <f>HYPERLINK("https://www.google.iq/maps/search/+36.3534,43.2143/@36.3534,43.2143,14z?hl=en","Maplink2")</f>
        <v>Maplink2</v>
      </c>
      <c r="AW2757" s="14" t="str">
        <f>HYPERLINK("http://www.bing.com/maps/?lvl=14&amp;sty=h&amp;cp=36.3534~43.2143&amp;sp=point.36.3534_43.2143_Al-Akhaa","Maplink3")</f>
        <v>Maplink3</v>
      </c>
    </row>
    <row r="2758" spans="1:49" ht="15" customHeight="1" x14ac:dyDescent="0.25">
      <c r="A2758" s="21">
        <v>18365</v>
      </c>
      <c r="B2758" s="22" t="s">
        <v>21</v>
      </c>
      <c r="C2758" s="22" t="s">
        <v>5305</v>
      </c>
      <c r="D2758" s="22" t="s">
        <v>5335</v>
      </c>
      <c r="E2758" s="22" t="s">
        <v>5336</v>
      </c>
      <c r="F2758" s="22">
        <v>36.322032999999998</v>
      </c>
      <c r="G2758" s="22">
        <v>43.093643</v>
      </c>
      <c r="H2758" s="21" t="s">
        <v>5198</v>
      </c>
      <c r="I2758" s="21" t="s">
        <v>5308</v>
      </c>
      <c r="J2758" s="21"/>
      <c r="K2758" s="24">
        <v>85</v>
      </c>
      <c r="L2758" s="24">
        <v>510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36</v>
      </c>
      <c r="Z2758" s="23"/>
      <c r="AA2758" s="23">
        <v>49</v>
      </c>
      <c r="AB2758" s="23"/>
      <c r="AC2758" s="23"/>
      <c r="AD2758" s="23"/>
      <c r="AE2758" s="23"/>
      <c r="AF2758" s="23">
        <v>60</v>
      </c>
      <c r="AG2758" s="23"/>
      <c r="AH2758" s="23"/>
      <c r="AI2758" s="23"/>
      <c r="AJ2758" s="23"/>
      <c r="AK2758" s="23"/>
      <c r="AL2758" s="23"/>
      <c r="AM2758" s="23">
        <v>25</v>
      </c>
      <c r="AN2758" s="23"/>
      <c r="AO2758" s="23"/>
      <c r="AP2758" s="23"/>
      <c r="AQ2758" s="23"/>
      <c r="AR2758" s="23"/>
      <c r="AS2758" s="23">
        <v>69</v>
      </c>
      <c r="AT2758" s="23">
        <v>16</v>
      </c>
      <c r="AU2758" s="14" t="str">
        <f>HYPERLINK("http://www.openstreetmap.org/?mlat=36.322&amp;mlon=43.0936&amp;zoom=12#map=12/36.322/43.0936","Maplink1")</f>
        <v>Maplink1</v>
      </c>
      <c r="AV2758" s="14" t="str">
        <f>HYPERLINK("https://www.google.iq/maps/search/+36.322,43.0936/@36.322,43.0936,14z?hl=en","Maplink2")</f>
        <v>Maplink2</v>
      </c>
      <c r="AW2758" s="14" t="str">
        <f>HYPERLINK("http://www.bing.com/maps/?lvl=14&amp;sty=h&amp;cp=36.322~43.0936&amp;sp=point.36.322_43.0936_Al-Amil","Maplink3")</f>
        <v>Maplink3</v>
      </c>
    </row>
    <row r="2759" spans="1:49" ht="15" customHeight="1" x14ac:dyDescent="0.25">
      <c r="A2759" s="21">
        <v>18337</v>
      </c>
      <c r="B2759" s="22" t="s">
        <v>21</v>
      </c>
      <c r="C2759" s="22" t="s">
        <v>5305</v>
      </c>
      <c r="D2759" s="22" t="s">
        <v>5337</v>
      </c>
      <c r="E2759" s="22" t="s">
        <v>5338</v>
      </c>
      <c r="F2759" s="22">
        <v>36.387934000000001</v>
      </c>
      <c r="G2759" s="22">
        <v>43.178249000000001</v>
      </c>
      <c r="H2759" s="21" t="s">
        <v>5198</v>
      </c>
      <c r="I2759" s="21" t="s">
        <v>5308</v>
      </c>
      <c r="J2759" s="21" t="s">
        <v>5339</v>
      </c>
      <c r="K2759" s="24">
        <v>25</v>
      </c>
      <c r="L2759" s="24">
        <v>150</v>
      </c>
      <c r="M2759" s="23"/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25</v>
      </c>
      <c r="Z2759" s="23"/>
      <c r="AA2759" s="23"/>
      <c r="AB2759" s="23"/>
      <c r="AC2759" s="23"/>
      <c r="AD2759" s="23"/>
      <c r="AE2759" s="23"/>
      <c r="AF2759" s="23">
        <v>19</v>
      </c>
      <c r="AG2759" s="23"/>
      <c r="AH2759" s="23"/>
      <c r="AI2759" s="23"/>
      <c r="AJ2759" s="23"/>
      <c r="AK2759" s="23"/>
      <c r="AL2759" s="23"/>
      <c r="AM2759" s="23">
        <v>6</v>
      </c>
      <c r="AN2759" s="23"/>
      <c r="AO2759" s="23"/>
      <c r="AP2759" s="23"/>
      <c r="AQ2759" s="23"/>
      <c r="AR2759" s="23"/>
      <c r="AS2759" s="23">
        <v>17</v>
      </c>
      <c r="AT2759" s="23">
        <v>8</v>
      </c>
      <c r="AU2759" s="14" t="str">
        <f>HYPERLINK("http://www.openstreetmap.org/?mlat=36.3879&amp;mlon=43.1782&amp;zoom=12#map=12/36.3879/43.1782","Maplink1")</f>
        <v>Maplink1</v>
      </c>
      <c r="AV2759" s="14" t="str">
        <f>HYPERLINK("https://www.google.iq/maps/search/+36.3879,43.1782/@36.3879,43.1782,14z?hl=en","Maplink2")</f>
        <v>Maplink2</v>
      </c>
      <c r="AW2759" s="14" t="str">
        <f>HYPERLINK("http://www.bing.com/maps/?lvl=14&amp;sty=h&amp;cp=36.3879~43.1782&amp;sp=point.36.3879_43.1782_Al-Bareed","Maplink3")</f>
        <v>Maplink3</v>
      </c>
    </row>
    <row r="2760" spans="1:49" ht="15" customHeight="1" x14ac:dyDescent="0.25">
      <c r="A2760" s="21">
        <v>18331</v>
      </c>
      <c r="B2760" s="22" t="s">
        <v>21</v>
      </c>
      <c r="C2760" s="22" t="s">
        <v>5305</v>
      </c>
      <c r="D2760" s="22" t="s">
        <v>5340</v>
      </c>
      <c r="E2760" s="22" t="s">
        <v>5341</v>
      </c>
      <c r="F2760" s="22">
        <v>36.047438999999997</v>
      </c>
      <c r="G2760" s="22">
        <v>43.020274999999998</v>
      </c>
      <c r="H2760" s="21" t="s">
        <v>5198</v>
      </c>
      <c r="I2760" s="21" t="s">
        <v>5308</v>
      </c>
      <c r="J2760" s="21" t="s">
        <v>5342</v>
      </c>
      <c r="K2760" s="24">
        <v>106</v>
      </c>
      <c r="L2760" s="24">
        <v>636</v>
      </c>
      <c r="M2760" s="23">
        <v>12</v>
      </c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53</v>
      </c>
      <c r="Z2760" s="23"/>
      <c r="AA2760" s="23">
        <v>41</v>
      </c>
      <c r="AB2760" s="23"/>
      <c r="AC2760" s="23"/>
      <c r="AD2760" s="23"/>
      <c r="AE2760" s="23"/>
      <c r="AF2760" s="23">
        <v>26</v>
      </c>
      <c r="AG2760" s="23"/>
      <c r="AH2760" s="23">
        <v>12</v>
      </c>
      <c r="AI2760" s="23"/>
      <c r="AJ2760" s="23"/>
      <c r="AK2760" s="23">
        <v>36</v>
      </c>
      <c r="AL2760" s="23">
        <v>6</v>
      </c>
      <c r="AM2760" s="23">
        <v>26</v>
      </c>
      <c r="AN2760" s="23"/>
      <c r="AO2760" s="23">
        <v>7</v>
      </c>
      <c r="AP2760" s="23"/>
      <c r="AQ2760" s="23"/>
      <c r="AR2760" s="23">
        <v>15</v>
      </c>
      <c r="AS2760" s="23">
        <v>70</v>
      </c>
      <c r="AT2760" s="23">
        <v>14</v>
      </c>
      <c r="AU2760" s="14" t="str">
        <f>HYPERLINK("http://www.openstreetmap.org/?mlat=36.0474&amp;mlon=43.0203&amp;zoom=12#map=12/36.0474/43.0203","Maplink1")</f>
        <v>Maplink1</v>
      </c>
      <c r="AV2760" s="14" t="str">
        <f>HYPERLINK("https://www.google.iq/maps/search/+36.0474,43.0203/@36.0474,43.0203,14z?hl=en","Maplink2")</f>
        <v>Maplink2</v>
      </c>
      <c r="AW2760" s="14" t="str">
        <f>HYPERLINK("http://www.bing.com/maps/?lvl=14&amp;sty=h&amp;cp=36.0474~43.0203&amp;sp=point.36.0474_43.0203_Al-Hadbaa","Maplink3")</f>
        <v>Maplink3</v>
      </c>
    </row>
    <row r="2761" spans="1:49" ht="15" customHeight="1" x14ac:dyDescent="0.25">
      <c r="A2761" s="21">
        <v>24738</v>
      </c>
      <c r="B2761" s="22" t="s">
        <v>21</v>
      </c>
      <c r="C2761" s="22" t="s">
        <v>5305</v>
      </c>
      <c r="D2761" s="22" t="s">
        <v>5343</v>
      </c>
      <c r="E2761" s="22" t="s">
        <v>5344</v>
      </c>
      <c r="F2761" s="22">
        <v>36.386011000000003</v>
      </c>
      <c r="G2761" s="22">
        <v>43.075349000000003</v>
      </c>
      <c r="H2761" s="21" t="s">
        <v>5198</v>
      </c>
      <c r="I2761" s="21" t="s">
        <v>5308</v>
      </c>
      <c r="J2761" s="21"/>
      <c r="K2761" s="24">
        <v>135</v>
      </c>
      <c r="L2761" s="24">
        <v>810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135</v>
      </c>
      <c r="Z2761" s="23"/>
      <c r="AA2761" s="23"/>
      <c r="AB2761" s="23"/>
      <c r="AC2761" s="23"/>
      <c r="AD2761" s="23"/>
      <c r="AE2761" s="23"/>
      <c r="AF2761" s="23">
        <v>15</v>
      </c>
      <c r="AG2761" s="23"/>
      <c r="AH2761" s="23"/>
      <c r="AI2761" s="23"/>
      <c r="AJ2761" s="23"/>
      <c r="AK2761" s="23"/>
      <c r="AL2761" s="23"/>
      <c r="AM2761" s="23">
        <v>100</v>
      </c>
      <c r="AN2761" s="23">
        <v>20</v>
      </c>
      <c r="AO2761" s="23"/>
      <c r="AP2761" s="23"/>
      <c r="AQ2761" s="23"/>
      <c r="AR2761" s="23">
        <v>100</v>
      </c>
      <c r="AS2761" s="23">
        <v>20</v>
      </c>
      <c r="AT2761" s="23">
        <v>15</v>
      </c>
      <c r="AU2761" s="14" t="str">
        <f>HYPERLINK("http://www.openstreetmap.org/?mlat=36.386&amp;mlon=43.0753&amp;zoom=12#map=12/36.386/43.0753","Maplink1")</f>
        <v>Maplink1</v>
      </c>
      <c r="AV2761" s="14" t="str">
        <f>HYPERLINK("https://www.google.iq/maps/search/+36.386,43.0753/@36.386,43.0753,14z?hl=en","Maplink2")</f>
        <v>Maplink2</v>
      </c>
      <c r="AW2761" s="14" t="str">
        <f>HYPERLINK("http://www.bing.com/maps/?lvl=14&amp;sty=h&amp;cp=36.386~43.0753&amp;sp=point.36.386_43.0753_Al-Harmat 2","Maplink3")</f>
        <v>Maplink3</v>
      </c>
    </row>
    <row r="2762" spans="1:49" ht="15" customHeight="1" x14ac:dyDescent="0.25">
      <c r="A2762" s="21">
        <v>18339</v>
      </c>
      <c r="B2762" s="22" t="s">
        <v>21</v>
      </c>
      <c r="C2762" s="22" t="s">
        <v>5305</v>
      </c>
      <c r="D2762" s="22" t="s">
        <v>5345</v>
      </c>
      <c r="E2762" s="22" t="s">
        <v>5346</v>
      </c>
      <c r="F2762" s="22">
        <v>36.348815999999999</v>
      </c>
      <c r="G2762" s="22">
        <v>43.223954999999997</v>
      </c>
      <c r="H2762" s="21" t="s">
        <v>5198</v>
      </c>
      <c r="I2762" s="21" t="s">
        <v>5308</v>
      </c>
      <c r="J2762" s="21" t="s">
        <v>5347</v>
      </c>
      <c r="K2762" s="24">
        <v>270</v>
      </c>
      <c r="L2762" s="24">
        <v>1620</v>
      </c>
      <c r="M2762" s="23">
        <v>95</v>
      </c>
      <c r="N2762" s="23"/>
      <c r="O2762" s="23"/>
      <c r="P2762" s="23"/>
      <c r="Q2762" s="23"/>
      <c r="R2762" s="23"/>
      <c r="S2762" s="23"/>
      <c r="T2762" s="23"/>
      <c r="U2762" s="23">
        <v>42</v>
      </c>
      <c r="V2762" s="23"/>
      <c r="W2762" s="23"/>
      <c r="X2762" s="23"/>
      <c r="Y2762" s="23">
        <v>102</v>
      </c>
      <c r="Z2762" s="23"/>
      <c r="AA2762" s="23">
        <v>31</v>
      </c>
      <c r="AB2762" s="23"/>
      <c r="AC2762" s="23"/>
      <c r="AD2762" s="23"/>
      <c r="AE2762" s="23"/>
      <c r="AF2762" s="23">
        <v>70</v>
      </c>
      <c r="AG2762" s="23"/>
      <c r="AH2762" s="23"/>
      <c r="AI2762" s="23">
        <v>15</v>
      </c>
      <c r="AJ2762" s="23"/>
      <c r="AK2762" s="23">
        <v>51</v>
      </c>
      <c r="AL2762" s="23">
        <v>10</v>
      </c>
      <c r="AM2762" s="23">
        <v>59</v>
      </c>
      <c r="AN2762" s="23">
        <v>65</v>
      </c>
      <c r="AO2762" s="23">
        <v>2</v>
      </c>
      <c r="AP2762" s="23"/>
      <c r="AQ2762" s="23"/>
      <c r="AR2762" s="23">
        <v>78</v>
      </c>
      <c r="AS2762" s="23">
        <v>138</v>
      </c>
      <c r="AT2762" s="23">
        <v>52</v>
      </c>
      <c r="AU2762" s="14" t="str">
        <f>HYPERLINK("http://www.openstreetmap.org/?mlat=36.3488&amp;mlon=43.224&amp;zoom=12#map=12/36.3488/43.224","Maplink1")</f>
        <v>Maplink1</v>
      </c>
      <c r="AV2762" s="14" t="str">
        <f>HYPERLINK("https://www.google.iq/maps/search/+36.3488,43.224/@36.3488,43.224,14z?hl=en","Maplink2")</f>
        <v>Maplink2</v>
      </c>
      <c r="AW2762" s="14" t="str">
        <f>HYPERLINK("http://www.bing.com/maps/?lvl=14&amp;sty=h&amp;cp=36.3488~43.224&amp;sp=point.36.3488_43.224_Al-Karamah","Maplink3")</f>
        <v>Maplink3</v>
      </c>
    </row>
    <row r="2763" spans="1:49" ht="15" customHeight="1" x14ac:dyDescent="0.25">
      <c r="A2763" s="21">
        <v>18369</v>
      </c>
      <c r="B2763" s="22" t="s">
        <v>21</v>
      </c>
      <c r="C2763" s="22" t="s">
        <v>5305</v>
      </c>
      <c r="D2763" s="22" t="s">
        <v>5348</v>
      </c>
      <c r="E2763" s="22" t="s">
        <v>615</v>
      </c>
      <c r="F2763" s="22">
        <v>36.397115999999997</v>
      </c>
      <c r="G2763" s="22">
        <v>43.119337000000002</v>
      </c>
      <c r="H2763" s="21" t="s">
        <v>5198</v>
      </c>
      <c r="I2763" s="21" t="s">
        <v>5308</v>
      </c>
      <c r="J2763" s="21" t="s">
        <v>5349</v>
      </c>
      <c r="K2763" s="24">
        <v>28</v>
      </c>
      <c r="L2763" s="24">
        <v>168</v>
      </c>
      <c r="M2763" s="23">
        <v>8</v>
      </c>
      <c r="N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/>
      <c r="AA2763" s="23">
        <v>20</v>
      </c>
      <c r="AB2763" s="23"/>
      <c r="AC2763" s="23"/>
      <c r="AD2763" s="23"/>
      <c r="AE2763" s="23"/>
      <c r="AF2763" s="23">
        <v>6</v>
      </c>
      <c r="AG2763" s="23"/>
      <c r="AH2763" s="23"/>
      <c r="AI2763" s="23"/>
      <c r="AJ2763" s="23"/>
      <c r="AK2763" s="23">
        <v>2</v>
      </c>
      <c r="AL2763" s="23"/>
      <c r="AM2763" s="23"/>
      <c r="AN2763" s="23">
        <v>20</v>
      </c>
      <c r="AO2763" s="23">
        <v>8</v>
      </c>
      <c r="AP2763" s="23"/>
      <c r="AQ2763" s="23"/>
      <c r="AR2763" s="23"/>
      <c r="AS2763" s="23">
        <v>20</v>
      </c>
      <c r="AT2763" s="23"/>
      <c r="AU2763" s="14" t="str">
        <f>HYPERLINK("http://www.openstreetmap.org/?mlat=36.3971&amp;mlon=43.1193&amp;zoom=12#map=12/36.3971/43.1193","Maplink1")</f>
        <v>Maplink1</v>
      </c>
      <c r="AV2763" s="14" t="str">
        <f>HYPERLINK("https://www.google.iq/maps/search/+36.3971,43.1193/@36.3971,43.1193,14z?hl=en","Maplink2")</f>
        <v>Maplink2</v>
      </c>
      <c r="AW2763" s="14" t="str">
        <f>HYPERLINK("http://www.bing.com/maps/?lvl=14&amp;sty=h&amp;cp=36.3971~43.1193&amp;sp=point.36.3971_43.1193_Al-Khadraa","Maplink3")</f>
        <v>Maplink3</v>
      </c>
    </row>
    <row r="2764" spans="1:49" ht="15" customHeight="1" x14ac:dyDescent="0.25">
      <c r="A2764" s="21">
        <v>20993</v>
      </c>
      <c r="B2764" s="22" t="s">
        <v>21</v>
      </c>
      <c r="C2764" s="22" t="s">
        <v>5305</v>
      </c>
      <c r="D2764" s="22" t="s">
        <v>5350</v>
      </c>
      <c r="E2764" s="22" t="s">
        <v>5351</v>
      </c>
      <c r="F2764" s="22">
        <v>36.338020999999998</v>
      </c>
      <c r="G2764" s="22">
        <v>43.120255999999998</v>
      </c>
      <c r="H2764" s="21" t="s">
        <v>5198</v>
      </c>
      <c r="I2764" s="21" t="s">
        <v>5308</v>
      </c>
      <c r="J2764" s="21"/>
      <c r="K2764" s="24">
        <v>18</v>
      </c>
      <c r="L2764" s="24">
        <v>108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18</v>
      </c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>
        <v>15</v>
      </c>
      <c r="AL2764" s="23">
        <v>3</v>
      </c>
      <c r="AM2764" s="23"/>
      <c r="AN2764" s="23"/>
      <c r="AO2764" s="23"/>
      <c r="AP2764" s="23"/>
      <c r="AQ2764" s="23"/>
      <c r="AR2764" s="23">
        <v>3</v>
      </c>
      <c r="AS2764" s="23">
        <v>15</v>
      </c>
      <c r="AT2764" s="23"/>
      <c r="AU2764" s="14" t="str">
        <f>HYPERLINK("http://www.openstreetmap.org/?mlat=36.338&amp;mlon=43.1203&amp;zoom=12#map=12/36.338/43.1203","Maplink1")</f>
        <v>Maplink1</v>
      </c>
      <c r="AV2764" s="14" t="str">
        <f>HYPERLINK("https://www.google.iq/maps/search/+36.338,43.1203/@36.338,43.1203,14z?hl=en","Maplink2")</f>
        <v>Maplink2</v>
      </c>
      <c r="AW2764" s="14" t="str">
        <f>HYPERLINK("http://www.bing.com/maps/?lvl=14&amp;sty=h&amp;cp=36.338~43.1203&amp;sp=point.36.338_43.1203_Al-Khazraj","Maplink3")</f>
        <v>Maplink3</v>
      </c>
    </row>
    <row r="2765" spans="1:49" ht="15" customHeight="1" x14ac:dyDescent="0.25">
      <c r="A2765" s="21">
        <v>18346</v>
      </c>
      <c r="B2765" s="22" t="s">
        <v>21</v>
      </c>
      <c r="C2765" s="22" t="s">
        <v>5305</v>
      </c>
      <c r="D2765" s="22" t="s">
        <v>5352</v>
      </c>
      <c r="E2765" s="22" t="s">
        <v>8075</v>
      </c>
      <c r="F2765" s="22">
        <v>36.307327999999998</v>
      </c>
      <c r="G2765" s="22">
        <v>43.106540000000003</v>
      </c>
      <c r="H2765" s="21" t="s">
        <v>5198</v>
      </c>
      <c r="I2765" s="21" t="s">
        <v>5308</v>
      </c>
      <c r="J2765" s="21"/>
      <c r="K2765" s="24">
        <v>339</v>
      </c>
      <c r="L2765" s="24">
        <v>2034</v>
      </c>
      <c r="M2765" s="23"/>
      <c r="N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>
        <v>100</v>
      </c>
      <c r="Z2765" s="23"/>
      <c r="AA2765" s="23">
        <v>239</v>
      </c>
      <c r="AB2765" s="23"/>
      <c r="AC2765" s="23"/>
      <c r="AD2765" s="23"/>
      <c r="AE2765" s="23"/>
      <c r="AF2765" s="23">
        <v>76</v>
      </c>
      <c r="AG2765" s="23"/>
      <c r="AH2765" s="23">
        <v>11</v>
      </c>
      <c r="AI2765" s="23"/>
      <c r="AJ2765" s="23"/>
      <c r="AK2765" s="23">
        <v>23</v>
      </c>
      <c r="AL2765" s="23">
        <v>15</v>
      </c>
      <c r="AM2765" s="23">
        <v>115</v>
      </c>
      <c r="AN2765" s="23">
        <v>99</v>
      </c>
      <c r="AO2765" s="23"/>
      <c r="AP2765" s="23"/>
      <c r="AQ2765" s="23"/>
      <c r="AR2765" s="23"/>
      <c r="AS2765" s="23">
        <v>147</v>
      </c>
      <c r="AT2765" s="23">
        <v>192</v>
      </c>
      <c r="AU2765" s="14" t="str">
        <f>HYPERLINK("http://www.openstreetmap.org/?mlat=36.3073&amp;mlon=43.1065&amp;zoom=12#map=12/36.3073/43.1065","Maplink1")</f>
        <v>Maplink1</v>
      </c>
      <c r="AV2765" s="14" t="str">
        <f>HYPERLINK("https://www.google.iq/maps/search/+36.3073,43.1065/@36.3073,43.1065,14z?hl=en","Maplink2")</f>
        <v>Maplink2</v>
      </c>
      <c r="AW2765" s="14" t="str">
        <f>HYPERLINK("http://www.bing.com/maps/?lvl=14&amp;sty=h&amp;cp=36.3073~43.1065&amp;sp=point.36.3073_43.1065_Al-Maamon","Maplink3")</f>
        <v>Maplink3</v>
      </c>
    </row>
    <row r="2766" spans="1:49" ht="15" customHeight="1" x14ac:dyDescent="0.25">
      <c r="A2766" s="21">
        <v>18375</v>
      </c>
      <c r="B2766" s="22" t="s">
        <v>21</v>
      </c>
      <c r="C2766" s="22" t="s">
        <v>5305</v>
      </c>
      <c r="D2766" s="22" t="s">
        <v>5353</v>
      </c>
      <c r="E2766" s="22" t="s">
        <v>5354</v>
      </c>
      <c r="F2766" s="22">
        <v>36.321666669999999</v>
      </c>
      <c r="G2766" s="22">
        <v>43.112777780000002</v>
      </c>
      <c r="H2766" s="21" t="s">
        <v>5198</v>
      </c>
      <c r="I2766" s="21" t="s">
        <v>5308</v>
      </c>
      <c r="J2766" s="21" t="s">
        <v>5355</v>
      </c>
      <c r="K2766" s="24">
        <v>177</v>
      </c>
      <c r="L2766" s="24">
        <v>1062</v>
      </c>
      <c r="M2766" s="23"/>
      <c r="N2766" s="23"/>
      <c r="O2766" s="23"/>
      <c r="P2766" s="23"/>
      <c r="Q2766" s="23"/>
      <c r="R2766" s="23"/>
      <c r="S2766" s="23"/>
      <c r="T2766" s="23"/>
      <c r="U2766" s="23">
        <v>17</v>
      </c>
      <c r="V2766" s="23"/>
      <c r="W2766" s="23"/>
      <c r="X2766" s="23"/>
      <c r="Y2766" s="23">
        <v>102</v>
      </c>
      <c r="Z2766" s="23"/>
      <c r="AA2766" s="23">
        <v>58</v>
      </c>
      <c r="AB2766" s="23"/>
      <c r="AC2766" s="23"/>
      <c r="AD2766" s="23"/>
      <c r="AE2766" s="23"/>
      <c r="AF2766" s="23">
        <v>81</v>
      </c>
      <c r="AG2766" s="23"/>
      <c r="AH2766" s="23"/>
      <c r="AI2766" s="23"/>
      <c r="AJ2766" s="23">
        <v>10</v>
      </c>
      <c r="AK2766" s="23"/>
      <c r="AL2766" s="23">
        <v>10</v>
      </c>
      <c r="AM2766" s="23">
        <v>51</v>
      </c>
      <c r="AN2766" s="23">
        <v>25</v>
      </c>
      <c r="AO2766" s="23"/>
      <c r="AP2766" s="23"/>
      <c r="AQ2766" s="23">
        <v>22</v>
      </c>
      <c r="AR2766" s="23">
        <v>36</v>
      </c>
      <c r="AS2766" s="23">
        <v>93</v>
      </c>
      <c r="AT2766" s="23">
        <v>26</v>
      </c>
      <c r="AU2766" s="14" t="str">
        <f>HYPERLINK("http://www.openstreetmap.org/?mlat=36.3217&amp;mlon=43.1128&amp;zoom=12#map=12/36.3217/43.1128","Maplink1")</f>
        <v>Maplink1</v>
      </c>
      <c r="AV2766" s="14" t="str">
        <f>HYPERLINK("https://www.google.iq/maps/search/+36.3217,43.1128/@36.3217,43.1128,14z?hl=en","Maplink2")</f>
        <v>Maplink2</v>
      </c>
      <c r="AW2766" s="14" t="str">
        <f>HYPERLINK("http://www.bing.com/maps/?lvl=14&amp;sty=h&amp;cp=36.3217~43.1128&amp;sp=point.36.3217_43.1128_Al-Mansour","Maplink3")</f>
        <v>Maplink3</v>
      </c>
    </row>
    <row r="2767" spans="1:49" ht="15" customHeight="1" x14ac:dyDescent="0.25">
      <c r="A2767" s="21">
        <v>24550</v>
      </c>
      <c r="B2767" s="22" t="s">
        <v>21</v>
      </c>
      <c r="C2767" s="22" t="s">
        <v>5305</v>
      </c>
      <c r="D2767" s="22" t="s">
        <v>5356</v>
      </c>
      <c r="E2767" s="22" t="s">
        <v>5357</v>
      </c>
      <c r="F2767" s="22">
        <v>36.330013000000001</v>
      </c>
      <c r="G2767" s="22">
        <v>43.208331999999999</v>
      </c>
      <c r="H2767" s="21" t="s">
        <v>5198</v>
      </c>
      <c r="I2767" s="21" t="s">
        <v>5308</v>
      </c>
      <c r="J2767" s="21"/>
      <c r="K2767" s="24">
        <v>80</v>
      </c>
      <c r="L2767" s="24">
        <v>480</v>
      </c>
      <c r="M2767" s="23">
        <v>15</v>
      </c>
      <c r="N2767" s="23"/>
      <c r="O2767" s="23"/>
      <c r="P2767" s="23"/>
      <c r="Q2767" s="23"/>
      <c r="R2767" s="23"/>
      <c r="S2767" s="23"/>
      <c r="T2767" s="23"/>
      <c r="U2767" s="23">
        <v>24</v>
      </c>
      <c r="V2767" s="23"/>
      <c r="W2767" s="23"/>
      <c r="X2767" s="23"/>
      <c r="Y2767" s="23">
        <v>37</v>
      </c>
      <c r="Z2767" s="23"/>
      <c r="AA2767" s="23">
        <v>4</v>
      </c>
      <c r="AB2767" s="23"/>
      <c r="AC2767" s="23"/>
      <c r="AD2767" s="23"/>
      <c r="AE2767" s="23"/>
      <c r="AF2767" s="23">
        <v>28</v>
      </c>
      <c r="AG2767" s="23"/>
      <c r="AH2767" s="23"/>
      <c r="AI2767" s="23"/>
      <c r="AJ2767" s="23"/>
      <c r="AK2767" s="23">
        <v>7</v>
      </c>
      <c r="AL2767" s="23">
        <v>9</v>
      </c>
      <c r="AM2767" s="23">
        <v>36</v>
      </c>
      <c r="AN2767" s="23"/>
      <c r="AO2767" s="23"/>
      <c r="AP2767" s="23"/>
      <c r="AQ2767" s="23">
        <v>13</v>
      </c>
      <c r="AR2767" s="23">
        <v>16</v>
      </c>
      <c r="AS2767" s="23">
        <v>43</v>
      </c>
      <c r="AT2767" s="23">
        <v>8</v>
      </c>
      <c r="AU2767" s="14" t="str">
        <f>HYPERLINK("http://www.openstreetmap.org/?mlat=36.33&amp;mlon=43.2083&amp;zoom=12#map=12/36.33/43.2083","Maplink1")</f>
        <v>Maplink1</v>
      </c>
      <c r="AV2767" s="14" t="str">
        <f>HYPERLINK("https://www.google.iq/maps/search/+36.33,43.2083/@36.33,43.2083,14z?hl=en","Maplink2")</f>
        <v>Maplink2</v>
      </c>
      <c r="AW2767" s="14" t="str">
        <f>HYPERLINK("http://www.bing.com/maps/?lvl=14&amp;sty=h&amp;cp=36.33~43.2083&amp;sp=point.36.33_43.2083_Al-Methaq","Maplink3")</f>
        <v>Maplink3</v>
      </c>
    </row>
    <row r="2768" spans="1:49" ht="15" customHeight="1" x14ac:dyDescent="0.25">
      <c r="A2768" s="21">
        <v>18393</v>
      </c>
      <c r="B2768" s="22" t="s">
        <v>21</v>
      </c>
      <c r="C2768" s="22" t="s">
        <v>5305</v>
      </c>
      <c r="D2768" s="22" t="s">
        <v>5358</v>
      </c>
      <c r="E2768" s="22" t="s">
        <v>4127</v>
      </c>
      <c r="F2768" s="22">
        <v>36.329236999999999</v>
      </c>
      <c r="G2768" s="22">
        <v>43.114621100000001</v>
      </c>
      <c r="H2768" s="21" t="s">
        <v>5198</v>
      </c>
      <c r="I2768" s="21" t="s">
        <v>5308</v>
      </c>
      <c r="J2768" s="21" t="s">
        <v>5359</v>
      </c>
      <c r="K2768" s="24">
        <v>52</v>
      </c>
      <c r="L2768" s="24">
        <v>312</v>
      </c>
      <c r="M2768" s="23">
        <v>3</v>
      </c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34</v>
      </c>
      <c r="Z2768" s="23"/>
      <c r="AA2768" s="23">
        <v>15</v>
      </c>
      <c r="AB2768" s="23"/>
      <c r="AC2768" s="23"/>
      <c r="AD2768" s="23"/>
      <c r="AE2768" s="23"/>
      <c r="AF2768" s="23">
        <v>21</v>
      </c>
      <c r="AG2768" s="23"/>
      <c r="AH2768" s="23"/>
      <c r="AI2768" s="23"/>
      <c r="AJ2768" s="23"/>
      <c r="AK2768" s="23">
        <v>16</v>
      </c>
      <c r="AL2768" s="23"/>
      <c r="AM2768" s="23"/>
      <c r="AN2768" s="23">
        <v>15</v>
      </c>
      <c r="AO2768" s="23">
        <v>3</v>
      </c>
      <c r="AP2768" s="23"/>
      <c r="AQ2768" s="23"/>
      <c r="AR2768" s="23"/>
      <c r="AS2768" s="23">
        <v>49</v>
      </c>
      <c r="AT2768" s="23"/>
      <c r="AU2768" s="14" t="str">
        <f>HYPERLINK("http://www.openstreetmap.org/?mlat=36.3292&amp;mlon=43.1146&amp;zoom=12#map=12/36.3292/43.1146","Maplink1")</f>
        <v>Maplink1</v>
      </c>
      <c r="AV2768" s="14" t="str">
        <f>HYPERLINK("https://www.google.iq/maps/search/+36.3292,43.1146/@36.3292,43.1146,14z?hl=en","Maplink2")</f>
        <v>Maplink2</v>
      </c>
      <c r="AW2768" s="14" t="str">
        <f>HYPERLINK("http://www.bing.com/maps/?lvl=14&amp;sty=h&amp;cp=36.3292~43.1146&amp;sp=point.36.3292_43.1146_Al-Muhandiseen","Maplink3")</f>
        <v>Maplink3</v>
      </c>
    </row>
    <row r="2769" spans="1:49" ht="15" customHeight="1" x14ac:dyDescent="0.25">
      <c r="A2769" s="21">
        <v>20782</v>
      </c>
      <c r="B2769" s="22" t="s">
        <v>21</v>
      </c>
      <c r="C2769" s="22" t="s">
        <v>5305</v>
      </c>
      <c r="D2769" s="22" t="s">
        <v>5360</v>
      </c>
      <c r="E2769" s="22" t="s">
        <v>1379</v>
      </c>
      <c r="F2769" s="22">
        <v>36.22</v>
      </c>
      <c r="G2769" s="22">
        <v>43.11</v>
      </c>
      <c r="H2769" s="21" t="s">
        <v>5198</v>
      </c>
      <c r="I2769" s="21" t="s">
        <v>5308</v>
      </c>
      <c r="J2769" s="21" t="s">
        <v>5361</v>
      </c>
      <c r="K2769" s="24">
        <v>111</v>
      </c>
      <c r="L2769" s="24">
        <v>666</v>
      </c>
      <c r="M2769" s="23">
        <v>5</v>
      </c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106</v>
      </c>
      <c r="Z2769" s="23"/>
      <c r="AA2769" s="23"/>
      <c r="AB2769" s="23"/>
      <c r="AC2769" s="23"/>
      <c r="AD2769" s="23"/>
      <c r="AE2769" s="23"/>
      <c r="AF2769" s="23">
        <v>31</v>
      </c>
      <c r="AG2769" s="23"/>
      <c r="AH2769" s="23"/>
      <c r="AI2769" s="23"/>
      <c r="AJ2769" s="23"/>
      <c r="AK2769" s="23">
        <v>80</v>
      </c>
      <c r="AL2769" s="23"/>
      <c r="AM2769" s="23"/>
      <c r="AN2769" s="23"/>
      <c r="AO2769" s="23">
        <v>5</v>
      </c>
      <c r="AP2769" s="23"/>
      <c r="AQ2769" s="23"/>
      <c r="AR2769" s="23"/>
      <c r="AS2769" s="23">
        <v>70</v>
      </c>
      <c r="AT2769" s="23">
        <v>36</v>
      </c>
      <c r="AU2769" s="14" t="str">
        <f>HYPERLINK("http://www.openstreetmap.org/?mlat=36.22&amp;mlon=43.11&amp;zoom=12#map=12/36.22/43.11","Maplink1")</f>
        <v>Maplink1</v>
      </c>
      <c r="AV2769" s="14" t="str">
        <f>HYPERLINK("https://www.google.iq/maps/search/+36.22,43.11/@36.22,43.11,14z?hl=en","Maplink2")</f>
        <v>Maplink2</v>
      </c>
      <c r="AW2769" s="14" t="str">
        <f>HYPERLINK("http://www.bing.com/maps/?lvl=14&amp;sty=h&amp;cp=36.22~43.11&amp;sp=point.36.22_43.11_Al-Muharibeen","Maplink3")</f>
        <v>Maplink3</v>
      </c>
    </row>
    <row r="2770" spans="1:49" ht="15" customHeight="1" x14ac:dyDescent="0.25">
      <c r="A2770" s="21">
        <v>18244</v>
      </c>
      <c r="B2770" s="22" t="s">
        <v>21</v>
      </c>
      <c r="C2770" s="22" t="s">
        <v>5305</v>
      </c>
      <c r="D2770" s="22" t="s">
        <v>5362</v>
      </c>
      <c r="E2770" s="22" t="s">
        <v>5363</v>
      </c>
      <c r="F2770" s="22">
        <v>36.341299999999997</v>
      </c>
      <c r="G2770" s="22">
        <v>43.139400000000002</v>
      </c>
      <c r="H2770" s="21" t="s">
        <v>5198</v>
      </c>
      <c r="I2770" s="21" t="s">
        <v>5308</v>
      </c>
      <c r="J2770" s="21" t="s">
        <v>5364</v>
      </c>
      <c r="K2770" s="24">
        <v>17</v>
      </c>
      <c r="L2770" s="24">
        <v>102</v>
      </c>
      <c r="M2770" s="23">
        <v>2</v>
      </c>
      <c r="N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>
        <v>15</v>
      </c>
      <c r="Z2770" s="23"/>
      <c r="AA2770" s="23"/>
      <c r="AB2770" s="23"/>
      <c r="AC2770" s="23"/>
      <c r="AD2770" s="23"/>
      <c r="AE2770" s="23"/>
      <c r="AF2770" s="23">
        <v>15</v>
      </c>
      <c r="AG2770" s="23"/>
      <c r="AH2770" s="23"/>
      <c r="AI2770" s="23"/>
      <c r="AJ2770" s="23"/>
      <c r="AK2770" s="23">
        <v>2</v>
      </c>
      <c r="AL2770" s="23"/>
      <c r="AM2770" s="23"/>
      <c r="AN2770" s="23"/>
      <c r="AO2770" s="23">
        <v>2</v>
      </c>
      <c r="AP2770" s="23"/>
      <c r="AQ2770" s="23"/>
      <c r="AR2770" s="23"/>
      <c r="AS2770" s="23">
        <v>15</v>
      </c>
      <c r="AT2770" s="23"/>
      <c r="AU2770" s="14" t="str">
        <f>HYPERLINK("http://www.openstreetmap.org/?mlat=36.3413&amp;mlon=43.1394&amp;zoom=12#map=12/36.3413/43.1394","Maplink1")</f>
        <v>Maplink1</v>
      </c>
      <c r="AV2770" s="14" t="str">
        <f>HYPERLINK("https://www.google.iq/maps/search/+36.3413,43.1394/@36.3413,43.1394,14z?hl=en","Maplink2")</f>
        <v>Maplink2</v>
      </c>
      <c r="AW2770" s="14" t="str">
        <f>HYPERLINK("http://www.bing.com/maps/?lvl=14&amp;sty=h&amp;cp=36.3413~43.1394&amp;sp=point.36.3413_43.1394_Al-Nabi Sheet","Maplink3")</f>
        <v>Maplink3</v>
      </c>
    </row>
    <row r="2771" spans="1:49" ht="15" customHeight="1" x14ac:dyDescent="0.25">
      <c r="A2771" s="21">
        <v>18336</v>
      </c>
      <c r="B2771" s="22" t="s">
        <v>21</v>
      </c>
      <c r="C2771" s="22" t="s">
        <v>5305</v>
      </c>
      <c r="D2771" s="22" t="s">
        <v>5365</v>
      </c>
      <c r="E2771" s="22" t="s">
        <v>5100</v>
      </c>
      <c r="F2771" s="22">
        <v>36.363207000000003</v>
      </c>
      <c r="G2771" s="22">
        <v>43.185639999999999</v>
      </c>
      <c r="H2771" s="21" t="s">
        <v>5198</v>
      </c>
      <c r="I2771" s="21" t="s">
        <v>5308</v>
      </c>
      <c r="J2771" s="21" t="s">
        <v>5366</v>
      </c>
      <c r="K2771" s="24">
        <v>77</v>
      </c>
      <c r="L2771" s="24">
        <v>462</v>
      </c>
      <c r="M2771" s="23">
        <v>19</v>
      </c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48</v>
      </c>
      <c r="Z2771" s="23"/>
      <c r="AA2771" s="23">
        <v>10</v>
      </c>
      <c r="AB2771" s="23"/>
      <c r="AC2771" s="23"/>
      <c r="AD2771" s="23"/>
      <c r="AE2771" s="23"/>
      <c r="AF2771" s="23">
        <v>48</v>
      </c>
      <c r="AG2771" s="23"/>
      <c r="AH2771" s="23"/>
      <c r="AI2771" s="23"/>
      <c r="AJ2771" s="23"/>
      <c r="AK2771" s="23">
        <v>10</v>
      </c>
      <c r="AL2771" s="23"/>
      <c r="AM2771" s="23">
        <v>9</v>
      </c>
      <c r="AN2771" s="23">
        <v>10</v>
      </c>
      <c r="AO2771" s="23">
        <v>10</v>
      </c>
      <c r="AP2771" s="23"/>
      <c r="AQ2771" s="23">
        <v>10</v>
      </c>
      <c r="AR2771" s="23">
        <v>40</v>
      </c>
      <c r="AS2771" s="23">
        <v>17</v>
      </c>
      <c r="AT2771" s="23"/>
      <c r="AU2771" s="14" t="str">
        <f>HYPERLINK("http://www.openstreetmap.org/?mlat=36.3632&amp;mlon=43.1856&amp;zoom=12#map=12/36.3632/43.1856","Maplink1")</f>
        <v>Maplink1</v>
      </c>
      <c r="AV2771" s="14" t="str">
        <f>HYPERLINK("https://www.google.iq/maps/search/+36.3632,43.1856/@36.3632,43.1856,14z?hl=en","Maplink2")</f>
        <v>Maplink2</v>
      </c>
      <c r="AW2771" s="14" t="str">
        <f>HYPERLINK("http://www.bing.com/maps/?lvl=14&amp;sty=h&amp;cp=36.3632~43.1856&amp;sp=point.36.3632_43.1856_Al-Noor","Maplink3")</f>
        <v>Maplink3</v>
      </c>
    </row>
    <row r="2772" spans="1:49" ht="15" customHeight="1" x14ac:dyDescent="0.25">
      <c r="A2772" s="21">
        <v>18348</v>
      </c>
      <c r="B2772" s="22" t="s">
        <v>21</v>
      </c>
      <c r="C2772" s="22" t="s">
        <v>5305</v>
      </c>
      <c r="D2772" s="22" t="s">
        <v>5367</v>
      </c>
      <c r="E2772" s="22" t="s">
        <v>5368</v>
      </c>
      <c r="F2772" s="22">
        <v>36.352753</v>
      </c>
      <c r="G2772" s="22">
        <v>43.159832000000002</v>
      </c>
      <c r="H2772" s="21" t="s">
        <v>5198</v>
      </c>
      <c r="I2772" s="21" t="s">
        <v>5308</v>
      </c>
      <c r="J2772" s="21" t="s">
        <v>5369</v>
      </c>
      <c r="K2772" s="24">
        <v>12</v>
      </c>
      <c r="L2772" s="24">
        <v>72</v>
      </c>
      <c r="M2772" s="23">
        <v>2</v>
      </c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10</v>
      </c>
      <c r="Z2772" s="23"/>
      <c r="AA2772" s="23"/>
      <c r="AB2772" s="23"/>
      <c r="AC2772" s="23"/>
      <c r="AD2772" s="23"/>
      <c r="AE2772" s="23"/>
      <c r="AF2772" s="23">
        <v>10</v>
      </c>
      <c r="AG2772" s="23"/>
      <c r="AH2772" s="23"/>
      <c r="AI2772" s="23"/>
      <c r="AJ2772" s="23"/>
      <c r="AK2772" s="23">
        <v>2</v>
      </c>
      <c r="AL2772" s="23"/>
      <c r="AM2772" s="23"/>
      <c r="AN2772" s="23"/>
      <c r="AO2772" s="23">
        <v>2</v>
      </c>
      <c r="AP2772" s="23"/>
      <c r="AQ2772" s="23"/>
      <c r="AR2772" s="23"/>
      <c r="AS2772" s="23">
        <v>10</v>
      </c>
      <c r="AT2772" s="23"/>
      <c r="AU2772" s="14" t="str">
        <f>HYPERLINK("http://www.openstreetmap.org/?mlat=36.3528&amp;mlon=43.1598&amp;zoom=12#map=12/36.3528/43.1598","Maplink1")</f>
        <v>Maplink1</v>
      </c>
      <c r="AV2772" s="14" t="str">
        <f>HYPERLINK("https://www.google.iq/maps/search/+36.3528,43.1598/@36.3528,43.1598,14z?hl=en","Maplink2")</f>
        <v>Maplink2</v>
      </c>
      <c r="AW2772" s="14" t="str">
        <f>HYPERLINK("http://www.bing.com/maps/?lvl=14&amp;sty=h&amp;cp=36.3528~43.1598&amp;sp=point.36.3528_43.1598_Al-Numaniyah","Maplink3")</f>
        <v>Maplink3</v>
      </c>
    </row>
    <row r="2773" spans="1:49" ht="15" customHeight="1" x14ac:dyDescent="0.25">
      <c r="A2773" s="21">
        <v>18366</v>
      </c>
      <c r="B2773" s="22" t="s">
        <v>21</v>
      </c>
      <c r="C2773" s="22" t="s">
        <v>5305</v>
      </c>
      <c r="D2773" s="22" t="s">
        <v>5370</v>
      </c>
      <c r="E2773" s="22" t="s">
        <v>5371</v>
      </c>
      <c r="F2773" s="22">
        <v>36.4</v>
      </c>
      <c r="G2773" s="22">
        <v>43.193055559999998</v>
      </c>
      <c r="H2773" s="21" t="s">
        <v>5198</v>
      </c>
      <c r="I2773" s="21" t="s">
        <v>5308</v>
      </c>
      <c r="J2773" s="21" t="s">
        <v>5372</v>
      </c>
      <c r="K2773" s="24">
        <v>292</v>
      </c>
      <c r="L2773" s="24">
        <v>1752</v>
      </c>
      <c r="M2773" s="23">
        <v>15</v>
      </c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259</v>
      </c>
      <c r="Z2773" s="23"/>
      <c r="AA2773" s="23">
        <v>18</v>
      </c>
      <c r="AB2773" s="23"/>
      <c r="AC2773" s="23"/>
      <c r="AD2773" s="23"/>
      <c r="AE2773" s="23"/>
      <c r="AF2773" s="23">
        <v>90</v>
      </c>
      <c r="AG2773" s="23"/>
      <c r="AH2773" s="23">
        <v>8</v>
      </c>
      <c r="AI2773" s="23"/>
      <c r="AJ2773" s="23">
        <v>30</v>
      </c>
      <c r="AK2773" s="23">
        <v>29</v>
      </c>
      <c r="AL2773" s="23">
        <v>63</v>
      </c>
      <c r="AM2773" s="23">
        <v>54</v>
      </c>
      <c r="AN2773" s="23">
        <v>18</v>
      </c>
      <c r="AO2773" s="23">
        <v>15</v>
      </c>
      <c r="AP2773" s="23"/>
      <c r="AQ2773" s="23">
        <v>192</v>
      </c>
      <c r="AR2773" s="23"/>
      <c r="AS2773" s="23">
        <v>54</v>
      </c>
      <c r="AT2773" s="23">
        <v>31</v>
      </c>
      <c r="AU2773" s="14" t="str">
        <f>HYPERLINK("http://www.openstreetmap.org/?mlat=36.4&amp;mlon=43.1931&amp;zoom=12#map=12/36.4/43.1931","Maplink1")</f>
        <v>Maplink1</v>
      </c>
      <c r="AV2773" s="14" t="str">
        <f>HYPERLINK("https://www.google.iq/maps/search/+36.4,43.1931/@36.4,43.1931,14z?hl=en","Maplink2")</f>
        <v>Maplink2</v>
      </c>
      <c r="AW2773" s="14" t="str">
        <f>HYPERLINK("http://www.bing.com/maps/?lvl=14&amp;sty=h&amp;cp=36.4~43.1931&amp;sp=point.36.4_43.1931_Al-Qahira","Maplink3")</f>
        <v>Maplink3</v>
      </c>
    </row>
    <row r="2774" spans="1:49" ht="15" customHeight="1" x14ac:dyDescent="0.25">
      <c r="A2774" s="21">
        <v>23875</v>
      </c>
      <c r="B2774" s="22" t="s">
        <v>21</v>
      </c>
      <c r="C2774" s="22" t="s">
        <v>5305</v>
      </c>
      <c r="D2774" s="22" t="s">
        <v>8992</v>
      </c>
      <c r="E2774" s="22" t="s">
        <v>645</v>
      </c>
      <c r="F2774" s="22">
        <v>36.348582</v>
      </c>
      <c r="G2774" s="22">
        <v>43.226872999999998</v>
      </c>
      <c r="H2774" s="21" t="s">
        <v>5198</v>
      </c>
      <c r="I2774" s="21" t="s">
        <v>5308</v>
      </c>
      <c r="J2774" s="21" t="s">
        <v>5392</v>
      </c>
      <c r="K2774" s="24">
        <v>60</v>
      </c>
      <c r="L2774" s="24">
        <v>360</v>
      </c>
      <c r="M2774" s="23"/>
      <c r="N2774" s="23"/>
      <c r="O2774" s="23"/>
      <c r="P2774" s="23"/>
      <c r="Q2774" s="23"/>
      <c r="R2774" s="23"/>
      <c r="S2774" s="23"/>
      <c r="T2774" s="23"/>
      <c r="U2774" s="23">
        <v>3</v>
      </c>
      <c r="V2774" s="23"/>
      <c r="W2774" s="23"/>
      <c r="X2774" s="23"/>
      <c r="Y2774" s="23">
        <v>54</v>
      </c>
      <c r="Z2774" s="23"/>
      <c r="AA2774" s="23">
        <v>3</v>
      </c>
      <c r="AB2774" s="23"/>
      <c r="AC2774" s="23"/>
      <c r="AD2774" s="23"/>
      <c r="AE2774" s="23"/>
      <c r="AF2774" s="23">
        <v>26</v>
      </c>
      <c r="AG2774" s="23"/>
      <c r="AH2774" s="23"/>
      <c r="AI2774" s="23"/>
      <c r="AJ2774" s="23"/>
      <c r="AK2774" s="23">
        <v>15</v>
      </c>
      <c r="AL2774" s="23">
        <v>5</v>
      </c>
      <c r="AM2774" s="23">
        <v>14</v>
      </c>
      <c r="AN2774" s="23"/>
      <c r="AO2774" s="23"/>
      <c r="AP2774" s="23"/>
      <c r="AQ2774" s="23"/>
      <c r="AR2774" s="23">
        <v>23</v>
      </c>
      <c r="AS2774" s="23">
        <v>23</v>
      </c>
      <c r="AT2774" s="23">
        <v>14</v>
      </c>
      <c r="AU2774" s="14" t="str">
        <f>HYPERLINK("http://www.openstreetmap.org/?mlat=36.3486&amp;mlon=43.2269&amp;zoom=12#map=12/36.3486/43.2269","Maplink1")</f>
        <v>Maplink1</v>
      </c>
      <c r="AV2774" s="14" t="str">
        <f>HYPERLINK("https://www.google.iq/maps/search/+36.3486,43.2269/@36.3486,43.2269,14z?hl=en","Maplink2")</f>
        <v>Maplink2</v>
      </c>
      <c r="AW2774" s="14" t="str">
        <f>HYPERLINK("http://www.bing.com/maps/?lvl=14&amp;sty=h&amp;cp=36.3486~43.2269&amp;sp=point.36.3486_43.2269_Alsahil Alayser-Al-Quds","Maplink3")</f>
        <v>Maplink3</v>
      </c>
    </row>
    <row r="2775" spans="1:49" ht="15" customHeight="1" x14ac:dyDescent="0.25">
      <c r="A2775" s="21">
        <v>18338</v>
      </c>
      <c r="B2775" s="22" t="s">
        <v>21</v>
      </c>
      <c r="C2775" s="22" t="s">
        <v>5305</v>
      </c>
      <c r="D2775" s="22" t="s">
        <v>8993</v>
      </c>
      <c r="E2775" s="22" t="s">
        <v>8994</v>
      </c>
      <c r="F2775" s="22">
        <v>36.395713999999998</v>
      </c>
      <c r="G2775" s="22">
        <v>43.182341999999998</v>
      </c>
      <c r="H2775" s="21" t="s">
        <v>5198</v>
      </c>
      <c r="I2775" s="21" t="s">
        <v>5308</v>
      </c>
      <c r="J2775" s="21" t="s">
        <v>5373</v>
      </c>
      <c r="K2775" s="24">
        <v>39</v>
      </c>
      <c r="L2775" s="24">
        <v>234</v>
      </c>
      <c r="M2775" s="23">
        <v>21</v>
      </c>
      <c r="N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18</v>
      </c>
      <c r="Z2775" s="23"/>
      <c r="AA2775" s="23"/>
      <c r="AB2775" s="23"/>
      <c r="AC2775" s="23"/>
      <c r="AD2775" s="23"/>
      <c r="AE2775" s="23"/>
      <c r="AF2775" s="23">
        <v>4</v>
      </c>
      <c r="AG2775" s="23"/>
      <c r="AH2775" s="23"/>
      <c r="AI2775" s="23"/>
      <c r="AJ2775" s="23"/>
      <c r="AK2775" s="23">
        <v>17</v>
      </c>
      <c r="AL2775" s="23"/>
      <c r="AM2775" s="23">
        <v>18</v>
      </c>
      <c r="AN2775" s="23"/>
      <c r="AO2775" s="23">
        <v>21</v>
      </c>
      <c r="AP2775" s="23"/>
      <c r="AQ2775" s="23"/>
      <c r="AR2775" s="23">
        <v>18</v>
      </c>
      <c r="AS2775" s="23"/>
      <c r="AT2775" s="23"/>
      <c r="AU2775" s="14" t="str">
        <f>HYPERLINK("http://www.openstreetmap.org/?mlat=36.3957&amp;mlon=43.1823&amp;zoom=12#map=12/36.3957/43.1823","Maplink1")</f>
        <v>Maplink1</v>
      </c>
      <c r="AV2775" s="14" t="str">
        <f>HYPERLINK("https://www.google.iq/maps/search/+36.3957,43.1823/@36.3957,43.1823,14z?hl=en","Maplink2")</f>
        <v>Maplink2</v>
      </c>
      <c r="AW2775" s="14" t="str">
        <f>HYPERLINK("http://www.bing.com/maps/?lvl=14&amp;sty=h&amp;cp=36.3957~43.1823&amp;sp=point.36.3957_43.1823_Al-Quds-Al Qahira collective","Maplink3")</f>
        <v>Maplink3</v>
      </c>
    </row>
    <row r="2776" spans="1:49" ht="15" customHeight="1" x14ac:dyDescent="0.25">
      <c r="A2776" s="21">
        <v>18344</v>
      </c>
      <c r="B2776" s="22" t="s">
        <v>21</v>
      </c>
      <c r="C2776" s="22" t="s">
        <v>5305</v>
      </c>
      <c r="D2776" s="22" t="s">
        <v>5374</v>
      </c>
      <c r="E2776" s="22" t="s">
        <v>1501</v>
      </c>
      <c r="F2776" s="22">
        <v>36.324488000000002</v>
      </c>
      <c r="G2776" s="22">
        <v>43.088512000000001</v>
      </c>
      <c r="H2776" s="21" t="s">
        <v>5198</v>
      </c>
      <c r="I2776" s="21" t="s">
        <v>5308</v>
      </c>
      <c r="J2776" s="21" t="s">
        <v>5375</v>
      </c>
      <c r="K2776" s="24">
        <v>67</v>
      </c>
      <c r="L2776" s="24">
        <v>402</v>
      </c>
      <c r="M2776" s="23">
        <v>15</v>
      </c>
      <c r="N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>
        <v>37</v>
      </c>
      <c r="Z2776" s="23"/>
      <c r="AA2776" s="23">
        <v>15</v>
      </c>
      <c r="AB2776" s="23"/>
      <c r="AC2776" s="23"/>
      <c r="AD2776" s="23"/>
      <c r="AE2776" s="23"/>
      <c r="AF2776" s="23">
        <v>42</v>
      </c>
      <c r="AG2776" s="23"/>
      <c r="AH2776" s="23"/>
      <c r="AI2776" s="23"/>
      <c r="AJ2776" s="23"/>
      <c r="AK2776" s="23">
        <v>5</v>
      </c>
      <c r="AL2776" s="23">
        <v>1</v>
      </c>
      <c r="AM2776" s="23">
        <v>4</v>
      </c>
      <c r="AN2776" s="23">
        <v>15</v>
      </c>
      <c r="AO2776" s="23">
        <v>15</v>
      </c>
      <c r="AP2776" s="23"/>
      <c r="AQ2776" s="23"/>
      <c r="AR2776" s="23"/>
      <c r="AS2776" s="23">
        <v>52</v>
      </c>
      <c r="AT2776" s="23"/>
      <c r="AU2776" s="14" t="str">
        <f>HYPERLINK("http://www.openstreetmap.org/?mlat=36.3245&amp;mlon=43.0885&amp;zoom=12#map=12/36.3245/43.0885","Maplink1")</f>
        <v>Maplink1</v>
      </c>
      <c r="AV2776" s="14" t="str">
        <f>HYPERLINK("https://www.google.iq/maps/search/+36.3245,43.0885/@36.3245,43.0885,14z?hl=en","Maplink2")</f>
        <v>Maplink2</v>
      </c>
      <c r="AW2776" s="14" t="str">
        <f>HYPERLINK("http://www.bing.com/maps/?lvl=14&amp;sty=h&amp;cp=36.3245~43.0885&amp;sp=point.36.3245_43.0885_Al-Risalah","Maplink3")</f>
        <v>Maplink3</v>
      </c>
    </row>
    <row r="2777" spans="1:49" ht="15" customHeight="1" x14ac:dyDescent="0.25">
      <c r="A2777" s="21">
        <v>18322</v>
      </c>
      <c r="B2777" s="22" t="s">
        <v>21</v>
      </c>
      <c r="C2777" s="22" t="s">
        <v>5305</v>
      </c>
      <c r="D2777" s="22" t="s">
        <v>5376</v>
      </c>
      <c r="E2777" s="22" t="s">
        <v>619</v>
      </c>
      <c r="F2777" s="22">
        <v>36.295928000000004</v>
      </c>
      <c r="G2777" s="22">
        <v>43.201386999999997</v>
      </c>
      <c r="H2777" s="21" t="s">
        <v>5198</v>
      </c>
      <c r="I2777" s="21" t="s">
        <v>5308</v>
      </c>
      <c r="J2777" s="21" t="s">
        <v>5377</v>
      </c>
      <c r="K2777" s="24">
        <v>79</v>
      </c>
      <c r="L2777" s="24">
        <v>474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72</v>
      </c>
      <c r="Z2777" s="23"/>
      <c r="AA2777" s="23">
        <v>7</v>
      </c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>
        <v>27</v>
      </c>
      <c r="AL2777" s="23"/>
      <c r="AM2777" s="23">
        <v>45</v>
      </c>
      <c r="AN2777" s="23">
        <v>7</v>
      </c>
      <c r="AO2777" s="23"/>
      <c r="AP2777" s="23"/>
      <c r="AQ2777" s="23">
        <v>35</v>
      </c>
      <c r="AR2777" s="23"/>
      <c r="AS2777" s="23">
        <v>27</v>
      </c>
      <c r="AT2777" s="23">
        <v>17</v>
      </c>
      <c r="AU2777" s="14" t="str">
        <f>HYPERLINK("http://www.openstreetmap.org/?mlat=36.2959&amp;mlon=43.2014&amp;zoom=12#map=12/36.2959/43.2014","Maplink1")</f>
        <v>Maplink1</v>
      </c>
      <c r="AV2777" s="14" t="str">
        <f>HYPERLINK("https://www.google.iq/maps/search/+36.2959,43.2014/@36.2959,43.2014,14z?hl=en","Maplink2")</f>
        <v>Maplink2</v>
      </c>
      <c r="AW2777" s="14" t="str">
        <f>HYPERLINK("http://www.bing.com/maps/?lvl=14&amp;sty=h&amp;cp=36.2959~43.2014&amp;sp=point.36.2959_43.2014_Al-Salam","Maplink3")</f>
        <v>Maplink3</v>
      </c>
    </row>
    <row r="2778" spans="1:49" ht="15" customHeight="1" x14ac:dyDescent="0.25">
      <c r="A2778" s="21">
        <v>18372</v>
      </c>
      <c r="B2778" s="22" t="s">
        <v>21</v>
      </c>
      <c r="C2778" s="22" t="s">
        <v>5305</v>
      </c>
      <c r="D2778" s="22" t="s">
        <v>5378</v>
      </c>
      <c r="E2778" s="22" t="s">
        <v>1154</v>
      </c>
      <c r="F2778" s="22">
        <v>36.048510270000001</v>
      </c>
      <c r="G2778" s="22">
        <v>42.96726108</v>
      </c>
      <c r="H2778" s="21" t="s">
        <v>5198</v>
      </c>
      <c r="I2778" s="21" t="s">
        <v>5308</v>
      </c>
      <c r="J2778" s="21" t="s">
        <v>5379</v>
      </c>
      <c r="K2778" s="24">
        <v>57</v>
      </c>
      <c r="L2778" s="24">
        <v>342</v>
      </c>
      <c r="M2778" s="23">
        <v>20</v>
      </c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17</v>
      </c>
      <c r="Z2778" s="23"/>
      <c r="AA2778" s="23">
        <v>20</v>
      </c>
      <c r="AB2778" s="23"/>
      <c r="AC2778" s="23"/>
      <c r="AD2778" s="23"/>
      <c r="AE2778" s="23"/>
      <c r="AF2778" s="23">
        <v>37</v>
      </c>
      <c r="AG2778" s="23"/>
      <c r="AH2778" s="23"/>
      <c r="AI2778" s="23"/>
      <c r="AJ2778" s="23"/>
      <c r="AK2778" s="23">
        <v>5</v>
      </c>
      <c r="AL2778" s="23"/>
      <c r="AM2778" s="23">
        <v>15</v>
      </c>
      <c r="AN2778" s="23"/>
      <c r="AO2778" s="23"/>
      <c r="AP2778" s="23"/>
      <c r="AQ2778" s="23"/>
      <c r="AR2778" s="23"/>
      <c r="AS2778" s="23">
        <v>57</v>
      </c>
      <c r="AT2778" s="23"/>
      <c r="AU2778" s="14" t="str">
        <f>HYPERLINK("http://www.openstreetmap.org/?mlat=36.0485&amp;mlon=42.9673&amp;zoom=12#map=12/36.0485/42.9673","Maplink1")</f>
        <v>Maplink1</v>
      </c>
      <c r="AV2778" s="14" t="str">
        <f>HYPERLINK("https://www.google.iq/maps/search/+36.0485,42.9673/@36.0485,42.9673,14z?hl=en","Maplink2")</f>
        <v>Maplink2</v>
      </c>
      <c r="AW2778" s="14" t="str">
        <f>HYPERLINK("http://www.bing.com/maps/?lvl=14&amp;sty=h&amp;cp=36.0485~42.9673&amp;sp=point.36.0485_42.9673_Al-Wahda","Maplink3")</f>
        <v>Maplink3</v>
      </c>
    </row>
    <row r="2779" spans="1:49" ht="15" customHeight="1" x14ac:dyDescent="0.25">
      <c r="A2779" s="21">
        <v>18367</v>
      </c>
      <c r="B2779" s="22" t="s">
        <v>21</v>
      </c>
      <c r="C2779" s="22" t="s">
        <v>5305</v>
      </c>
      <c r="D2779" s="22" t="s">
        <v>5380</v>
      </c>
      <c r="E2779" s="22" t="s">
        <v>5381</v>
      </c>
      <c r="F2779" s="22">
        <v>36.3367</v>
      </c>
      <c r="G2779" s="22">
        <v>43.083634000000004</v>
      </c>
      <c r="H2779" s="21" t="s">
        <v>5198</v>
      </c>
      <c r="I2779" s="21" t="s">
        <v>5308</v>
      </c>
      <c r="J2779" s="21" t="s">
        <v>5382</v>
      </c>
      <c r="K2779" s="24">
        <v>599</v>
      </c>
      <c r="L2779" s="24">
        <v>3594</v>
      </c>
      <c r="M2779" s="23">
        <v>22</v>
      </c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487</v>
      </c>
      <c r="Z2779" s="23"/>
      <c r="AA2779" s="23">
        <v>90</v>
      </c>
      <c r="AB2779" s="23"/>
      <c r="AC2779" s="23"/>
      <c r="AD2779" s="23"/>
      <c r="AE2779" s="23"/>
      <c r="AF2779" s="23">
        <v>56</v>
      </c>
      <c r="AG2779" s="23"/>
      <c r="AH2779" s="23"/>
      <c r="AI2779" s="23"/>
      <c r="AJ2779" s="23">
        <v>32</v>
      </c>
      <c r="AK2779" s="23">
        <v>72</v>
      </c>
      <c r="AL2779" s="23">
        <v>30</v>
      </c>
      <c r="AM2779" s="23">
        <v>15</v>
      </c>
      <c r="AN2779" s="23">
        <v>394</v>
      </c>
      <c r="AO2779" s="23">
        <v>7</v>
      </c>
      <c r="AP2779" s="23"/>
      <c r="AQ2779" s="23">
        <v>82</v>
      </c>
      <c r="AR2779" s="23">
        <v>78</v>
      </c>
      <c r="AS2779" s="23">
        <v>387</v>
      </c>
      <c r="AT2779" s="23">
        <v>45</v>
      </c>
      <c r="AU2779" s="14" t="str">
        <f>HYPERLINK("http://www.openstreetmap.org/?mlat=36.3367&amp;mlon=43.0836&amp;zoom=12#map=12/36.3367/43.0836","Maplink1")</f>
        <v>Maplink1</v>
      </c>
      <c r="AV2779" s="14" t="str">
        <f>HYPERLINK("https://www.google.iq/maps/search/+36.3367,43.0836/@36.3367,43.0836,14z?hl=en","Maplink2")</f>
        <v>Maplink2</v>
      </c>
      <c r="AW2779" s="14" t="str">
        <f>HYPERLINK("http://www.bing.com/maps/?lvl=14&amp;sty=h&amp;cp=36.3367~43.0836&amp;sp=point.36.3367_43.0836_Al-Yarmuk","Maplink3")</f>
        <v>Maplink3</v>
      </c>
    </row>
    <row r="2780" spans="1:49" ht="15" customHeight="1" x14ac:dyDescent="0.25">
      <c r="A2780" s="21">
        <v>18327</v>
      </c>
      <c r="B2780" s="22" t="s">
        <v>21</v>
      </c>
      <c r="C2780" s="22" t="s">
        <v>5305</v>
      </c>
      <c r="D2780" s="22" t="s">
        <v>5383</v>
      </c>
      <c r="E2780" s="22" t="s">
        <v>1529</v>
      </c>
      <c r="F2780" s="22">
        <v>36.378132999999998</v>
      </c>
      <c r="G2780" s="22">
        <v>43.184111999999999</v>
      </c>
      <c r="H2780" s="21" t="s">
        <v>5198</v>
      </c>
      <c r="I2780" s="21" t="s">
        <v>5308</v>
      </c>
      <c r="J2780" s="21" t="s">
        <v>5384</v>
      </c>
      <c r="K2780" s="24">
        <v>102</v>
      </c>
      <c r="L2780" s="24">
        <v>612</v>
      </c>
      <c r="M2780" s="23">
        <v>7</v>
      </c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83</v>
      </c>
      <c r="Z2780" s="23"/>
      <c r="AA2780" s="23">
        <v>12</v>
      </c>
      <c r="AB2780" s="23"/>
      <c r="AC2780" s="23"/>
      <c r="AD2780" s="23"/>
      <c r="AE2780" s="23"/>
      <c r="AF2780" s="23">
        <v>20</v>
      </c>
      <c r="AG2780" s="23"/>
      <c r="AH2780" s="23"/>
      <c r="AI2780" s="23"/>
      <c r="AJ2780" s="23"/>
      <c r="AK2780" s="23">
        <v>48</v>
      </c>
      <c r="AL2780" s="23">
        <v>12</v>
      </c>
      <c r="AM2780" s="23">
        <v>4</v>
      </c>
      <c r="AN2780" s="23">
        <v>18</v>
      </c>
      <c r="AO2780" s="23">
        <v>7</v>
      </c>
      <c r="AP2780" s="23"/>
      <c r="AQ2780" s="23"/>
      <c r="AR2780" s="23">
        <v>7</v>
      </c>
      <c r="AS2780" s="23">
        <v>50</v>
      </c>
      <c r="AT2780" s="23">
        <v>38</v>
      </c>
      <c r="AU2780" s="14" t="str">
        <f>HYPERLINK("http://www.openstreetmap.org/?mlat=36.3781&amp;mlon=43.1841&amp;zoom=12#map=12/36.3781/43.1841","Maplink1")</f>
        <v>Maplink1</v>
      </c>
      <c r="AV2780" s="14" t="str">
        <f>HYPERLINK("https://www.google.iq/maps/search/+36.3781,43.1841/@36.3781,43.1841,14z?hl=en","Maplink2")</f>
        <v>Maplink2</v>
      </c>
      <c r="AW2780" s="14" t="str">
        <f>HYPERLINK("http://www.bing.com/maps/?lvl=14&amp;sty=h&amp;cp=36.3781~43.1841&amp;sp=point.36.3781_43.1841_Al-Zuhor","Maplink3")</f>
        <v>Maplink3</v>
      </c>
    </row>
    <row r="2781" spans="1:49" ht="15" customHeight="1" x14ac:dyDescent="0.25">
      <c r="A2781" s="21">
        <v>28435</v>
      </c>
      <c r="B2781" s="22" t="s">
        <v>21</v>
      </c>
      <c r="C2781" s="22" t="s">
        <v>5305</v>
      </c>
      <c r="D2781" s="22" t="s">
        <v>5385</v>
      </c>
      <c r="E2781" s="22" t="s">
        <v>5386</v>
      </c>
      <c r="F2781" s="22">
        <v>36.422922999999997</v>
      </c>
      <c r="G2781" s="22">
        <v>42.768673</v>
      </c>
      <c r="H2781" s="21" t="s">
        <v>5198</v>
      </c>
      <c r="I2781" s="21" t="s">
        <v>5308</v>
      </c>
      <c r="J2781" s="21"/>
      <c r="K2781" s="24">
        <v>20</v>
      </c>
      <c r="L2781" s="24">
        <v>120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20</v>
      </c>
      <c r="Z2781" s="23"/>
      <c r="AA2781" s="23"/>
      <c r="AB2781" s="23"/>
      <c r="AC2781" s="23"/>
      <c r="AD2781" s="23"/>
      <c r="AE2781" s="23"/>
      <c r="AF2781" s="23">
        <v>20</v>
      </c>
      <c r="AG2781" s="23"/>
      <c r="AH2781" s="23"/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>
        <v>20</v>
      </c>
      <c r="AT2781" s="23"/>
      <c r="AU2781" s="14" t="str">
        <f>HYPERLINK("http://www.openstreetmap.org/?mlat=36.4229&amp;mlon=42.7687&amp;zoom=12#map=12/36.4229/42.7687","Maplink1")</f>
        <v>Maplink1</v>
      </c>
      <c r="AV2781" s="14" t="str">
        <f>HYPERLINK("https://www.google.iq/maps/search/+36.4229,42.7687/@36.4229,42.7687,14z?hl=en","Maplink2")</f>
        <v>Maplink2</v>
      </c>
      <c r="AW2781" s="14" t="str">
        <f>HYPERLINK("http://www.bing.com/maps/?lvl=14&amp;sty=h&amp;cp=36.4229~42.7687&amp;sp=point.36.4229_42.7687_Al Angaa","Maplink3")</f>
        <v>Maplink3</v>
      </c>
    </row>
    <row r="2782" spans="1:49" ht="15" customHeight="1" x14ac:dyDescent="0.25">
      <c r="A2782" s="21">
        <v>25741</v>
      </c>
      <c r="B2782" s="22" t="s">
        <v>21</v>
      </c>
      <c r="C2782" s="22" t="s">
        <v>5305</v>
      </c>
      <c r="D2782" s="22" t="s">
        <v>5387</v>
      </c>
      <c r="E2782" s="22" t="s">
        <v>5388</v>
      </c>
      <c r="F2782" s="22">
        <v>36.310411000000002</v>
      </c>
      <c r="G2782" s="22">
        <v>42.922707000000003</v>
      </c>
      <c r="H2782" s="21" t="s">
        <v>5198</v>
      </c>
      <c r="I2782" s="21" t="s">
        <v>5308</v>
      </c>
      <c r="J2782" s="21"/>
      <c r="K2782" s="24">
        <v>45</v>
      </c>
      <c r="L2782" s="24">
        <v>270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45</v>
      </c>
      <c r="Z2782" s="23"/>
      <c r="AA2782" s="23"/>
      <c r="AB2782" s="23"/>
      <c r="AC2782" s="23"/>
      <c r="AD2782" s="23"/>
      <c r="AE2782" s="23"/>
      <c r="AF2782" s="23">
        <v>30</v>
      </c>
      <c r="AG2782" s="23"/>
      <c r="AH2782" s="23"/>
      <c r="AI2782" s="23"/>
      <c r="AJ2782" s="23"/>
      <c r="AK2782" s="23"/>
      <c r="AL2782" s="23"/>
      <c r="AM2782" s="23"/>
      <c r="AN2782" s="23">
        <v>15</v>
      </c>
      <c r="AO2782" s="23"/>
      <c r="AP2782" s="23"/>
      <c r="AQ2782" s="23"/>
      <c r="AR2782" s="23">
        <v>30</v>
      </c>
      <c r="AS2782" s="23">
        <v>15</v>
      </c>
      <c r="AT2782" s="23"/>
      <c r="AU2782" s="14" t="str">
        <f>HYPERLINK("http://www.openstreetmap.org/?mlat=36.3104&amp;mlon=42.9227&amp;zoom=12#map=12/36.3104/42.9227","Maplink1")</f>
        <v>Maplink1</v>
      </c>
      <c r="AV2782" s="14" t="str">
        <f>HYPERLINK("https://www.google.iq/maps/search/+36.3104,42.9227/@36.3104,42.9227,14z?hl=en","Maplink2")</f>
        <v>Maplink2</v>
      </c>
      <c r="AW2782" s="14" t="str">
        <f>HYPERLINK("http://www.bing.com/maps/?lvl=14&amp;sty=h&amp;cp=36.3104~42.9227&amp;sp=point.36.3104_42.9227_Aldernaj","Maplink3")</f>
        <v>Maplink3</v>
      </c>
    </row>
    <row r="2783" spans="1:49" ht="15" customHeight="1" x14ac:dyDescent="0.25">
      <c r="A2783" s="21">
        <v>17428</v>
      </c>
      <c r="B2783" s="22" t="s">
        <v>21</v>
      </c>
      <c r="C2783" s="22" t="s">
        <v>5305</v>
      </c>
      <c r="D2783" s="22" t="s">
        <v>5389</v>
      </c>
      <c r="E2783" s="22" t="s">
        <v>5390</v>
      </c>
      <c r="F2783" s="22">
        <v>36.040689</v>
      </c>
      <c r="G2783" s="22">
        <v>42.983500999999997</v>
      </c>
      <c r="H2783" s="21" t="s">
        <v>5198</v>
      </c>
      <c r="I2783" s="21" t="s">
        <v>5308</v>
      </c>
      <c r="J2783" s="21" t="s">
        <v>5391</v>
      </c>
      <c r="K2783" s="24">
        <v>47</v>
      </c>
      <c r="L2783" s="24">
        <v>282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15</v>
      </c>
      <c r="Z2783" s="23"/>
      <c r="AA2783" s="23">
        <v>32</v>
      </c>
      <c r="AB2783" s="23"/>
      <c r="AC2783" s="23"/>
      <c r="AD2783" s="23"/>
      <c r="AE2783" s="23"/>
      <c r="AF2783" s="23">
        <v>20</v>
      </c>
      <c r="AG2783" s="23"/>
      <c r="AH2783" s="23"/>
      <c r="AI2783" s="23"/>
      <c r="AJ2783" s="23"/>
      <c r="AK2783" s="23"/>
      <c r="AL2783" s="23"/>
      <c r="AM2783" s="23"/>
      <c r="AN2783" s="23">
        <v>27</v>
      </c>
      <c r="AO2783" s="23"/>
      <c r="AP2783" s="23"/>
      <c r="AQ2783" s="23"/>
      <c r="AR2783" s="23"/>
      <c r="AS2783" s="23">
        <v>12</v>
      </c>
      <c r="AT2783" s="23">
        <v>35</v>
      </c>
      <c r="AU2783" s="14" t="str">
        <f>HYPERLINK("http://www.openstreetmap.org/?mlat=36.0407&amp;mlon=42.9835&amp;zoom=12#map=12/36.0407/42.9835","Maplink1")</f>
        <v>Maplink1</v>
      </c>
      <c r="AV2783" s="14" t="str">
        <f>HYPERLINK("https://www.google.iq/maps/search/+36.0407,42.9835/@36.0407,42.9835,14z?hl=en","Maplink2")</f>
        <v>Maplink2</v>
      </c>
      <c r="AW2783" s="14" t="str">
        <f>HYPERLINK("http://www.bing.com/maps/?lvl=14&amp;sty=h&amp;cp=36.0407~42.9835&amp;sp=point.36.0407_42.9835_Aldlawya Sufla","Maplink3")</f>
        <v>Maplink3</v>
      </c>
    </row>
    <row r="2784" spans="1:49" ht="15" customHeight="1" x14ac:dyDescent="0.25">
      <c r="A2784" s="21">
        <v>18384</v>
      </c>
      <c r="B2784" s="22" t="s">
        <v>21</v>
      </c>
      <c r="C2784" s="22" t="s">
        <v>5305</v>
      </c>
      <c r="D2784" s="22" t="s">
        <v>5393</v>
      </c>
      <c r="E2784" s="22" t="s">
        <v>129</v>
      </c>
      <c r="F2784" s="22">
        <v>36.317590000000003</v>
      </c>
      <c r="G2784" s="22">
        <v>43.098782</v>
      </c>
      <c r="H2784" s="21" t="s">
        <v>5198</v>
      </c>
      <c r="I2784" s="21" t="s">
        <v>5308</v>
      </c>
      <c r="J2784" s="21"/>
      <c r="K2784" s="24">
        <v>161</v>
      </c>
      <c r="L2784" s="24">
        <v>966</v>
      </c>
      <c r="M2784" s="23">
        <v>12</v>
      </c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99</v>
      </c>
      <c r="Z2784" s="23"/>
      <c r="AA2784" s="23">
        <v>50</v>
      </c>
      <c r="AB2784" s="23"/>
      <c r="AC2784" s="23"/>
      <c r="AD2784" s="23"/>
      <c r="AE2784" s="23"/>
      <c r="AF2784" s="23">
        <v>100</v>
      </c>
      <c r="AG2784" s="23"/>
      <c r="AH2784" s="23"/>
      <c r="AI2784" s="23"/>
      <c r="AJ2784" s="23"/>
      <c r="AK2784" s="23">
        <v>33</v>
      </c>
      <c r="AL2784" s="23"/>
      <c r="AM2784" s="23">
        <v>28</v>
      </c>
      <c r="AN2784" s="23"/>
      <c r="AO2784" s="23"/>
      <c r="AP2784" s="23"/>
      <c r="AQ2784" s="23"/>
      <c r="AR2784" s="23"/>
      <c r="AS2784" s="23">
        <v>60</v>
      </c>
      <c r="AT2784" s="23">
        <v>101</v>
      </c>
      <c r="AU2784" s="14" t="str">
        <f>HYPERLINK("http://www.openstreetmap.org/?mlat=36.3176&amp;mlon=43.0988&amp;zoom=12#map=12/36.3176/43.0988","Maplink1")</f>
        <v>Maplink1</v>
      </c>
      <c r="AV2784" s="14" t="str">
        <f>HYPERLINK("https://www.google.iq/maps/search/+36.3176,43.0988/@36.3176,43.0988,14z?hl=en","Maplink2")</f>
        <v>Maplink2</v>
      </c>
      <c r="AW2784" s="14" t="str">
        <f>HYPERLINK("http://www.bing.com/maps/?lvl=14&amp;sty=h&amp;cp=36.3176~43.0988&amp;sp=point.36.3176_43.0988_Alshuhadaa","Maplink3")</f>
        <v>Maplink3</v>
      </c>
    </row>
    <row r="2785" spans="1:49" ht="15" customHeight="1" x14ac:dyDescent="0.25">
      <c r="A2785" s="21">
        <v>28434</v>
      </c>
      <c r="B2785" s="22" t="s">
        <v>21</v>
      </c>
      <c r="C2785" s="22" t="s">
        <v>5305</v>
      </c>
      <c r="D2785" s="22" t="s">
        <v>5394</v>
      </c>
      <c r="E2785" s="22" t="s">
        <v>5395</v>
      </c>
      <c r="F2785" s="22">
        <v>36.435093000000002</v>
      </c>
      <c r="G2785" s="22">
        <v>42.801501999999999</v>
      </c>
      <c r="H2785" s="21" t="s">
        <v>5198</v>
      </c>
      <c r="I2785" s="21" t="s">
        <v>5308</v>
      </c>
      <c r="J2785" s="21"/>
      <c r="K2785" s="24">
        <v>30</v>
      </c>
      <c r="L2785" s="24">
        <v>180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30</v>
      </c>
      <c r="Z2785" s="23"/>
      <c r="AA2785" s="23"/>
      <c r="AB2785" s="23"/>
      <c r="AC2785" s="23"/>
      <c r="AD2785" s="23"/>
      <c r="AE2785" s="23"/>
      <c r="AF2785" s="23">
        <v>30</v>
      </c>
      <c r="AG2785" s="23"/>
      <c r="AH2785" s="23"/>
      <c r="AI2785" s="23"/>
      <c r="AJ2785" s="23"/>
      <c r="AK2785" s="23"/>
      <c r="AL2785" s="23"/>
      <c r="AM2785" s="23"/>
      <c r="AN2785" s="23"/>
      <c r="AO2785" s="23"/>
      <c r="AP2785" s="23"/>
      <c r="AQ2785" s="23"/>
      <c r="AR2785" s="23"/>
      <c r="AS2785" s="23">
        <v>30</v>
      </c>
      <c r="AT2785" s="23"/>
      <c r="AU2785" s="14" t="str">
        <f>HYPERLINK("http://www.openstreetmap.org/?mlat=36.4351&amp;mlon=42.8015&amp;zoom=12#map=12/36.4351/42.8015","Maplink1")</f>
        <v>Maplink1</v>
      </c>
      <c r="AV2785" s="14" t="str">
        <f>HYPERLINK("https://www.google.iq/maps/search/+36.4351,42.8015/@36.4351,42.8015,14z?hl=en","Maplink2")</f>
        <v>Maplink2</v>
      </c>
      <c r="AW2785" s="14" t="str">
        <f>HYPERLINK("http://www.bing.com/maps/?lvl=14&amp;sty=h&amp;cp=36.4351~42.8015&amp;sp=point.36.4351_42.8015_Al Angaa","Maplink3")</f>
        <v>Maplink3</v>
      </c>
    </row>
    <row r="2786" spans="1:49" ht="15" customHeight="1" x14ac:dyDescent="0.25">
      <c r="A2786" s="21">
        <v>17574</v>
      </c>
      <c r="B2786" s="22" t="s">
        <v>21</v>
      </c>
      <c r="C2786" s="22" t="s">
        <v>5305</v>
      </c>
      <c r="D2786" s="22" t="s">
        <v>5396</v>
      </c>
      <c r="E2786" s="22" t="s">
        <v>5397</v>
      </c>
      <c r="F2786" s="22">
        <v>36.513185999999997</v>
      </c>
      <c r="G2786" s="22">
        <v>42.736825000000003</v>
      </c>
      <c r="H2786" s="21" t="s">
        <v>5198</v>
      </c>
      <c r="I2786" s="21" t="s">
        <v>5308</v>
      </c>
      <c r="J2786" s="21" t="s">
        <v>5398</v>
      </c>
      <c r="K2786" s="24">
        <v>143</v>
      </c>
      <c r="L2786" s="24">
        <v>858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143</v>
      </c>
      <c r="Z2786" s="23"/>
      <c r="AA2786" s="23"/>
      <c r="AB2786" s="23"/>
      <c r="AC2786" s="23"/>
      <c r="AD2786" s="23"/>
      <c r="AE2786" s="23"/>
      <c r="AF2786" s="23">
        <v>143</v>
      </c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23">
        <v>143</v>
      </c>
      <c r="AS2786" s="23"/>
      <c r="AT2786" s="23"/>
      <c r="AU2786" s="14" t="str">
        <f>HYPERLINK("http://www.openstreetmap.org/?mlat=36.5132&amp;mlon=42.7368&amp;zoom=12#map=12/36.5132/42.7368","Maplink1")</f>
        <v>Maplink1</v>
      </c>
      <c r="AV2786" s="14" t="str">
        <f>HYPERLINK("https://www.google.iq/maps/search/+36.5132,42.7368/@36.5132,42.7368,14z?hl=en","Maplink2")</f>
        <v>Maplink2</v>
      </c>
      <c r="AW2786" s="14" t="str">
        <f>HYPERLINK("http://www.bing.com/maps/?lvl=14&amp;sty=h&amp;cp=36.5132~42.7368&amp;sp=point.36.5132_42.7368_Al Angaa","Maplink3")</f>
        <v>Maplink3</v>
      </c>
    </row>
    <row r="2787" spans="1:49" ht="15" customHeight="1" x14ac:dyDescent="0.25">
      <c r="A2787" s="21">
        <v>18245</v>
      </c>
      <c r="B2787" s="22" t="s">
        <v>21</v>
      </c>
      <c r="C2787" s="22" t="s">
        <v>5305</v>
      </c>
      <c r="D2787" s="22" t="s">
        <v>5399</v>
      </c>
      <c r="E2787" s="22" t="s">
        <v>5400</v>
      </c>
      <c r="F2787" s="22">
        <v>36.335500000000003</v>
      </c>
      <c r="G2787" s="22">
        <v>43.143799999999999</v>
      </c>
      <c r="H2787" s="21" t="s">
        <v>5198</v>
      </c>
      <c r="I2787" s="21" t="s">
        <v>5308</v>
      </c>
      <c r="J2787" s="21" t="s">
        <v>5401</v>
      </c>
      <c r="K2787" s="24">
        <v>46</v>
      </c>
      <c r="L2787" s="24">
        <v>276</v>
      </c>
      <c r="M2787" s="23">
        <v>6</v>
      </c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40</v>
      </c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>
        <v>46</v>
      </c>
      <c r="AL2787" s="23"/>
      <c r="AM2787" s="23"/>
      <c r="AN2787" s="23"/>
      <c r="AO2787" s="23">
        <v>6</v>
      </c>
      <c r="AP2787" s="23"/>
      <c r="AQ2787" s="23"/>
      <c r="AR2787" s="23">
        <v>40</v>
      </c>
      <c r="AS2787" s="23"/>
      <c r="AT2787" s="23"/>
      <c r="AU2787" s="14" t="str">
        <f>HYPERLINK("http://www.openstreetmap.org/?mlat=36.3355&amp;mlon=43.1438&amp;zoom=12#map=12/36.3355/43.1438","Maplink1")</f>
        <v>Maplink1</v>
      </c>
      <c r="AV2787" s="14" t="str">
        <f>HYPERLINK("https://www.google.iq/maps/search/+36.3355,43.1438/@36.3355,43.1438,14z?hl=en","Maplink2")</f>
        <v>Maplink2</v>
      </c>
      <c r="AW2787" s="14" t="str">
        <f>HYPERLINK("http://www.bing.com/maps/?lvl=14&amp;sty=h&amp;cp=36.3355~43.1438&amp;sp=point.36.3355_43.1438_Bab Jadeed","Maplink3")</f>
        <v>Maplink3</v>
      </c>
    </row>
    <row r="2788" spans="1:49" ht="15" customHeight="1" x14ac:dyDescent="0.25">
      <c r="A2788" s="21">
        <v>17751</v>
      </c>
      <c r="B2788" s="22" t="s">
        <v>21</v>
      </c>
      <c r="C2788" s="22" t="s">
        <v>5305</v>
      </c>
      <c r="D2788" s="22" t="s">
        <v>7341</v>
      </c>
      <c r="E2788" s="22" t="s">
        <v>5402</v>
      </c>
      <c r="F2788" s="22">
        <v>36.414107000000001</v>
      </c>
      <c r="G2788" s="22">
        <v>42.965223000000002</v>
      </c>
      <c r="H2788" s="21" t="s">
        <v>5198</v>
      </c>
      <c r="I2788" s="21" t="s">
        <v>5308</v>
      </c>
      <c r="J2788" s="21" t="s">
        <v>5403</v>
      </c>
      <c r="K2788" s="24">
        <v>123</v>
      </c>
      <c r="L2788" s="24">
        <v>738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123</v>
      </c>
      <c r="Z2788" s="23"/>
      <c r="AA2788" s="23"/>
      <c r="AB2788" s="23"/>
      <c r="AC2788" s="23"/>
      <c r="AD2788" s="23"/>
      <c r="AE2788" s="23"/>
      <c r="AF2788" s="23">
        <v>33</v>
      </c>
      <c r="AG2788" s="23"/>
      <c r="AH2788" s="23"/>
      <c r="AI2788" s="23"/>
      <c r="AJ2788" s="23"/>
      <c r="AK2788" s="23"/>
      <c r="AL2788" s="23"/>
      <c r="AM2788" s="23"/>
      <c r="AN2788" s="23">
        <v>90</v>
      </c>
      <c r="AO2788" s="23"/>
      <c r="AP2788" s="23"/>
      <c r="AQ2788" s="23"/>
      <c r="AR2788" s="23"/>
      <c r="AS2788" s="23">
        <v>90</v>
      </c>
      <c r="AT2788" s="23">
        <v>33</v>
      </c>
      <c r="AU2788" s="14" t="str">
        <f>HYPERLINK("http://www.openstreetmap.org/?mlat=36.4141&amp;mlon=42.9652&amp;zoom=12#map=12/36.4141/42.9652","Maplink1")</f>
        <v>Maplink1</v>
      </c>
      <c r="AV2788" s="14" t="str">
        <f>HYPERLINK("https://www.google.iq/maps/search/+36.4141,42.9652/@36.4141,42.9652,14z?hl=en","Maplink2")</f>
        <v>Maplink2</v>
      </c>
      <c r="AW2788" s="14" t="str">
        <f>HYPERLINK("http://www.bing.com/maps/?lvl=14&amp;sty=h&amp;cp=36.4141~42.9652&amp;sp=point.36.4141_42.9652_Badush","Maplink3")</f>
        <v>Maplink3</v>
      </c>
    </row>
    <row r="2789" spans="1:49" ht="15" customHeight="1" x14ac:dyDescent="0.25">
      <c r="A2789" s="21">
        <v>17382</v>
      </c>
      <c r="B2789" s="22" t="s">
        <v>21</v>
      </c>
      <c r="C2789" s="22" t="s">
        <v>5305</v>
      </c>
      <c r="D2789" s="22" t="s">
        <v>5404</v>
      </c>
      <c r="E2789" s="22" t="s">
        <v>5405</v>
      </c>
      <c r="F2789" s="22">
        <v>36.368735000000001</v>
      </c>
      <c r="G2789" s="22">
        <v>43.294915000000003</v>
      </c>
      <c r="H2789" s="21" t="s">
        <v>5198</v>
      </c>
      <c r="I2789" s="21" t="s">
        <v>5308</v>
      </c>
      <c r="J2789" s="21" t="s">
        <v>5406</v>
      </c>
      <c r="K2789" s="24">
        <v>33</v>
      </c>
      <c r="L2789" s="24">
        <v>198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>
        <v>33</v>
      </c>
      <c r="AB2789" s="23"/>
      <c r="AC2789" s="23"/>
      <c r="AD2789" s="23"/>
      <c r="AE2789" s="23"/>
      <c r="AF2789" s="23"/>
      <c r="AG2789" s="23"/>
      <c r="AH2789" s="23"/>
      <c r="AI2789" s="23"/>
      <c r="AJ2789" s="23"/>
      <c r="AK2789" s="23"/>
      <c r="AL2789" s="23"/>
      <c r="AM2789" s="23">
        <v>33</v>
      </c>
      <c r="AN2789" s="23"/>
      <c r="AO2789" s="23"/>
      <c r="AP2789" s="23"/>
      <c r="AQ2789" s="23"/>
      <c r="AR2789" s="23"/>
      <c r="AS2789" s="23">
        <v>33</v>
      </c>
      <c r="AT2789" s="23"/>
      <c r="AU2789" s="14" t="str">
        <f>HYPERLINK("http://www.openstreetmap.org/?mlat=36.3687&amp;mlon=43.2949&amp;zoom=12#map=12/36.3687/43.2949","Maplink1")</f>
        <v>Maplink1</v>
      </c>
      <c r="AV2789" s="14" t="str">
        <f>HYPERLINK("https://www.google.iq/maps/search/+36.3687,43.2949/@36.3687,43.2949,14z?hl=en","Maplink2")</f>
        <v>Maplink2</v>
      </c>
      <c r="AW2789" s="14" t="str">
        <f>HYPERLINK("http://www.bing.com/maps/?lvl=14&amp;sty=h&amp;cp=36.3687~43.2949&amp;sp=point.36.3687_43.2949_Al Angaa","Maplink3")</f>
        <v>Maplink3</v>
      </c>
    </row>
    <row r="2790" spans="1:49" ht="15" customHeight="1" x14ac:dyDescent="0.25">
      <c r="A2790" s="21">
        <v>20796</v>
      </c>
      <c r="B2790" s="22" t="s">
        <v>21</v>
      </c>
      <c r="C2790" s="22" t="s">
        <v>5305</v>
      </c>
      <c r="D2790" s="22" t="s">
        <v>5407</v>
      </c>
      <c r="E2790" s="22" t="s">
        <v>5408</v>
      </c>
      <c r="F2790" s="22">
        <v>36.419345</v>
      </c>
      <c r="G2790" s="22">
        <v>43.099130000000002</v>
      </c>
      <c r="H2790" s="21" t="s">
        <v>5198</v>
      </c>
      <c r="I2790" s="21" t="s">
        <v>5308</v>
      </c>
      <c r="J2790" s="21" t="s">
        <v>5409</v>
      </c>
      <c r="K2790" s="24">
        <v>106</v>
      </c>
      <c r="L2790" s="24">
        <v>636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106</v>
      </c>
      <c r="Z2790" s="23"/>
      <c r="AA2790" s="23"/>
      <c r="AB2790" s="23"/>
      <c r="AC2790" s="23"/>
      <c r="AD2790" s="23"/>
      <c r="AE2790" s="23"/>
      <c r="AF2790" s="23">
        <v>10</v>
      </c>
      <c r="AG2790" s="23"/>
      <c r="AH2790" s="23"/>
      <c r="AI2790" s="23"/>
      <c r="AJ2790" s="23"/>
      <c r="AK2790" s="23">
        <v>12</v>
      </c>
      <c r="AL2790" s="23"/>
      <c r="AM2790" s="23">
        <v>84</v>
      </c>
      <c r="AN2790" s="23"/>
      <c r="AO2790" s="23"/>
      <c r="AP2790" s="23"/>
      <c r="AQ2790" s="23"/>
      <c r="AR2790" s="23"/>
      <c r="AS2790" s="23">
        <v>96</v>
      </c>
      <c r="AT2790" s="23">
        <v>10</v>
      </c>
      <c r="AU2790" s="14" t="str">
        <f>HYPERLINK("http://www.openstreetmap.org/?mlat=36.4193&amp;mlon=43.0991&amp;zoom=12#map=12/36.4193/43.0991","Maplink1")</f>
        <v>Maplink1</v>
      </c>
      <c r="AV2790" s="14" t="str">
        <f>HYPERLINK("https://www.google.iq/maps/search/+36.4193,43.0991/@36.4193,43.0991,14z?hl=en","Maplink2")</f>
        <v>Maplink2</v>
      </c>
      <c r="AW2790" s="14" t="str">
        <f>HYPERLINK("http://www.bing.com/maps/?lvl=14&amp;sty=h&amp;cp=36.4193~43.0991&amp;sp=point.36.4193_43.0991_Bysan","Maplink3")</f>
        <v>Maplink3</v>
      </c>
    </row>
    <row r="2791" spans="1:49" ht="15" customHeight="1" x14ac:dyDescent="0.25">
      <c r="A2791" s="21">
        <v>17128</v>
      </c>
      <c r="B2791" s="22" t="s">
        <v>21</v>
      </c>
      <c r="C2791" s="22" t="s">
        <v>5305</v>
      </c>
      <c r="D2791" s="22" t="s">
        <v>5410</v>
      </c>
      <c r="E2791" s="22" t="s">
        <v>5411</v>
      </c>
      <c r="F2791" s="22">
        <v>36.158067000000003</v>
      </c>
      <c r="G2791" s="22">
        <v>43.25949</v>
      </c>
      <c r="H2791" s="21" t="s">
        <v>5198</v>
      </c>
      <c r="I2791" s="21" t="s">
        <v>5308</v>
      </c>
      <c r="J2791" s="21" t="s">
        <v>5412</v>
      </c>
      <c r="K2791" s="24">
        <v>249</v>
      </c>
      <c r="L2791" s="24">
        <v>1494</v>
      </c>
      <c r="M2791" s="23"/>
      <c r="N2791" s="23"/>
      <c r="O2791" s="23"/>
      <c r="P2791" s="23"/>
      <c r="Q2791" s="23"/>
      <c r="R2791" s="23"/>
      <c r="S2791" s="23"/>
      <c r="T2791" s="23"/>
      <c r="U2791" s="23">
        <v>30</v>
      </c>
      <c r="V2791" s="23"/>
      <c r="W2791" s="23"/>
      <c r="X2791" s="23"/>
      <c r="Y2791" s="23">
        <v>85</v>
      </c>
      <c r="Z2791" s="23"/>
      <c r="AA2791" s="23">
        <v>134</v>
      </c>
      <c r="AB2791" s="23"/>
      <c r="AC2791" s="23"/>
      <c r="AD2791" s="23"/>
      <c r="AE2791" s="23"/>
      <c r="AF2791" s="23">
        <v>62</v>
      </c>
      <c r="AG2791" s="23"/>
      <c r="AH2791" s="23"/>
      <c r="AI2791" s="23"/>
      <c r="AJ2791" s="23"/>
      <c r="AK2791" s="23"/>
      <c r="AL2791" s="23"/>
      <c r="AM2791" s="23">
        <v>12</v>
      </c>
      <c r="AN2791" s="23">
        <v>175</v>
      </c>
      <c r="AO2791" s="23"/>
      <c r="AP2791" s="23"/>
      <c r="AQ2791" s="23"/>
      <c r="AR2791" s="23"/>
      <c r="AS2791" s="23">
        <v>134</v>
      </c>
      <c r="AT2791" s="23">
        <v>115</v>
      </c>
      <c r="AU2791" s="14" t="str">
        <f>HYPERLINK("http://www.openstreetmap.org/?mlat=36.1581&amp;mlon=43.2595&amp;zoom=12#map=12/36.1581/43.2595","Maplink1")</f>
        <v>Maplink1</v>
      </c>
      <c r="AV2791" s="14" t="str">
        <f>HYPERLINK("https://www.google.iq/maps/search/+36.1581,43.2595/@36.1581,43.2595,14z?hl=en","Maplink2")</f>
        <v>Maplink2</v>
      </c>
      <c r="AW2791" s="14" t="str">
        <f>HYPERLINK("http://www.bing.com/maps/?lvl=14&amp;sty=h&amp;cp=36.1581~43.2595&amp;sp=point.36.1581_43.2595_Hamam Alaleem Center","Maplink3")</f>
        <v>Maplink3</v>
      </c>
    </row>
    <row r="2792" spans="1:49" ht="15" customHeight="1" x14ac:dyDescent="0.25">
      <c r="A2792" s="21">
        <v>18247</v>
      </c>
      <c r="B2792" s="22" t="s">
        <v>21</v>
      </c>
      <c r="C2792" s="22" t="s">
        <v>5305</v>
      </c>
      <c r="D2792" s="22" t="s">
        <v>5413</v>
      </c>
      <c r="E2792" s="22" t="s">
        <v>5414</v>
      </c>
      <c r="F2792" s="22">
        <v>36.3675</v>
      </c>
      <c r="G2792" s="22">
        <v>43.098599999999998</v>
      </c>
      <c r="H2792" s="21" t="s">
        <v>5198</v>
      </c>
      <c r="I2792" s="21" t="s">
        <v>5308</v>
      </c>
      <c r="J2792" s="21" t="s">
        <v>5415</v>
      </c>
      <c r="K2792" s="24">
        <v>665</v>
      </c>
      <c r="L2792" s="24">
        <v>3990</v>
      </c>
      <c r="M2792" s="23">
        <v>8</v>
      </c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657</v>
      </c>
      <c r="Z2792" s="23"/>
      <c r="AA2792" s="23"/>
      <c r="AB2792" s="23"/>
      <c r="AC2792" s="23"/>
      <c r="AD2792" s="23"/>
      <c r="AE2792" s="23"/>
      <c r="AF2792" s="23">
        <v>117</v>
      </c>
      <c r="AG2792" s="23"/>
      <c r="AH2792" s="23"/>
      <c r="AI2792" s="23"/>
      <c r="AJ2792" s="23"/>
      <c r="AK2792" s="23">
        <v>502</v>
      </c>
      <c r="AL2792" s="23">
        <v>4</v>
      </c>
      <c r="AM2792" s="23">
        <v>42</v>
      </c>
      <c r="AN2792" s="23"/>
      <c r="AO2792" s="23">
        <v>8</v>
      </c>
      <c r="AP2792" s="23"/>
      <c r="AQ2792" s="23"/>
      <c r="AR2792" s="23">
        <v>38</v>
      </c>
      <c r="AS2792" s="23">
        <v>609</v>
      </c>
      <c r="AT2792" s="23">
        <v>10</v>
      </c>
      <c r="AU2792" s="14" t="str">
        <f>HYPERLINK("http://www.openstreetmap.org/?mlat=36.3675&amp;mlon=43.0986&amp;zoom=12#map=12/36.3675/43.0986","Maplink1")</f>
        <v>Maplink1</v>
      </c>
      <c r="AV2792" s="14" t="str">
        <f>HYPERLINK("https://www.google.iq/maps/search/+36.3675,43.0986/@36.3675,43.0986,14z?hl=en","Maplink2")</f>
        <v>Maplink2</v>
      </c>
      <c r="AW2792" s="14" t="str">
        <f>HYPERLINK("http://www.bing.com/maps/?lvl=14&amp;sty=h&amp;cp=36.3675~43.0986&amp;sp=point.36.3675_43.0986_Hay 17 July","Maplink3")</f>
        <v>Maplink3</v>
      </c>
    </row>
    <row r="2793" spans="1:49" ht="15" customHeight="1" x14ac:dyDescent="0.25">
      <c r="A2793" s="21">
        <v>24636</v>
      </c>
      <c r="B2793" s="22" t="s">
        <v>21</v>
      </c>
      <c r="C2793" s="22" t="s">
        <v>5305</v>
      </c>
      <c r="D2793" s="22" t="s">
        <v>5416</v>
      </c>
      <c r="E2793" s="22" t="s">
        <v>5417</v>
      </c>
      <c r="F2793" s="22">
        <v>36.389066</v>
      </c>
      <c r="G2793" s="22">
        <v>43.076673</v>
      </c>
      <c r="H2793" s="21" t="s">
        <v>5198</v>
      </c>
      <c r="I2793" s="21" t="s">
        <v>5308</v>
      </c>
      <c r="J2793" s="21"/>
      <c r="K2793" s="24">
        <v>82</v>
      </c>
      <c r="L2793" s="24">
        <v>492</v>
      </c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82</v>
      </c>
      <c r="Z2793" s="23"/>
      <c r="AA2793" s="23"/>
      <c r="AB2793" s="23"/>
      <c r="AC2793" s="23"/>
      <c r="AD2793" s="23"/>
      <c r="AE2793" s="23"/>
      <c r="AF2793" s="23">
        <v>16</v>
      </c>
      <c r="AG2793" s="23"/>
      <c r="AH2793" s="23"/>
      <c r="AI2793" s="23"/>
      <c r="AJ2793" s="23"/>
      <c r="AK2793" s="23">
        <v>61</v>
      </c>
      <c r="AL2793" s="23"/>
      <c r="AM2793" s="23">
        <v>5</v>
      </c>
      <c r="AN2793" s="23"/>
      <c r="AO2793" s="23"/>
      <c r="AP2793" s="23"/>
      <c r="AQ2793" s="23"/>
      <c r="AR2793" s="23">
        <v>5</v>
      </c>
      <c r="AS2793" s="23">
        <v>45</v>
      </c>
      <c r="AT2793" s="23">
        <v>32</v>
      </c>
      <c r="AU2793" s="14" t="str">
        <f>HYPERLINK("http://www.openstreetmap.org/?mlat=36.3891&amp;mlon=43.0767&amp;zoom=12#map=12/36.3891/43.0767","Maplink1")</f>
        <v>Maplink1</v>
      </c>
      <c r="AV2793" s="14" t="str">
        <f>HYPERLINK("https://www.google.iq/maps/search/+36.3891,43.0767/@36.3891,43.0767,14z?hl=en","Maplink2")</f>
        <v>Maplink2</v>
      </c>
      <c r="AW2793" s="14" t="str">
        <f>HYPERLINK("http://www.bing.com/maps/?lvl=14&amp;sty=h&amp;cp=36.3891~43.0767&amp;sp=point.36.3891_43.0767_Hay 30 July","Maplink3")</f>
        <v>Maplink3</v>
      </c>
    </row>
    <row r="2794" spans="1:49" ht="15" customHeight="1" x14ac:dyDescent="0.25">
      <c r="A2794" s="21">
        <v>18383</v>
      </c>
      <c r="B2794" s="22" t="s">
        <v>21</v>
      </c>
      <c r="C2794" s="22" t="s">
        <v>5305</v>
      </c>
      <c r="D2794" s="22" t="s">
        <v>4549</v>
      </c>
      <c r="E2794" s="22" t="s">
        <v>4550</v>
      </c>
      <c r="F2794" s="22">
        <v>36.353959000000003</v>
      </c>
      <c r="G2794" s="22">
        <v>43.211905000000002</v>
      </c>
      <c r="H2794" s="21" t="s">
        <v>5198</v>
      </c>
      <c r="I2794" s="21" t="s">
        <v>5308</v>
      </c>
      <c r="J2794" s="21" t="s">
        <v>5418</v>
      </c>
      <c r="K2794" s="24">
        <v>73</v>
      </c>
      <c r="L2794" s="24">
        <v>438</v>
      </c>
      <c r="M2794" s="23">
        <v>15</v>
      </c>
      <c r="N2794" s="23"/>
      <c r="O2794" s="23"/>
      <c r="P2794" s="23"/>
      <c r="Q2794" s="23"/>
      <c r="R2794" s="23"/>
      <c r="S2794" s="23"/>
      <c r="T2794" s="23"/>
      <c r="U2794" s="23">
        <v>12</v>
      </c>
      <c r="V2794" s="23"/>
      <c r="W2794" s="23"/>
      <c r="X2794" s="23"/>
      <c r="Y2794" s="23">
        <v>46</v>
      </c>
      <c r="Z2794" s="23"/>
      <c r="AA2794" s="23"/>
      <c r="AB2794" s="23"/>
      <c r="AC2794" s="23"/>
      <c r="AD2794" s="23"/>
      <c r="AE2794" s="23"/>
      <c r="AF2794" s="23">
        <v>51</v>
      </c>
      <c r="AG2794" s="23"/>
      <c r="AH2794" s="23"/>
      <c r="AI2794" s="23"/>
      <c r="AJ2794" s="23"/>
      <c r="AK2794" s="23">
        <v>12</v>
      </c>
      <c r="AL2794" s="23"/>
      <c r="AM2794" s="23">
        <v>10</v>
      </c>
      <c r="AN2794" s="23"/>
      <c r="AO2794" s="23"/>
      <c r="AP2794" s="23"/>
      <c r="AQ2794" s="23"/>
      <c r="AR2794" s="23"/>
      <c r="AS2794" s="23">
        <v>44</v>
      </c>
      <c r="AT2794" s="23">
        <v>29</v>
      </c>
      <c r="AU2794" s="14" t="str">
        <f>HYPERLINK("http://www.openstreetmap.org/?mlat=36.354&amp;mlon=43.2119&amp;zoom=12#map=12/36.354/43.2119","Maplink1")</f>
        <v>Maplink1</v>
      </c>
      <c r="AV2794" s="14" t="str">
        <f>HYPERLINK("https://www.google.iq/maps/search/+36.354,43.2119/@36.354,43.2119,14z?hl=en","Maplink2")</f>
        <v>Maplink2</v>
      </c>
      <c r="AW2794" s="14" t="str">
        <f>HYPERLINK("http://www.bing.com/maps/?lvl=14&amp;sty=h&amp;cp=36.354~43.2119&amp;sp=point.36.354_43.2119_Hay Adan","Maplink3")</f>
        <v>Maplink3</v>
      </c>
    </row>
    <row r="2795" spans="1:49" ht="15" customHeight="1" x14ac:dyDescent="0.25">
      <c r="A2795" s="21">
        <v>18306</v>
      </c>
      <c r="B2795" s="22" t="s">
        <v>21</v>
      </c>
      <c r="C2795" s="22" t="s">
        <v>5305</v>
      </c>
      <c r="D2795" s="22" t="s">
        <v>5419</v>
      </c>
      <c r="E2795" s="22" t="s">
        <v>5420</v>
      </c>
      <c r="F2795" s="22">
        <v>36.422221999999998</v>
      </c>
      <c r="G2795" s="22">
        <v>43.139166000000003</v>
      </c>
      <c r="H2795" s="21" t="s">
        <v>5198</v>
      </c>
      <c r="I2795" s="21" t="s">
        <v>5308</v>
      </c>
      <c r="J2795" s="21" t="s">
        <v>5421</v>
      </c>
      <c r="K2795" s="24">
        <v>102</v>
      </c>
      <c r="L2795" s="24">
        <v>612</v>
      </c>
      <c r="M2795" s="23">
        <v>1</v>
      </c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>
        <v>59</v>
      </c>
      <c r="Z2795" s="23"/>
      <c r="AA2795" s="23">
        <v>42</v>
      </c>
      <c r="AB2795" s="23"/>
      <c r="AC2795" s="23"/>
      <c r="AD2795" s="23"/>
      <c r="AE2795" s="23"/>
      <c r="AF2795" s="23">
        <v>32</v>
      </c>
      <c r="AG2795" s="23"/>
      <c r="AH2795" s="23"/>
      <c r="AI2795" s="23"/>
      <c r="AJ2795" s="23"/>
      <c r="AK2795" s="23">
        <v>55</v>
      </c>
      <c r="AL2795" s="23"/>
      <c r="AM2795" s="23"/>
      <c r="AN2795" s="23">
        <v>15</v>
      </c>
      <c r="AO2795" s="23">
        <v>1</v>
      </c>
      <c r="AP2795" s="23"/>
      <c r="AQ2795" s="23"/>
      <c r="AR2795" s="23"/>
      <c r="AS2795" s="23">
        <v>101</v>
      </c>
      <c r="AT2795" s="23"/>
      <c r="AU2795" s="14" t="str">
        <f>HYPERLINK("http://www.openstreetmap.org/?mlat=36.4222&amp;mlon=43.1392&amp;zoom=12#map=12/36.4222/43.1392","Maplink1")</f>
        <v>Maplink1</v>
      </c>
      <c r="AV2795" s="14" t="str">
        <f>HYPERLINK("https://www.google.iq/maps/search/+36.4222,43.1392/@36.4222,43.1392,14z?hl=en","Maplink2")</f>
        <v>Maplink2</v>
      </c>
      <c r="AW2795" s="14" t="str">
        <f>HYPERLINK("http://www.bing.com/maps/?lvl=14&amp;sty=h&amp;cp=36.4222~43.1392&amp;sp=point.36.4222_43.1392_Hay Al Arabi","Maplink3")</f>
        <v>Maplink3</v>
      </c>
    </row>
    <row r="2796" spans="1:49" ht="15" customHeight="1" x14ac:dyDescent="0.25">
      <c r="A2796" s="21">
        <v>23789</v>
      </c>
      <c r="B2796" s="22" t="s">
        <v>21</v>
      </c>
      <c r="C2796" s="22" t="s">
        <v>5305</v>
      </c>
      <c r="D2796" s="22" t="s">
        <v>606</v>
      </c>
      <c r="E2796" s="22" t="s">
        <v>141</v>
      </c>
      <c r="F2796" s="22">
        <v>36.355820999999999</v>
      </c>
      <c r="G2796" s="22">
        <v>43.112251999999998</v>
      </c>
      <c r="H2796" s="21" t="s">
        <v>5198</v>
      </c>
      <c r="I2796" s="21" t="s">
        <v>5308</v>
      </c>
      <c r="J2796" s="21" t="s">
        <v>5422</v>
      </c>
      <c r="K2796" s="24">
        <v>110</v>
      </c>
      <c r="L2796" s="24">
        <v>660</v>
      </c>
      <c r="M2796" s="23">
        <v>8</v>
      </c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95</v>
      </c>
      <c r="Z2796" s="23"/>
      <c r="AA2796" s="23">
        <v>7</v>
      </c>
      <c r="AB2796" s="23"/>
      <c r="AC2796" s="23"/>
      <c r="AD2796" s="23"/>
      <c r="AE2796" s="23"/>
      <c r="AF2796" s="23">
        <v>22</v>
      </c>
      <c r="AG2796" s="23"/>
      <c r="AH2796" s="23"/>
      <c r="AI2796" s="23"/>
      <c r="AJ2796" s="23"/>
      <c r="AK2796" s="23">
        <v>53</v>
      </c>
      <c r="AL2796" s="23">
        <v>25</v>
      </c>
      <c r="AM2796" s="23">
        <v>10</v>
      </c>
      <c r="AN2796" s="23"/>
      <c r="AO2796" s="23">
        <v>8</v>
      </c>
      <c r="AP2796" s="23"/>
      <c r="AQ2796" s="23">
        <v>50</v>
      </c>
      <c r="AR2796" s="23"/>
      <c r="AS2796" s="23">
        <v>52</v>
      </c>
      <c r="AT2796" s="23"/>
      <c r="AU2796" s="14" t="str">
        <f>HYPERLINK("http://www.openstreetmap.org/?mlat=36.3558&amp;mlon=43.1123&amp;zoom=12#map=12/36.3558/43.1123","Maplink1")</f>
        <v>Maplink1</v>
      </c>
      <c r="AV2796" s="14" t="str">
        <f>HYPERLINK("https://www.google.iq/maps/search/+36.3558,43.1123/@36.3558,43.1123,14z?hl=en","Maplink2")</f>
        <v>Maplink2</v>
      </c>
      <c r="AW2796" s="14" t="str">
        <f>HYPERLINK("http://www.bing.com/maps/?lvl=14&amp;sty=h&amp;cp=36.3558~43.1123&amp;sp=point.36.3558_43.1123_Hay Al Farouq","Maplink3")</f>
        <v>Maplink3</v>
      </c>
    </row>
    <row r="2797" spans="1:49" ht="15" customHeight="1" x14ac:dyDescent="0.25">
      <c r="A2797" s="21">
        <v>18314</v>
      </c>
      <c r="B2797" s="22" t="s">
        <v>21</v>
      </c>
      <c r="C2797" s="22" t="s">
        <v>5305</v>
      </c>
      <c r="D2797" s="22" t="s">
        <v>5423</v>
      </c>
      <c r="E2797" s="22" t="s">
        <v>5424</v>
      </c>
      <c r="F2797" s="22">
        <v>36.422221999999998</v>
      </c>
      <c r="G2797" s="22">
        <v>43.216450000000002</v>
      </c>
      <c r="H2797" s="21" t="s">
        <v>5198</v>
      </c>
      <c r="I2797" s="21" t="s">
        <v>5308</v>
      </c>
      <c r="J2797" s="21" t="s">
        <v>5425</v>
      </c>
      <c r="K2797" s="24">
        <v>249</v>
      </c>
      <c r="L2797" s="24">
        <v>1494</v>
      </c>
      <c r="M2797" s="23">
        <v>72</v>
      </c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170</v>
      </c>
      <c r="Z2797" s="23"/>
      <c r="AA2797" s="23">
        <v>7</v>
      </c>
      <c r="AB2797" s="23"/>
      <c r="AC2797" s="23"/>
      <c r="AD2797" s="23"/>
      <c r="AE2797" s="23"/>
      <c r="AF2797" s="23">
        <v>34</v>
      </c>
      <c r="AG2797" s="23"/>
      <c r="AH2797" s="23"/>
      <c r="AI2797" s="23"/>
      <c r="AJ2797" s="23"/>
      <c r="AK2797" s="23">
        <v>18</v>
      </c>
      <c r="AL2797" s="23"/>
      <c r="AM2797" s="23">
        <v>197</v>
      </c>
      <c r="AN2797" s="23"/>
      <c r="AO2797" s="23"/>
      <c r="AP2797" s="23"/>
      <c r="AQ2797" s="23">
        <v>46</v>
      </c>
      <c r="AR2797" s="23">
        <v>72</v>
      </c>
      <c r="AS2797" s="23">
        <v>35</v>
      </c>
      <c r="AT2797" s="23">
        <v>96</v>
      </c>
      <c r="AU2797" s="14" t="str">
        <f>HYPERLINK("http://www.openstreetmap.org/?mlat=36.4222&amp;mlon=43.2165&amp;zoom=12#map=12/36.4222/43.2165","Maplink1")</f>
        <v>Maplink1</v>
      </c>
      <c r="AV2797" s="14" t="str">
        <f>HYPERLINK("https://www.google.iq/maps/search/+36.4222,43.2165/@36.4222,43.2165,14z?hl=en","Maplink2")</f>
        <v>Maplink2</v>
      </c>
      <c r="AW2797" s="14" t="str">
        <f>HYPERLINK("http://www.bing.com/maps/?lvl=14&amp;sty=h&amp;cp=36.4222~43.2165&amp;sp=point.36.4222_43.2165_Hay Al Intisar","Maplink3")</f>
        <v>Maplink3</v>
      </c>
    </row>
    <row r="2798" spans="1:49" ht="15" customHeight="1" x14ac:dyDescent="0.25">
      <c r="A2798" s="21">
        <v>18313</v>
      </c>
      <c r="B2798" s="22" t="s">
        <v>21</v>
      </c>
      <c r="C2798" s="22" t="s">
        <v>5305</v>
      </c>
      <c r="D2798" s="22" t="s">
        <v>5426</v>
      </c>
      <c r="E2798" s="22" t="s">
        <v>5427</v>
      </c>
      <c r="F2798" s="22">
        <v>36.33</v>
      </c>
      <c r="G2798" s="22">
        <v>43.11</v>
      </c>
      <c r="H2798" s="21" t="s">
        <v>5198</v>
      </c>
      <c r="I2798" s="21" t="s">
        <v>5308</v>
      </c>
      <c r="J2798" s="21" t="s">
        <v>5428</v>
      </c>
      <c r="K2798" s="24">
        <v>271</v>
      </c>
      <c r="L2798" s="24">
        <v>1626</v>
      </c>
      <c r="M2798" s="23">
        <v>4</v>
      </c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239</v>
      </c>
      <c r="Z2798" s="23"/>
      <c r="AA2798" s="23">
        <v>28</v>
      </c>
      <c r="AB2798" s="23"/>
      <c r="AC2798" s="23"/>
      <c r="AD2798" s="23"/>
      <c r="AE2798" s="23"/>
      <c r="AF2798" s="23">
        <v>78</v>
      </c>
      <c r="AG2798" s="23"/>
      <c r="AH2798" s="23"/>
      <c r="AI2798" s="23"/>
      <c r="AJ2798" s="23"/>
      <c r="AK2798" s="23">
        <v>139</v>
      </c>
      <c r="AL2798" s="23"/>
      <c r="AM2798" s="23">
        <v>46</v>
      </c>
      <c r="AN2798" s="23">
        <v>8</v>
      </c>
      <c r="AO2798" s="23">
        <v>4</v>
      </c>
      <c r="AP2798" s="23"/>
      <c r="AQ2798" s="23">
        <v>21</v>
      </c>
      <c r="AR2798" s="23">
        <v>67</v>
      </c>
      <c r="AS2798" s="23">
        <v>88</v>
      </c>
      <c r="AT2798" s="23">
        <v>91</v>
      </c>
      <c r="AU2798" s="14" t="str">
        <f>HYPERLINK("http://www.openstreetmap.org/?mlat=36.33&amp;mlon=43.11&amp;zoom=12#map=12/36.33/43.11","Maplink1")</f>
        <v>Maplink1</v>
      </c>
      <c r="AV2798" s="14" t="str">
        <f>HYPERLINK("https://www.google.iq/maps/search/+36.33,43.11/@36.33,43.11,14z?hl=en","Maplink2")</f>
        <v>Maplink2</v>
      </c>
      <c r="AW2798" s="14" t="str">
        <f>HYPERLINK("http://www.bing.com/maps/?lvl=14&amp;sty=h&amp;cp=36.33~43.11&amp;sp=point.36.33_43.11_Hay Al Islah Al Zirai","Maplink3")</f>
        <v>Maplink3</v>
      </c>
    </row>
    <row r="2799" spans="1:49" ht="15" customHeight="1" x14ac:dyDescent="0.25">
      <c r="A2799" s="21">
        <v>23929</v>
      </c>
      <c r="B2799" s="22" t="s">
        <v>21</v>
      </c>
      <c r="C2799" s="22" t="s">
        <v>5305</v>
      </c>
      <c r="D2799" s="22" t="s">
        <v>5429</v>
      </c>
      <c r="E2799" s="22" t="s">
        <v>4799</v>
      </c>
      <c r="F2799" s="22">
        <v>36.399594999999998</v>
      </c>
      <c r="G2799" s="22">
        <v>43.148546000000003</v>
      </c>
      <c r="H2799" s="21" t="s">
        <v>5198</v>
      </c>
      <c r="I2799" s="21" t="s">
        <v>5308</v>
      </c>
      <c r="J2799" s="21" t="s">
        <v>5430</v>
      </c>
      <c r="K2799" s="24">
        <v>12</v>
      </c>
      <c r="L2799" s="24">
        <v>72</v>
      </c>
      <c r="M2799" s="23">
        <v>3</v>
      </c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6</v>
      </c>
      <c r="Z2799" s="23"/>
      <c r="AA2799" s="23">
        <v>3</v>
      </c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>
        <v>7</v>
      </c>
      <c r="AL2799" s="23"/>
      <c r="AM2799" s="23"/>
      <c r="AN2799" s="23">
        <v>5</v>
      </c>
      <c r="AO2799" s="23">
        <v>3</v>
      </c>
      <c r="AP2799" s="23"/>
      <c r="AQ2799" s="23"/>
      <c r="AR2799" s="23"/>
      <c r="AS2799" s="23">
        <v>4</v>
      </c>
      <c r="AT2799" s="23">
        <v>5</v>
      </c>
      <c r="AU2799" s="14" t="str">
        <f>HYPERLINK("http://www.openstreetmap.org/?mlat=36.3996&amp;mlon=43.1485&amp;zoom=12#map=12/36.3996/43.1485","Maplink1")</f>
        <v>Maplink1</v>
      </c>
      <c r="AV2799" s="14" t="str">
        <f>HYPERLINK("https://www.google.iq/maps/search/+36.3996,43.1485/@36.3996,43.1485,14z?hl=en","Maplink2")</f>
        <v>Maplink2</v>
      </c>
      <c r="AW2799" s="14" t="str">
        <f>HYPERLINK("http://www.bing.com/maps/?lvl=14&amp;sty=h&amp;cp=36.3996~43.1485&amp;sp=point.36.3996_43.1485_Hay Al Kafaat","Maplink3")</f>
        <v>Maplink3</v>
      </c>
    </row>
    <row r="2800" spans="1:49" ht="15" customHeight="1" x14ac:dyDescent="0.25">
      <c r="A2800" s="21">
        <v>23934</v>
      </c>
      <c r="B2800" s="22" t="s">
        <v>21</v>
      </c>
      <c r="C2800" s="22" t="s">
        <v>5305</v>
      </c>
      <c r="D2800" s="22" t="s">
        <v>5431</v>
      </c>
      <c r="E2800" s="22" t="s">
        <v>5432</v>
      </c>
      <c r="F2800" s="22">
        <v>36.344926000000001</v>
      </c>
      <c r="G2800" s="22">
        <v>43.052745000000002</v>
      </c>
      <c r="H2800" s="21" t="s">
        <v>5198</v>
      </c>
      <c r="I2800" s="21" t="s">
        <v>5308</v>
      </c>
      <c r="J2800" s="21" t="s">
        <v>5433</v>
      </c>
      <c r="K2800" s="24">
        <v>114</v>
      </c>
      <c r="L2800" s="24">
        <v>684</v>
      </c>
      <c r="M2800" s="23">
        <v>10</v>
      </c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104</v>
      </c>
      <c r="Z2800" s="23"/>
      <c r="AA2800" s="23"/>
      <c r="AB2800" s="23"/>
      <c r="AC2800" s="23"/>
      <c r="AD2800" s="23"/>
      <c r="AE2800" s="23"/>
      <c r="AF2800" s="23">
        <v>41</v>
      </c>
      <c r="AG2800" s="23"/>
      <c r="AH2800" s="23"/>
      <c r="AI2800" s="23"/>
      <c r="AJ2800" s="23"/>
      <c r="AK2800" s="23">
        <v>27</v>
      </c>
      <c r="AL2800" s="23"/>
      <c r="AM2800" s="23">
        <v>33</v>
      </c>
      <c r="AN2800" s="23">
        <v>13</v>
      </c>
      <c r="AO2800" s="23">
        <v>10</v>
      </c>
      <c r="AP2800" s="23"/>
      <c r="AQ2800" s="23"/>
      <c r="AR2800" s="23">
        <v>57</v>
      </c>
      <c r="AS2800" s="23">
        <v>31</v>
      </c>
      <c r="AT2800" s="23">
        <v>16</v>
      </c>
      <c r="AU2800" s="14" t="str">
        <f>HYPERLINK("http://www.openstreetmap.org/?mlat=36.3449&amp;mlon=43.0527&amp;zoom=12#map=12/36.3449/43.0527","Maplink1")</f>
        <v>Maplink1</v>
      </c>
      <c r="AV2800" s="14" t="str">
        <f>HYPERLINK("https://www.google.iq/maps/search/+36.3449,43.0527/@36.3449,43.0527,14z?hl=en","Maplink2")</f>
        <v>Maplink2</v>
      </c>
      <c r="AW2800" s="14" t="str">
        <f>HYPERLINK("http://www.bing.com/maps/?lvl=14&amp;sty=h&amp;cp=36.3449~43.0527&amp;sp=point.36.3449_43.0527_Hay Al Nahrawan","Maplink3")</f>
        <v>Maplink3</v>
      </c>
    </row>
    <row r="2801" spans="1:49" ht="15" customHeight="1" x14ac:dyDescent="0.25">
      <c r="A2801" s="21">
        <v>23933</v>
      </c>
      <c r="B2801" s="22" t="s">
        <v>21</v>
      </c>
      <c r="C2801" s="22" t="s">
        <v>5305</v>
      </c>
      <c r="D2801" s="22" t="s">
        <v>5434</v>
      </c>
      <c r="E2801" s="22" t="s">
        <v>5435</v>
      </c>
      <c r="F2801" s="22">
        <v>36.363736000000003</v>
      </c>
      <c r="G2801" s="22">
        <v>43.218418999999997</v>
      </c>
      <c r="H2801" s="21" t="s">
        <v>5198</v>
      </c>
      <c r="I2801" s="21" t="s">
        <v>5308</v>
      </c>
      <c r="J2801" s="21" t="s">
        <v>5436</v>
      </c>
      <c r="K2801" s="24">
        <v>53</v>
      </c>
      <c r="L2801" s="24">
        <v>318</v>
      </c>
      <c r="M2801" s="23">
        <v>15</v>
      </c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38</v>
      </c>
      <c r="Z2801" s="23"/>
      <c r="AA2801" s="23"/>
      <c r="AB2801" s="23"/>
      <c r="AC2801" s="23"/>
      <c r="AD2801" s="23"/>
      <c r="AE2801" s="23"/>
      <c r="AF2801" s="23">
        <v>11</v>
      </c>
      <c r="AG2801" s="23"/>
      <c r="AH2801" s="23"/>
      <c r="AI2801" s="23"/>
      <c r="AJ2801" s="23"/>
      <c r="AK2801" s="23">
        <v>4</v>
      </c>
      <c r="AL2801" s="23"/>
      <c r="AM2801" s="23">
        <v>38</v>
      </c>
      <c r="AN2801" s="23"/>
      <c r="AO2801" s="23">
        <v>15</v>
      </c>
      <c r="AP2801" s="23"/>
      <c r="AQ2801" s="23"/>
      <c r="AR2801" s="23">
        <v>38</v>
      </c>
      <c r="AS2801" s="23"/>
      <c r="AT2801" s="23"/>
      <c r="AU2801" s="14" t="str">
        <f>HYPERLINK("http://www.openstreetmap.org/?mlat=36.3637&amp;mlon=43.2184&amp;zoom=12#map=12/36.3637/43.2184","Maplink1")</f>
        <v>Maplink1</v>
      </c>
      <c r="AV2801" s="14" t="str">
        <f>HYPERLINK("https://www.google.iq/maps/search/+36.3637,43.2184/@36.3637,43.2184,14z?hl=en","Maplink2")</f>
        <v>Maplink2</v>
      </c>
      <c r="AW2801" s="14" t="str">
        <f>HYPERLINK("http://www.bing.com/maps/?lvl=14&amp;sty=h&amp;cp=36.3637~43.2184&amp;sp=point.36.3637_43.2184_Hay Al Samah","Maplink3")</f>
        <v>Maplink3</v>
      </c>
    </row>
    <row r="2802" spans="1:49" ht="15" customHeight="1" x14ac:dyDescent="0.25">
      <c r="A2802" s="21">
        <v>18370</v>
      </c>
      <c r="B2802" s="22" t="s">
        <v>21</v>
      </c>
      <c r="C2802" s="22" t="s">
        <v>5305</v>
      </c>
      <c r="D2802" s="22" t="s">
        <v>229</v>
      </c>
      <c r="E2802" s="22" t="s">
        <v>8076</v>
      </c>
      <c r="F2802" s="22">
        <v>36.353563999999999</v>
      </c>
      <c r="G2802" s="22">
        <v>43.189557999999998</v>
      </c>
      <c r="H2802" s="21" t="s">
        <v>5198</v>
      </c>
      <c r="I2802" s="21" t="s">
        <v>5308</v>
      </c>
      <c r="J2802" s="21" t="s">
        <v>5437</v>
      </c>
      <c r="K2802" s="24">
        <v>628</v>
      </c>
      <c r="L2802" s="24">
        <v>3768</v>
      </c>
      <c r="M2802" s="23">
        <v>3</v>
      </c>
      <c r="N2802" s="23"/>
      <c r="O2802" s="23"/>
      <c r="P2802" s="23"/>
      <c r="Q2802" s="23"/>
      <c r="R2802" s="23"/>
      <c r="S2802" s="23"/>
      <c r="T2802" s="23"/>
      <c r="U2802" s="23">
        <v>59</v>
      </c>
      <c r="V2802" s="23"/>
      <c r="W2802" s="23"/>
      <c r="X2802" s="23"/>
      <c r="Y2802" s="23">
        <v>512</v>
      </c>
      <c r="Z2802" s="23"/>
      <c r="AA2802" s="23">
        <v>54</v>
      </c>
      <c r="AB2802" s="23"/>
      <c r="AC2802" s="23"/>
      <c r="AD2802" s="23"/>
      <c r="AE2802" s="23"/>
      <c r="AF2802" s="23">
        <v>187</v>
      </c>
      <c r="AG2802" s="23"/>
      <c r="AH2802" s="23"/>
      <c r="AI2802" s="23"/>
      <c r="AJ2802" s="23"/>
      <c r="AK2802" s="23">
        <v>14</v>
      </c>
      <c r="AL2802" s="23">
        <v>115</v>
      </c>
      <c r="AM2802" s="23">
        <v>289</v>
      </c>
      <c r="AN2802" s="23">
        <v>23</v>
      </c>
      <c r="AO2802" s="23">
        <v>3</v>
      </c>
      <c r="AP2802" s="23"/>
      <c r="AQ2802" s="23">
        <v>400</v>
      </c>
      <c r="AR2802" s="23">
        <v>65</v>
      </c>
      <c r="AS2802" s="23">
        <v>122</v>
      </c>
      <c r="AT2802" s="23">
        <v>38</v>
      </c>
      <c r="AU2802" s="14" t="str">
        <f>HYPERLINK("http://www.openstreetmap.org/?mlat=36.3536&amp;mlon=43.1896&amp;zoom=12#map=12/36.3536/43.1896","Maplink1")</f>
        <v>Maplink1</v>
      </c>
      <c r="AV2802" s="14" t="str">
        <f>HYPERLINK("https://www.google.iq/maps/search/+36.3536,43.1896/@36.3536,43.1896,14z?hl=en","Maplink2")</f>
        <v>Maplink2</v>
      </c>
      <c r="AW2802" s="14" t="str">
        <f>HYPERLINK("http://www.bing.com/maps/?lvl=14&amp;sty=h&amp;cp=36.3536~43.1896&amp;sp=point.36.3536_43.1896_Hay Al Tammem","Maplink3")</f>
        <v>Maplink3</v>
      </c>
    </row>
    <row r="2803" spans="1:49" ht="15" customHeight="1" x14ac:dyDescent="0.25">
      <c r="A2803" s="21">
        <v>21647</v>
      </c>
      <c r="B2803" s="22" t="s">
        <v>21</v>
      </c>
      <c r="C2803" s="22" t="s">
        <v>5305</v>
      </c>
      <c r="D2803" s="22" t="s">
        <v>872</v>
      </c>
      <c r="E2803" s="22" t="s">
        <v>2196</v>
      </c>
      <c r="F2803" s="22">
        <v>36.385902999999999</v>
      </c>
      <c r="G2803" s="22">
        <v>43.206363000000003</v>
      </c>
      <c r="H2803" s="21" t="s">
        <v>5198</v>
      </c>
      <c r="I2803" s="21" t="s">
        <v>5308</v>
      </c>
      <c r="J2803" s="21" t="s">
        <v>5438</v>
      </c>
      <c r="K2803" s="24">
        <v>546</v>
      </c>
      <c r="L2803" s="24">
        <v>3276</v>
      </c>
      <c r="M2803" s="23">
        <v>50</v>
      </c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496</v>
      </c>
      <c r="Z2803" s="23"/>
      <c r="AA2803" s="23"/>
      <c r="AB2803" s="23"/>
      <c r="AC2803" s="23"/>
      <c r="AD2803" s="23"/>
      <c r="AE2803" s="23"/>
      <c r="AF2803" s="23">
        <v>55</v>
      </c>
      <c r="AG2803" s="23"/>
      <c r="AH2803" s="23"/>
      <c r="AI2803" s="23"/>
      <c r="AJ2803" s="23"/>
      <c r="AK2803" s="23">
        <v>49</v>
      </c>
      <c r="AL2803" s="23"/>
      <c r="AM2803" s="23">
        <v>374</v>
      </c>
      <c r="AN2803" s="23">
        <v>68</v>
      </c>
      <c r="AO2803" s="23">
        <v>50</v>
      </c>
      <c r="AP2803" s="23"/>
      <c r="AQ2803" s="23">
        <v>220</v>
      </c>
      <c r="AR2803" s="23">
        <v>194</v>
      </c>
      <c r="AS2803" s="23">
        <v>58</v>
      </c>
      <c r="AT2803" s="23">
        <v>24</v>
      </c>
      <c r="AU2803" s="14" t="str">
        <f>HYPERLINK("http://www.openstreetmap.org/?mlat=36.3859&amp;mlon=43.2064&amp;zoom=12#map=12/36.3859/43.2064","Maplink1")</f>
        <v>Maplink1</v>
      </c>
      <c r="AV2803" s="14" t="str">
        <f>HYPERLINK("https://www.google.iq/maps/search/+36.3859,43.2064/@36.3859,43.2064,14z?hl=en","Maplink2")</f>
        <v>Maplink2</v>
      </c>
      <c r="AW2803" s="14" t="str">
        <f>HYPERLINK("http://www.bing.com/maps/?lvl=14&amp;sty=h&amp;cp=36.3859~43.2064&amp;sp=point.36.3859_43.2064_Hay Al Zahraa","Maplink3")</f>
        <v>Maplink3</v>
      </c>
    </row>
    <row r="2804" spans="1:49" ht="15" customHeight="1" x14ac:dyDescent="0.25">
      <c r="A2804" s="21">
        <v>18362</v>
      </c>
      <c r="B2804" s="22" t="s">
        <v>21</v>
      </c>
      <c r="C2804" s="22" t="s">
        <v>5305</v>
      </c>
      <c r="D2804" s="22" t="s">
        <v>5439</v>
      </c>
      <c r="E2804" s="22" t="s">
        <v>519</v>
      </c>
      <c r="F2804" s="22">
        <v>36.366666670000001</v>
      </c>
      <c r="G2804" s="22">
        <v>43.20027778</v>
      </c>
      <c r="H2804" s="21" t="s">
        <v>5198</v>
      </c>
      <c r="I2804" s="21" t="s">
        <v>5308</v>
      </c>
      <c r="J2804" s="21" t="s">
        <v>5440</v>
      </c>
      <c r="K2804" s="24">
        <v>80</v>
      </c>
      <c r="L2804" s="24">
        <v>480</v>
      </c>
      <c r="M2804" s="23">
        <v>16</v>
      </c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>
        <v>24</v>
      </c>
      <c r="Z2804" s="23"/>
      <c r="AA2804" s="23">
        <v>40</v>
      </c>
      <c r="AB2804" s="23"/>
      <c r="AC2804" s="23"/>
      <c r="AD2804" s="23"/>
      <c r="AE2804" s="23"/>
      <c r="AF2804" s="23">
        <v>19</v>
      </c>
      <c r="AG2804" s="23"/>
      <c r="AH2804" s="23"/>
      <c r="AI2804" s="23"/>
      <c r="AJ2804" s="23"/>
      <c r="AK2804" s="23">
        <v>4</v>
      </c>
      <c r="AL2804" s="23"/>
      <c r="AM2804" s="23">
        <v>57</v>
      </c>
      <c r="AN2804" s="23"/>
      <c r="AO2804" s="23">
        <v>4</v>
      </c>
      <c r="AP2804" s="23"/>
      <c r="AQ2804" s="23"/>
      <c r="AR2804" s="23">
        <v>20</v>
      </c>
      <c r="AS2804" s="23">
        <v>46</v>
      </c>
      <c r="AT2804" s="23">
        <v>10</v>
      </c>
      <c r="AU2804" s="14" t="str">
        <f>HYPERLINK("http://www.openstreetmap.org/?mlat=36.3667&amp;mlon=43.2003&amp;zoom=12#map=12/36.3667/43.2003","Maplink1")</f>
        <v>Maplink1</v>
      </c>
      <c r="AV2804" s="14" t="str">
        <f>HYPERLINK("https://www.google.iq/maps/search/+36.3667,43.2003/@36.3667,43.2003,14z?hl=en","Maplink2")</f>
        <v>Maplink2</v>
      </c>
      <c r="AW2804" s="14" t="str">
        <f>HYPERLINK("http://www.bing.com/maps/?lvl=14&amp;sty=h&amp;cp=36.3667~43.2003&amp;sp=point.36.3667_43.2003_Hay Al-Baker","Maplink3")</f>
        <v>Maplink3</v>
      </c>
    </row>
    <row r="2805" spans="1:49" ht="15" customHeight="1" x14ac:dyDescent="0.25">
      <c r="A2805" s="21">
        <v>20970</v>
      </c>
      <c r="B2805" s="22" t="s">
        <v>21</v>
      </c>
      <c r="C2805" s="22" t="s">
        <v>5305</v>
      </c>
      <c r="D2805" s="22" t="s">
        <v>5441</v>
      </c>
      <c r="E2805" s="22" t="s">
        <v>5442</v>
      </c>
      <c r="F2805" s="22">
        <v>36.21</v>
      </c>
      <c r="G2805" s="22">
        <v>43.07</v>
      </c>
      <c r="H2805" s="21" t="s">
        <v>5198</v>
      </c>
      <c r="I2805" s="21" t="s">
        <v>5308</v>
      </c>
      <c r="J2805" s="21" t="s">
        <v>5443</v>
      </c>
      <c r="K2805" s="24">
        <v>4</v>
      </c>
      <c r="L2805" s="24">
        <v>24</v>
      </c>
      <c r="M2805" s="23">
        <v>4</v>
      </c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>
        <v>4</v>
      </c>
      <c r="AG2805" s="23"/>
      <c r="AH2805" s="23"/>
      <c r="AI2805" s="23"/>
      <c r="AJ2805" s="23"/>
      <c r="AK2805" s="23"/>
      <c r="AL2805" s="23"/>
      <c r="AM2805" s="23"/>
      <c r="AN2805" s="23"/>
      <c r="AO2805" s="23">
        <v>4</v>
      </c>
      <c r="AP2805" s="23"/>
      <c r="AQ2805" s="23"/>
      <c r="AR2805" s="23"/>
      <c r="AS2805" s="23"/>
      <c r="AT2805" s="23"/>
      <c r="AU2805" s="14" t="str">
        <f>HYPERLINK("http://www.openstreetmap.org/?mlat=36.21&amp;mlon=43.07&amp;zoom=12#map=12/36.21/43.07","Maplink1")</f>
        <v>Maplink1</v>
      </c>
      <c r="AV2805" s="14" t="str">
        <f>HYPERLINK("https://www.google.iq/maps/search/+36.21,43.07/@36.21,43.07,14z?hl=en","Maplink2")</f>
        <v>Maplink2</v>
      </c>
      <c r="AW2805" s="14" t="str">
        <f>HYPERLINK("http://www.bing.com/maps/?lvl=14&amp;sty=h&amp;cp=36.21~43.07&amp;sp=point.36.21_43.07_Hay Al-Shifaa","Maplink3")</f>
        <v>Maplink3</v>
      </c>
    </row>
    <row r="2806" spans="1:49" ht="15" customHeight="1" x14ac:dyDescent="0.25">
      <c r="A2806" s="21">
        <v>20998</v>
      </c>
      <c r="B2806" s="22" t="s">
        <v>21</v>
      </c>
      <c r="C2806" s="22" t="s">
        <v>5305</v>
      </c>
      <c r="D2806" s="22" t="s">
        <v>5444</v>
      </c>
      <c r="E2806" s="22" t="s">
        <v>5445</v>
      </c>
      <c r="F2806" s="22">
        <v>36.360472999999999</v>
      </c>
      <c r="G2806" s="22">
        <v>43.193643999999999</v>
      </c>
      <c r="H2806" s="21" t="s">
        <v>5198</v>
      </c>
      <c r="I2806" s="21" t="s">
        <v>5308</v>
      </c>
      <c r="J2806" s="21"/>
      <c r="K2806" s="24">
        <v>47</v>
      </c>
      <c r="L2806" s="24">
        <v>282</v>
      </c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47</v>
      </c>
      <c r="Z2806" s="23"/>
      <c r="AA2806" s="23"/>
      <c r="AB2806" s="23"/>
      <c r="AC2806" s="23"/>
      <c r="AD2806" s="23"/>
      <c r="AE2806" s="23"/>
      <c r="AF2806" s="23">
        <v>10</v>
      </c>
      <c r="AG2806" s="23"/>
      <c r="AH2806" s="23"/>
      <c r="AI2806" s="23"/>
      <c r="AJ2806" s="23"/>
      <c r="AK2806" s="23">
        <v>27</v>
      </c>
      <c r="AL2806" s="23"/>
      <c r="AM2806" s="23"/>
      <c r="AN2806" s="23">
        <v>10</v>
      </c>
      <c r="AO2806" s="23"/>
      <c r="AP2806" s="23"/>
      <c r="AQ2806" s="23"/>
      <c r="AR2806" s="23"/>
      <c r="AS2806" s="23">
        <v>47</v>
      </c>
      <c r="AT2806" s="23"/>
      <c r="AU2806" s="14" t="str">
        <f>HYPERLINK("http://www.openstreetmap.org/?mlat=36.3605&amp;mlon=43.1936&amp;zoom=12#map=12/36.3605/43.1936","Maplink1")</f>
        <v>Maplink1</v>
      </c>
      <c r="AV2806" s="14" t="str">
        <f>HYPERLINK("https://www.google.iq/maps/search/+36.3605,43.1936/@36.3605,43.1936,14z?hl=en","Maplink2")</f>
        <v>Maplink2</v>
      </c>
      <c r="AW2806" s="14" t="str">
        <f>HYPERLINK("http://www.bing.com/maps/?lvl=14&amp;sty=h&amp;cp=36.3605~43.1936&amp;sp=point.36.3605_43.1936_Hay Alalam","Maplink3")</f>
        <v>Maplink3</v>
      </c>
    </row>
    <row r="2807" spans="1:49" ht="15" customHeight="1" x14ac:dyDescent="0.25">
      <c r="A2807" s="21">
        <v>21491</v>
      </c>
      <c r="B2807" s="22" t="s">
        <v>21</v>
      </c>
      <c r="C2807" s="22" t="s">
        <v>5305</v>
      </c>
      <c r="D2807" s="22" t="s">
        <v>5446</v>
      </c>
      <c r="E2807" s="22" t="s">
        <v>5447</v>
      </c>
      <c r="F2807" s="22">
        <v>36.369689000000001</v>
      </c>
      <c r="G2807" s="22">
        <v>43.187331</v>
      </c>
      <c r="H2807" s="21" t="s">
        <v>5198</v>
      </c>
      <c r="I2807" s="21" t="s">
        <v>5308</v>
      </c>
      <c r="J2807" s="21" t="s">
        <v>5448</v>
      </c>
      <c r="K2807" s="24">
        <v>22</v>
      </c>
      <c r="L2807" s="24">
        <v>132</v>
      </c>
      <c r="M2807" s="23"/>
      <c r="N2807" s="23"/>
      <c r="O2807" s="23"/>
      <c r="P2807" s="23"/>
      <c r="Q2807" s="23"/>
      <c r="R2807" s="23"/>
      <c r="S2807" s="23"/>
      <c r="T2807" s="23"/>
      <c r="U2807" s="23">
        <v>3</v>
      </c>
      <c r="V2807" s="23"/>
      <c r="W2807" s="23"/>
      <c r="X2807" s="23"/>
      <c r="Y2807" s="23">
        <v>14</v>
      </c>
      <c r="Z2807" s="23"/>
      <c r="AA2807" s="23">
        <v>5</v>
      </c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>
        <v>7</v>
      </c>
      <c r="AM2807" s="23">
        <v>15</v>
      </c>
      <c r="AN2807" s="23"/>
      <c r="AO2807" s="23"/>
      <c r="AP2807" s="23"/>
      <c r="AQ2807" s="23"/>
      <c r="AR2807" s="23"/>
      <c r="AS2807" s="23">
        <v>22</v>
      </c>
      <c r="AT2807" s="23"/>
      <c r="AU2807" s="14" t="str">
        <f>HYPERLINK("http://www.openstreetmap.org/?mlat=36.3697&amp;mlon=43.1873&amp;zoom=12#map=12/36.3697/43.1873","Maplink1")</f>
        <v>Maplink1</v>
      </c>
      <c r="AV2807" s="14" t="str">
        <f>HYPERLINK("https://www.google.iq/maps/search/+36.3697,43.1873/@36.3697,43.1873,14z?hl=en","Maplink2")</f>
        <v>Maplink2</v>
      </c>
      <c r="AW2807" s="14" t="str">
        <f>HYPERLINK("http://www.bing.com/maps/?lvl=14&amp;sty=h&amp;cp=36.3697~43.1873&amp;sp=point.36.3697_43.1873_Hay Almeshraq","Maplink3")</f>
        <v>Maplink3</v>
      </c>
    </row>
    <row r="2808" spans="1:49" ht="15" customHeight="1" x14ac:dyDescent="0.25">
      <c r="A2808" s="21">
        <v>27303</v>
      </c>
      <c r="B2808" s="22" t="s">
        <v>21</v>
      </c>
      <c r="C2808" s="22" t="s">
        <v>5305</v>
      </c>
      <c r="D2808" s="22" t="s">
        <v>5449</v>
      </c>
      <c r="E2808" s="22" t="s">
        <v>222</v>
      </c>
      <c r="F2808" s="22">
        <v>36.350392999999997</v>
      </c>
      <c r="G2808" s="22">
        <v>43.149883000000003</v>
      </c>
      <c r="H2808" s="21"/>
      <c r="I2808" s="21"/>
      <c r="J2808" s="21"/>
      <c r="K2808" s="24">
        <v>35</v>
      </c>
      <c r="L2808" s="24">
        <v>210</v>
      </c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30</v>
      </c>
      <c r="Z2808" s="23"/>
      <c r="AA2808" s="23">
        <v>5</v>
      </c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>
        <v>15</v>
      </c>
      <c r="AN2808" s="23">
        <v>20</v>
      </c>
      <c r="AO2808" s="23"/>
      <c r="AP2808" s="23"/>
      <c r="AQ2808" s="23"/>
      <c r="AR2808" s="23"/>
      <c r="AS2808" s="23">
        <v>35</v>
      </c>
      <c r="AT2808" s="23"/>
      <c r="AU2808" s="14" t="str">
        <f>HYPERLINK("http://www.openstreetmap.org/?mlat=36.3504&amp;mlon=43.1499&amp;zoom=12#map=12/36.3504/43.1499","Maplink1")</f>
        <v>Maplink1</v>
      </c>
      <c r="AV2808" s="14" t="str">
        <f>HYPERLINK("https://www.google.iq/maps/search/+36.3504,43.1499/@36.3504,43.1499,14z?hl=en","Maplink2")</f>
        <v>Maplink2</v>
      </c>
      <c r="AW2808" s="14" t="str">
        <f>HYPERLINK("http://www.bing.com/maps/?lvl=14&amp;sty=h&amp;cp=36.3504~43.1499&amp;sp=point.36.3504_43.1499_Hay Alnasr","Maplink3")</f>
        <v>Maplink3</v>
      </c>
    </row>
    <row r="2809" spans="1:49" ht="15" customHeight="1" x14ac:dyDescent="0.25">
      <c r="A2809" s="21">
        <v>27269</v>
      </c>
      <c r="B2809" s="22" t="s">
        <v>21</v>
      </c>
      <c r="C2809" s="22" t="s">
        <v>5305</v>
      </c>
      <c r="D2809" s="22" t="s">
        <v>5450</v>
      </c>
      <c r="E2809" s="22" t="s">
        <v>5451</v>
      </c>
      <c r="F2809" s="22">
        <v>36.374958999999997</v>
      </c>
      <c r="G2809" s="22">
        <v>43.189461000000001</v>
      </c>
      <c r="H2809" s="21" t="s">
        <v>5198</v>
      </c>
      <c r="I2809" s="21" t="s">
        <v>5308</v>
      </c>
      <c r="J2809" s="21"/>
      <c r="K2809" s="24">
        <v>22</v>
      </c>
      <c r="L2809" s="24">
        <v>132</v>
      </c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19</v>
      </c>
      <c r="Z2809" s="23"/>
      <c r="AA2809" s="23">
        <v>3</v>
      </c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/>
      <c r="AM2809" s="23">
        <v>16</v>
      </c>
      <c r="AN2809" s="23">
        <v>6</v>
      </c>
      <c r="AO2809" s="23"/>
      <c r="AP2809" s="23"/>
      <c r="AQ2809" s="23"/>
      <c r="AR2809" s="23"/>
      <c r="AS2809" s="23">
        <v>14</v>
      </c>
      <c r="AT2809" s="23">
        <v>8</v>
      </c>
      <c r="AU2809" s="14" t="str">
        <f>HYPERLINK("http://www.openstreetmap.org/?mlat=36.375&amp;mlon=43.1895&amp;zoom=12#map=12/36.375/43.1895","Maplink1")</f>
        <v>Maplink1</v>
      </c>
      <c r="AV2809" s="14" t="str">
        <f>HYPERLINK("https://www.google.iq/maps/search/+36.375,43.1895/@36.375,43.1895,14z?hl=en","Maplink2")</f>
        <v>Maplink2</v>
      </c>
      <c r="AW2809" s="14" t="str">
        <f>HYPERLINK("http://www.bing.com/maps/?lvl=14&amp;sty=h&amp;cp=36.375~43.1895&amp;sp=point.36.375_43.1895_Hay Alqadisya Alawla","Maplink3")</f>
        <v>Maplink3</v>
      </c>
    </row>
    <row r="2810" spans="1:49" ht="15" customHeight="1" x14ac:dyDescent="0.25">
      <c r="A2810" s="21">
        <v>18342</v>
      </c>
      <c r="B2810" s="22" t="s">
        <v>21</v>
      </c>
      <c r="C2810" s="22" t="s">
        <v>5305</v>
      </c>
      <c r="D2810" s="22" t="s">
        <v>5452</v>
      </c>
      <c r="E2810" s="22" t="s">
        <v>225</v>
      </c>
      <c r="F2810" s="22">
        <v>36.376466000000001</v>
      </c>
      <c r="G2810" s="22">
        <v>43.182335000000002</v>
      </c>
      <c r="H2810" s="21" t="s">
        <v>5198</v>
      </c>
      <c r="I2810" s="21" t="s">
        <v>5308</v>
      </c>
      <c r="J2810" s="21" t="s">
        <v>5453</v>
      </c>
      <c r="K2810" s="24">
        <v>23</v>
      </c>
      <c r="L2810" s="24">
        <v>138</v>
      </c>
      <c r="M2810" s="23">
        <v>15</v>
      </c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8</v>
      </c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>
        <v>23</v>
      </c>
      <c r="AN2810" s="23"/>
      <c r="AO2810" s="23"/>
      <c r="AP2810" s="23"/>
      <c r="AQ2810" s="23"/>
      <c r="AR2810" s="23"/>
      <c r="AS2810" s="23">
        <v>23</v>
      </c>
      <c r="AT2810" s="23"/>
      <c r="AU2810" s="14" t="str">
        <f>HYPERLINK("http://www.openstreetmap.org/?mlat=36.3765&amp;mlon=43.1823&amp;zoom=12#map=12/36.3765/43.1823","Maplink1")</f>
        <v>Maplink1</v>
      </c>
      <c r="AV2810" s="14" t="str">
        <f>HYPERLINK("https://www.google.iq/maps/search/+36.3765,43.1823/@36.3765,43.1823,14z?hl=en","Maplink2")</f>
        <v>Maplink2</v>
      </c>
      <c r="AW2810" s="14" t="str">
        <f>HYPERLINK("http://www.bing.com/maps/?lvl=14&amp;sty=h&amp;cp=36.3765~43.1823&amp;sp=point.36.3765_43.1823_Hay Alqadsya","Maplink3")</f>
        <v>Maplink3</v>
      </c>
    </row>
    <row r="2811" spans="1:49" ht="15" customHeight="1" x14ac:dyDescent="0.25">
      <c r="A2811" s="21">
        <v>18363</v>
      </c>
      <c r="B2811" s="22" t="s">
        <v>21</v>
      </c>
      <c r="C2811" s="22" t="s">
        <v>5305</v>
      </c>
      <c r="D2811" s="22" t="s">
        <v>5454</v>
      </c>
      <c r="E2811" s="22" t="s">
        <v>436</v>
      </c>
      <c r="F2811" s="22">
        <v>36.394953000000001</v>
      </c>
      <c r="G2811" s="22">
        <v>43.162391</v>
      </c>
      <c r="H2811" s="21" t="s">
        <v>5198</v>
      </c>
      <c r="I2811" s="21" t="s">
        <v>5308</v>
      </c>
      <c r="J2811" s="21" t="s">
        <v>5455</v>
      </c>
      <c r="K2811" s="24">
        <v>63</v>
      </c>
      <c r="L2811" s="24">
        <v>378</v>
      </c>
      <c r="M2811" s="23">
        <v>7</v>
      </c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41</v>
      </c>
      <c r="Z2811" s="23"/>
      <c r="AA2811" s="23">
        <v>15</v>
      </c>
      <c r="AB2811" s="23"/>
      <c r="AC2811" s="23"/>
      <c r="AD2811" s="23"/>
      <c r="AE2811" s="23"/>
      <c r="AF2811" s="23">
        <v>58</v>
      </c>
      <c r="AG2811" s="23"/>
      <c r="AH2811" s="23"/>
      <c r="AI2811" s="23"/>
      <c r="AJ2811" s="23"/>
      <c r="AK2811" s="23">
        <v>5</v>
      </c>
      <c r="AL2811" s="23"/>
      <c r="AM2811" s="23"/>
      <c r="AN2811" s="23"/>
      <c r="AO2811" s="23"/>
      <c r="AP2811" s="23"/>
      <c r="AQ2811" s="23"/>
      <c r="AR2811" s="23"/>
      <c r="AS2811" s="23"/>
      <c r="AT2811" s="23">
        <v>63</v>
      </c>
      <c r="AU2811" s="14" t="str">
        <f>HYPERLINK("http://www.openstreetmap.org/?mlat=36.395&amp;mlon=43.1624&amp;zoom=12#map=12/36.395/43.1624","Maplink1")</f>
        <v>Maplink1</v>
      </c>
      <c r="AV2811" s="14" t="str">
        <f>HYPERLINK("https://www.google.iq/maps/search/+36.395,43.1624/@36.395,43.1624,14z?hl=en","Maplink2")</f>
        <v>Maplink2</v>
      </c>
      <c r="AW2811" s="14" t="str">
        <f>HYPERLINK("http://www.bing.com/maps/?lvl=14&amp;sty=h&amp;cp=36.395~43.1624&amp;sp=point.36.395_43.1624_Al Angaa","Maplink3")</f>
        <v>Maplink3</v>
      </c>
    </row>
    <row r="2812" spans="1:49" ht="15" customHeight="1" x14ac:dyDescent="0.25">
      <c r="A2812" s="21">
        <v>24635</v>
      </c>
      <c r="B2812" s="22" t="s">
        <v>21</v>
      </c>
      <c r="C2812" s="22" t="s">
        <v>5305</v>
      </c>
      <c r="D2812" s="22" t="s">
        <v>5456</v>
      </c>
      <c r="E2812" s="22" t="s">
        <v>5457</v>
      </c>
      <c r="F2812" s="22">
        <v>36.338403</v>
      </c>
      <c r="G2812" s="22">
        <v>43.063661000000003</v>
      </c>
      <c r="H2812" s="21" t="s">
        <v>5198</v>
      </c>
      <c r="I2812" s="21" t="s">
        <v>5308</v>
      </c>
      <c r="J2812" s="21"/>
      <c r="K2812" s="24">
        <v>32</v>
      </c>
      <c r="L2812" s="24">
        <v>192</v>
      </c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22</v>
      </c>
      <c r="Z2812" s="23"/>
      <c r="AA2812" s="23">
        <v>10</v>
      </c>
      <c r="AB2812" s="23"/>
      <c r="AC2812" s="23"/>
      <c r="AD2812" s="23"/>
      <c r="AE2812" s="23"/>
      <c r="AF2812" s="23">
        <v>17</v>
      </c>
      <c r="AG2812" s="23"/>
      <c r="AH2812" s="23"/>
      <c r="AI2812" s="23"/>
      <c r="AJ2812" s="23"/>
      <c r="AK2812" s="23"/>
      <c r="AL2812" s="23"/>
      <c r="AM2812" s="23">
        <v>15</v>
      </c>
      <c r="AN2812" s="23"/>
      <c r="AO2812" s="23"/>
      <c r="AP2812" s="23"/>
      <c r="AQ2812" s="23"/>
      <c r="AR2812" s="23">
        <v>15</v>
      </c>
      <c r="AS2812" s="23">
        <v>10</v>
      </c>
      <c r="AT2812" s="23">
        <v>7</v>
      </c>
      <c r="AU2812" s="14" t="str">
        <f>HYPERLINK("http://www.openstreetmap.org/?mlat=36.3384&amp;mlon=43.0637&amp;zoom=12#map=12/36.3384/43.0637","Maplink1")</f>
        <v>Maplink1</v>
      </c>
      <c r="AV2812" s="14" t="str">
        <f>HYPERLINK("https://www.google.iq/maps/search/+36.3384,43.0637/@36.3384,43.0637,14z?hl=en","Maplink2")</f>
        <v>Maplink2</v>
      </c>
      <c r="AW2812" s="14" t="str">
        <f>HYPERLINK("http://www.bing.com/maps/?lvl=14&amp;sty=h&amp;cp=36.3384~43.0637&amp;sp=point.36.3384_43.0637_Hay Nablus","Maplink3")</f>
        <v>Maplink3</v>
      </c>
    </row>
    <row r="2813" spans="1:49" ht="15" customHeight="1" x14ac:dyDescent="0.25">
      <c r="A2813" s="21">
        <v>21336</v>
      </c>
      <c r="B2813" s="22" t="s">
        <v>21</v>
      </c>
      <c r="C2813" s="22" t="s">
        <v>5305</v>
      </c>
      <c r="D2813" s="22" t="s">
        <v>5458</v>
      </c>
      <c r="E2813" s="22" t="s">
        <v>5459</v>
      </c>
      <c r="F2813" s="22">
        <v>36.299999999999997</v>
      </c>
      <c r="G2813" s="22">
        <v>43.198999999999998</v>
      </c>
      <c r="H2813" s="21" t="s">
        <v>5198</v>
      </c>
      <c r="I2813" s="21" t="s">
        <v>5308</v>
      </c>
      <c r="J2813" s="21" t="s">
        <v>5460</v>
      </c>
      <c r="K2813" s="24">
        <v>409</v>
      </c>
      <c r="L2813" s="24">
        <v>2454</v>
      </c>
      <c r="M2813" s="23">
        <v>62</v>
      </c>
      <c r="N2813" s="23"/>
      <c r="O2813" s="23"/>
      <c r="P2813" s="23"/>
      <c r="Q2813" s="23"/>
      <c r="R2813" s="23"/>
      <c r="S2813" s="23"/>
      <c r="T2813" s="23"/>
      <c r="U2813" s="23">
        <v>18</v>
      </c>
      <c r="V2813" s="23"/>
      <c r="W2813" s="23"/>
      <c r="X2813" s="23"/>
      <c r="Y2813" s="23">
        <v>320</v>
      </c>
      <c r="Z2813" s="23"/>
      <c r="AA2813" s="23">
        <v>9</v>
      </c>
      <c r="AB2813" s="23"/>
      <c r="AC2813" s="23"/>
      <c r="AD2813" s="23"/>
      <c r="AE2813" s="23"/>
      <c r="AF2813" s="23">
        <v>48</v>
      </c>
      <c r="AG2813" s="23"/>
      <c r="AH2813" s="23"/>
      <c r="AI2813" s="23"/>
      <c r="AJ2813" s="23"/>
      <c r="AK2813" s="23">
        <v>342</v>
      </c>
      <c r="AL2813" s="23"/>
      <c r="AM2813" s="23">
        <v>19</v>
      </c>
      <c r="AN2813" s="23"/>
      <c r="AO2813" s="23">
        <v>62</v>
      </c>
      <c r="AP2813" s="23"/>
      <c r="AQ2813" s="23"/>
      <c r="AR2813" s="23">
        <v>85</v>
      </c>
      <c r="AS2813" s="23">
        <v>147</v>
      </c>
      <c r="AT2813" s="23">
        <v>115</v>
      </c>
      <c r="AU2813" s="14" t="str">
        <f>HYPERLINK("http://www.openstreetmap.org/?mlat=36.3&amp;mlon=43.199&amp;zoom=12#map=12/36.3/43.199","Maplink1")</f>
        <v>Maplink1</v>
      </c>
      <c r="AV2813" s="14" t="str">
        <f>HYPERLINK("https://www.google.iq/maps/search/+36.3,43.199/@36.3,43.199,14z?hl=en","Maplink2")</f>
        <v>Maplink2</v>
      </c>
      <c r="AW2813" s="14" t="str">
        <f>HYPERLINK("http://www.bing.com/maps/?lvl=14&amp;sty=h&amp;cp=36.3~43.199&amp;sp=point.36.3_43.199_HAY- SUMMER","Maplink3")</f>
        <v>Maplink3</v>
      </c>
    </row>
    <row r="2814" spans="1:49" ht="15" customHeight="1" x14ac:dyDescent="0.25">
      <c r="A2814" s="21">
        <v>21332</v>
      </c>
      <c r="B2814" s="22" t="s">
        <v>21</v>
      </c>
      <c r="C2814" s="22" t="s">
        <v>5305</v>
      </c>
      <c r="D2814" s="22" t="s">
        <v>5461</v>
      </c>
      <c r="E2814" s="22" t="s">
        <v>5462</v>
      </c>
      <c r="F2814" s="22">
        <v>36.18</v>
      </c>
      <c r="G2814" s="22">
        <v>43.11</v>
      </c>
      <c r="H2814" s="21" t="s">
        <v>5198</v>
      </c>
      <c r="I2814" s="21" t="s">
        <v>5308</v>
      </c>
      <c r="J2814" s="21" t="s">
        <v>5463</v>
      </c>
      <c r="K2814" s="24">
        <v>101</v>
      </c>
      <c r="L2814" s="24">
        <v>606</v>
      </c>
      <c r="M2814" s="23">
        <v>33</v>
      </c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68</v>
      </c>
      <c r="Z2814" s="23"/>
      <c r="AA2814" s="23"/>
      <c r="AB2814" s="23"/>
      <c r="AC2814" s="23"/>
      <c r="AD2814" s="23"/>
      <c r="AE2814" s="23"/>
      <c r="AF2814" s="23">
        <v>15</v>
      </c>
      <c r="AG2814" s="23"/>
      <c r="AH2814" s="23"/>
      <c r="AI2814" s="23"/>
      <c r="AJ2814" s="23"/>
      <c r="AK2814" s="23">
        <v>86</v>
      </c>
      <c r="AL2814" s="23"/>
      <c r="AM2814" s="23"/>
      <c r="AN2814" s="23"/>
      <c r="AO2814" s="23">
        <v>33</v>
      </c>
      <c r="AP2814" s="23"/>
      <c r="AQ2814" s="23"/>
      <c r="AR2814" s="23">
        <v>29</v>
      </c>
      <c r="AS2814" s="23">
        <v>39</v>
      </c>
      <c r="AT2814" s="23"/>
      <c r="AU2814" s="14" t="str">
        <f>HYPERLINK("http://www.openstreetmap.org/?mlat=36.18&amp;mlon=43.11&amp;zoom=12#map=12/36.18/43.11","Maplink1")</f>
        <v>Maplink1</v>
      </c>
      <c r="AV2814" s="14" t="str">
        <f>HYPERLINK("https://www.google.iq/maps/search/+36.18,43.11/@36.18,43.11,14z?hl=en","Maplink2")</f>
        <v>Maplink2</v>
      </c>
      <c r="AW2814" s="14" t="str">
        <f>HYPERLINK("http://www.bing.com/maps/?lvl=14&amp;sty=h&amp;cp=36.18~43.11&amp;sp=point.36.18_43.11_HAY-FALISTINE","Maplink3")</f>
        <v>Maplink3</v>
      </c>
    </row>
    <row r="2815" spans="1:49" ht="15" customHeight="1" x14ac:dyDescent="0.25">
      <c r="A2815" s="21">
        <v>28436</v>
      </c>
      <c r="B2815" s="22" t="s">
        <v>21</v>
      </c>
      <c r="C2815" s="22" t="s">
        <v>5305</v>
      </c>
      <c r="D2815" s="22" t="s">
        <v>5464</v>
      </c>
      <c r="E2815" s="22" t="s">
        <v>5465</v>
      </c>
      <c r="F2815" s="22">
        <v>36.419781</v>
      </c>
      <c r="G2815" s="22">
        <v>43.466994</v>
      </c>
      <c r="H2815" s="21" t="s">
        <v>5198</v>
      </c>
      <c r="I2815" s="21" t="s">
        <v>5308</v>
      </c>
      <c r="J2815" s="21"/>
      <c r="K2815" s="24">
        <v>20</v>
      </c>
      <c r="L2815" s="24">
        <v>120</v>
      </c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20</v>
      </c>
      <c r="Z2815" s="23"/>
      <c r="AA2815" s="23"/>
      <c r="AB2815" s="23"/>
      <c r="AC2815" s="23"/>
      <c r="AD2815" s="23"/>
      <c r="AE2815" s="23"/>
      <c r="AF2815" s="23">
        <v>20</v>
      </c>
      <c r="AG2815" s="23"/>
      <c r="AH2815" s="23"/>
      <c r="AI2815" s="23"/>
      <c r="AJ2815" s="23"/>
      <c r="AK2815" s="23"/>
      <c r="AL2815" s="23"/>
      <c r="AM2815" s="23"/>
      <c r="AN2815" s="23"/>
      <c r="AO2815" s="23"/>
      <c r="AP2815" s="23">
        <v>20</v>
      </c>
      <c r="AQ2815" s="23"/>
      <c r="AR2815" s="23"/>
      <c r="AS2815" s="23"/>
      <c r="AT2815" s="23"/>
      <c r="AU2815" s="14" t="str">
        <f>HYPERLINK("http://www.openstreetmap.org/?mlat=36.4198&amp;mlon=43.467&amp;zoom=12#map=12/36.4198/43.467","Maplink1")</f>
        <v>Maplink1</v>
      </c>
      <c r="AV2815" s="14" t="str">
        <f>HYPERLINK("https://www.google.iq/maps/search/+36.4198,43.467/@36.4198,43.467,14z?hl=en","Maplink2")</f>
        <v>Maplink2</v>
      </c>
      <c r="AW2815" s="14" t="str">
        <f>HYPERLINK("http://www.bing.com/maps/?lvl=14&amp;sty=h&amp;cp=36.4198~43.467&amp;sp=point.36.4198_43.467_Al Angaa","Maplink3")</f>
        <v>Maplink3</v>
      </c>
    </row>
    <row r="2816" spans="1:49" ht="15" customHeight="1" x14ac:dyDescent="0.25">
      <c r="A2816" s="21">
        <v>17990</v>
      </c>
      <c r="B2816" s="22" t="s">
        <v>21</v>
      </c>
      <c r="C2816" s="22" t="s">
        <v>5305</v>
      </c>
      <c r="D2816" s="22" t="s">
        <v>5305</v>
      </c>
      <c r="E2816" s="22" t="s">
        <v>5466</v>
      </c>
      <c r="F2816" s="22">
        <v>36.340054000000002</v>
      </c>
      <c r="G2816" s="22">
        <v>43.130054999999999</v>
      </c>
      <c r="H2816" s="21" t="s">
        <v>5198</v>
      </c>
      <c r="I2816" s="21" t="s">
        <v>5308</v>
      </c>
      <c r="J2816" s="21" t="s">
        <v>5467</v>
      </c>
      <c r="K2816" s="24">
        <v>778</v>
      </c>
      <c r="L2816" s="24">
        <v>4668</v>
      </c>
      <c r="M2816" s="23">
        <v>133</v>
      </c>
      <c r="N2816" s="23"/>
      <c r="O2816" s="23"/>
      <c r="P2816" s="23"/>
      <c r="Q2816" s="23"/>
      <c r="R2816" s="23"/>
      <c r="S2816" s="23"/>
      <c r="T2816" s="23"/>
      <c r="U2816" s="23">
        <v>70</v>
      </c>
      <c r="V2816" s="23"/>
      <c r="W2816" s="23"/>
      <c r="X2816" s="23"/>
      <c r="Y2816" s="23">
        <v>565</v>
      </c>
      <c r="Z2816" s="23"/>
      <c r="AA2816" s="23">
        <v>10</v>
      </c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>
        <v>778</v>
      </c>
      <c r="AO2816" s="23"/>
      <c r="AP2816" s="23"/>
      <c r="AQ2816" s="23"/>
      <c r="AR2816" s="23"/>
      <c r="AS2816" s="23">
        <v>778</v>
      </c>
      <c r="AT2816" s="23"/>
      <c r="AU2816" s="14" t="str">
        <f>HYPERLINK("http://www.openstreetmap.org/?mlat=36.3401&amp;mlon=43.1301&amp;zoom=12#map=12/36.3401/43.1301","Maplink1")</f>
        <v>Maplink1</v>
      </c>
      <c r="AV2816" s="14" t="str">
        <f>HYPERLINK("https://www.google.iq/maps/search/+36.3401,43.1301/@36.3401,43.1301,14z?hl=en","Maplink2")</f>
        <v>Maplink2</v>
      </c>
      <c r="AW2816" s="14" t="str">
        <f>HYPERLINK("http://www.bing.com/maps/?lvl=14&amp;sty=h&amp;cp=36.3401~43.1301&amp;sp=point.36.3401_43.1301_Mosul","Maplink3")</f>
        <v>Maplink3</v>
      </c>
    </row>
    <row r="2817" spans="1:49" ht="15" customHeight="1" x14ac:dyDescent="0.25">
      <c r="A2817" s="21">
        <v>17471</v>
      </c>
      <c r="B2817" s="22" t="s">
        <v>21</v>
      </c>
      <c r="C2817" s="22" t="s">
        <v>5305</v>
      </c>
      <c r="D2817" s="22" t="s">
        <v>5468</v>
      </c>
      <c r="E2817" s="22" t="s">
        <v>5469</v>
      </c>
      <c r="F2817" s="22">
        <v>36.332751999999999</v>
      </c>
      <c r="G2817" s="22">
        <v>43.107658000000001</v>
      </c>
      <c r="H2817" s="21" t="s">
        <v>5198</v>
      </c>
      <c r="I2817" s="21" t="s">
        <v>5308</v>
      </c>
      <c r="J2817" s="21" t="s">
        <v>5470</v>
      </c>
      <c r="K2817" s="24">
        <v>100</v>
      </c>
      <c r="L2817" s="24">
        <v>600</v>
      </c>
      <c r="M2817" s="23">
        <v>18</v>
      </c>
      <c r="N2817" s="23"/>
      <c r="O2817" s="23"/>
      <c r="P2817" s="23"/>
      <c r="Q2817" s="23"/>
      <c r="R2817" s="23"/>
      <c r="S2817" s="23"/>
      <c r="T2817" s="23"/>
      <c r="U2817" s="23">
        <v>9</v>
      </c>
      <c r="V2817" s="23"/>
      <c r="W2817" s="23"/>
      <c r="X2817" s="23"/>
      <c r="Y2817" s="23">
        <v>73</v>
      </c>
      <c r="Z2817" s="23"/>
      <c r="AA2817" s="23"/>
      <c r="AB2817" s="23"/>
      <c r="AC2817" s="23"/>
      <c r="AD2817" s="23"/>
      <c r="AE2817" s="23"/>
      <c r="AF2817" s="23">
        <v>30</v>
      </c>
      <c r="AG2817" s="23"/>
      <c r="AH2817" s="23"/>
      <c r="AI2817" s="23"/>
      <c r="AJ2817" s="23"/>
      <c r="AK2817" s="23">
        <v>61</v>
      </c>
      <c r="AL2817" s="23">
        <v>5</v>
      </c>
      <c r="AM2817" s="23">
        <v>4</v>
      </c>
      <c r="AN2817" s="23"/>
      <c r="AO2817" s="23">
        <v>5</v>
      </c>
      <c r="AP2817" s="23"/>
      <c r="AQ2817" s="23"/>
      <c r="AR2817" s="23">
        <v>23</v>
      </c>
      <c r="AS2817" s="23">
        <v>57</v>
      </c>
      <c r="AT2817" s="23">
        <v>15</v>
      </c>
      <c r="AU2817" s="14" t="str">
        <f>HYPERLINK("http://www.openstreetmap.org/?mlat=36.3328&amp;mlon=43.1077&amp;zoom=12#map=12/36.3328/43.1077","Maplink1")</f>
        <v>Maplink1</v>
      </c>
      <c r="AV2817" s="14" t="str">
        <f>HYPERLINK("https://www.google.iq/maps/search/+36.3328,43.1077/@36.3328,43.1077,14z?hl=en","Maplink2")</f>
        <v>Maplink2</v>
      </c>
      <c r="AW2817" s="14" t="str">
        <f>HYPERLINK("http://www.bing.com/maps/?lvl=14&amp;sty=h&amp;cp=36.3328~43.1077&amp;sp=point.36.3328_43.1077_Mosul Jadida","Maplink3")</f>
        <v>Maplink3</v>
      </c>
    </row>
    <row r="2818" spans="1:49" ht="15" customHeight="1" x14ac:dyDescent="0.25">
      <c r="A2818" s="21">
        <v>22450</v>
      </c>
      <c r="B2818" s="22" t="s">
        <v>21</v>
      </c>
      <c r="C2818" s="22" t="s">
        <v>5305</v>
      </c>
      <c r="D2818" s="22" t="s">
        <v>5471</v>
      </c>
      <c r="E2818" s="22" t="s">
        <v>5472</v>
      </c>
      <c r="F2818" s="22">
        <v>36.265329999999999</v>
      </c>
      <c r="G2818" s="22">
        <v>42.703983000000001</v>
      </c>
      <c r="H2818" s="21" t="s">
        <v>5198</v>
      </c>
      <c r="I2818" s="21" t="s">
        <v>5308</v>
      </c>
      <c r="J2818" s="21" t="s">
        <v>5473</v>
      </c>
      <c r="K2818" s="24">
        <v>210</v>
      </c>
      <c r="L2818" s="24">
        <v>1260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210</v>
      </c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/>
      <c r="AN2818" s="23">
        <v>210</v>
      </c>
      <c r="AO2818" s="23"/>
      <c r="AP2818" s="23"/>
      <c r="AQ2818" s="23"/>
      <c r="AR2818" s="23"/>
      <c r="AS2818" s="23">
        <v>210</v>
      </c>
      <c r="AT2818" s="23"/>
      <c r="AU2818" s="14" t="str">
        <f>HYPERLINK("http://www.openstreetmap.org/?mlat=36.2653&amp;mlon=42.704&amp;zoom=12#map=12/36.2653/42.704","Maplink1")</f>
        <v>Maplink1</v>
      </c>
      <c r="AV2818" s="14" t="str">
        <f>HYPERLINK("https://www.google.iq/maps/search/+36.2653,42.704/@36.2653,42.704,14z?hl=en","Maplink2")</f>
        <v>Maplink2</v>
      </c>
      <c r="AW2818" s="14" t="str">
        <f>HYPERLINK("http://www.bing.com/maps/?lvl=14&amp;sty=h&amp;cp=36.2653~42.704&amp;sp=point.36.2653_42.704_Muhalabya center","Maplink3")</f>
        <v>Maplink3</v>
      </c>
    </row>
    <row r="2819" spans="1:49" ht="15" customHeight="1" x14ac:dyDescent="0.25">
      <c r="A2819" s="21">
        <v>17414</v>
      </c>
      <c r="B2819" s="22" t="s">
        <v>21</v>
      </c>
      <c r="C2819" s="22" t="s">
        <v>5305</v>
      </c>
      <c r="D2819" s="22" t="s">
        <v>5474</v>
      </c>
      <c r="E2819" s="22" t="s">
        <v>5475</v>
      </c>
      <c r="F2819" s="22">
        <v>36.32</v>
      </c>
      <c r="G2819" s="22">
        <v>42.83</v>
      </c>
      <c r="H2819" s="21" t="s">
        <v>5198</v>
      </c>
      <c r="I2819" s="21" t="s">
        <v>5308</v>
      </c>
      <c r="J2819" s="21" t="s">
        <v>5476</v>
      </c>
      <c r="K2819" s="24">
        <v>11</v>
      </c>
      <c r="L2819" s="24">
        <v>66</v>
      </c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11</v>
      </c>
      <c r="Z2819" s="23"/>
      <c r="AA2819" s="23"/>
      <c r="AB2819" s="23"/>
      <c r="AC2819" s="23"/>
      <c r="AD2819" s="23"/>
      <c r="AE2819" s="23"/>
      <c r="AF2819" s="23">
        <v>11</v>
      </c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/>
      <c r="AR2819" s="23">
        <v>11</v>
      </c>
      <c r="AS2819" s="23"/>
      <c r="AT2819" s="23"/>
      <c r="AU2819" s="14" t="str">
        <f>HYPERLINK("http://www.openstreetmap.org/?mlat=36.32&amp;mlon=42.83&amp;zoom=12#map=12/36.32/42.83","Maplink1")</f>
        <v>Maplink1</v>
      </c>
      <c r="AV2819" s="14" t="str">
        <f>HYPERLINK("https://www.google.iq/maps/search/+36.32,42.83/@36.32,42.83,14z?hl=en","Maplink2")</f>
        <v>Maplink2</v>
      </c>
      <c r="AW2819" s="14" t="str">
        <f>HYPERLINK("http://www.bing.com/maps/?lvl=14&amp;sty=h&amp;cp=36.32~42.83&amp;sp=point.36.32_42.83_Muwali","Maplink3")</f>
        <v>Maplink3</v>
      </c>
    </row>
    <row r="2820" spans="1:49" ht="15" customHeight="1" x14ac:dyDescent="0.25">
      <c r="A2820" s="21">
        <v>18332</v>
      </c>
      <c r="B2820" s="22" t="s">
        <v>21</v>
      </c>
      <c r="C2820" s="22" t="s">
        <v>5305</v>
      </c>
      <c r="D2820" s="22" t="s">
        <v>5477</v>
      </c>
      <c r="E2820" s="22" t="s">
        <v>5478</v>
      </c>
      <c r="F2820" s="22">
        <v>36.346417000000002</v>
      </c>
      <c r="G2820" s="22">
        <v>43.164434</v>
      </c>
      <c r="H2820" s="21" t="s">
        <v>5198</v>
      </c>
      <c r="I2820" s="21" t="s">
        <v>5308</v>
      </c>
      <c r="J2820" s="21" t="s">
        <v>5479</v>
      </c>
      <c r="K2820" s="24">
        <v>45</v>
      </c>
      <c r="L2820" s="24">
        <v>270</v>
      </c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45</v>
      </c>
      <c r="Z2820" s="23"/>
      <c r="AA2820" s="23"/>
      <c r="AB2820" s="23"/>
      <c r="AC2820" s="23"/>
      <c r="AD2820" s="23"/>
      <c r="AE2820" s="23"/>
      <c r="AF2820" s="23">
        <v>15</v>
      </c>
      <c r="AG2820" s="23"/>
      <c r="AH2820" s="23"/>
      <c r="AI2820" s="23"/>
      <c r="AJ2820" s="23"/>
      <c r="AK2820" s="23">
        <v>30</v>
      </c>
      <c r="AL2820" s="23"/>
      <c r="AM2820" s="23"/>
      <c r="AN2820" s="23"/>
      <c r="AO2820" s="23"/>
      <c r="AP2820" s="23"/>
      <c r="AQ2820" s="23"/>
      <c r="AR2820" s="23"/>
      <c r="AS2820" s="23">
        <v>45</v>
      </c>
      <c r="AT2820" s="23"/>
      <c r="AU2820" s="14" t="str">
        <f>HYPERLINK("http://www.openstreetmap.org/?mlat=36.3464&amp;mlon=43.1644&amp;zoom=12#map=12/36.3464/43.1644","Maplink1")</f>
        <v>Maplink1</v>
      </c>
      <c r="AV2820" s="14" t="str">
        <f>HYPERLINK("https://www.google.iq/maps/search/+36.3464,43.1644/@36.3464,43.1644,14z?hl=en","Maplink2")</f>
        <v>Maplink2</v>
      </c>
      <c r="AW2820" s="14" t="str">
        <f>HYPERLINK("http://www.bing.com/maps/?lvl=14&amp;sty=h&amp;cp=36.3464~43.1644&amp;sp=point.36.3464_43.1644_Nabi Younis","Maplink3")</f>
        <v>Maplink3</v>
      </c>
    </row>
    <row r="2821" spans="1:49" ht="15" customHeight="1" x14ac:dyDescent="0.25">
      <c r="A2821" s="21">
        <v>17416</v>
      </c>
      <c r="B2821" s="22" t="s">
        <v>21</v>
      </c>
      <c r="C2821" s="22" t="s">
        <v>5305</v>
      </c>
      <c r="D2821" s="22" t="s">
        <v>5480</v>
      </c>
      <c r="E2821" s="22" t="s">
        <v>5481</v>
      </c>
      <c r="F2821" s="22">
        <v>36.326644999999999</v>
      </c>
      <c r="G2821" s="22">
        <v>43.073414</v>
      </c>
      <c r="H2821" s="21" t="s">
        <v>5198</v>
      </c>
      <c r="I2821" s="21" t="s">
        <v>5308</v>
      </c>
      <c r="J2821" s="21" t="s">
        <v>5482</v>
      </c>
      <c r="K2821" s="24">
        <v>250</v>
      </c>
      <c r="L2821" s="24">
        <v>1500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250</v>
      </c>
      <c r="Z2821" s="23"/>
      <c r="AA2821" s="23"/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  <c r="AL2821" s="23"/>
      <c r="AM2821" s="23"/>
      <c r="AN2821" s="23">
        <v>250</v>
      </c>
      <c r="AO2821" s="23"/>
      <c r="AP2821" s="23"/>
      <c r="AQ2821" s="23"/>
      <c r="AR2821" s="23"/>
      <c r="AS2821" s="23">
        <v>250</v>
      </c>
      <c r="AT2821" s="23"/>
      <c r="AU2821" s="14" t="str">
        <f>HYPERLINK("http://www.openstreetmap.org/?mlat=36.3266&amp;mlon=43.0734&amp;zoom=12#map=12/36.3266/43.0734","Maplink1")</f>
        <v>Maplink1</v>
      </c>
      <c r="AV2821" s="14" t="str">
        <f>HYPERLINK("https://www.google.iq/maps/search/+36.3266,43.0734/@36.3266,43.0734,14z?hl=en","Maplink2")</f>
        <v>Maplink2</v>
      </c>
      <c r="AW2821" s="14" t="str">
        <f>HYPERLINK("http://www.bing.com/maps/?lvl=14&amp;sty=h&amp;cp=36.3266~43.0734&amp;sp=point.36.3266_43.0734_Rajim hadeed ","Maplink3")</f>
        <v>Maplink3</v>
      </c>
    </row>
    <row r="2822" spans="1:49" ht="15" customHeight="1" x14ac:dyDescent="0.25">
      <c r="A2822" s="21">
        <v>17411</v>
      </c>
      <c r="B2822" s="22" t="s">
        <v>21</v>
      </c>
      <c r="C2822" s="22" t="s">
        <v>5305</v>
      </c>
      <c r="D2822" s="22" t="s">
        <v>5483</v>
      </c>
      <c r="E2822" s="22" t="s">
        <v>5484</v>
      </c>
      <c r="F2822" s="22">
        <v>36.380000000000003</v>
      </c>
      <c r="G2822" s="22">
        <v>42.89</v>
      </c>
      <c r="H2822" s="21" t="s">
        <v>5198</v>
      </c>
      <c r="I2822" s="21" t="s">
        <v>5308</v>
      </c>
      <c r="J2822" s="21" t="s">
        <v>5485</v>
      </c>
      <c r="K2822" s="24">
        <v>15</v>
      </c>
      <c r="L2822" s="24">
        <v>90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15</v>
      </c>
      <c r="Z2822" s="23"/>
      <c r="AA2822" s="23"/>
      <c r="AB2822" s="23"/>
      <c r="AC2822" s="23"/>
      <c r="AD2822" s="23"/>
      <c r="AE2822" s="23"/>
      <c r="AF2822" s="23">
        <v>5</v>
      </c>
      <c r="AG2822" s="23"/>
      <c r="AH2822" s="23"/>
      <c r="AI2822" s="23"/>
      <c r="AJ2822" s="23"/>
      <c r="AK2822" s="23"/>
      <c r="AL2822" s="23"/>
      <c r="AM2822" s="23">
        <v>10</v>
      </c>
      <c r="AN2822" s="23"/>
      <c r="AO2822" s="23"/>
      <c r="AP2822" s="23"/>
      <c r="AQ2822" s="23"/>
      <c r="AR2822" s="23">
        <v>15</v>
      </c>
      <c r="AS2822" s="23"/>
      <c r="AT2822" s="23"/>
      <c r="AU2822" s="14" t="str">
        <f>HYPERLINK("http://www.openstreetmap.org/?mlat=36.38&amp;mlon=42.89&amp;zoom=12#map=12/36.38/42.89","Maplink1")</f>
        <v>Maplink1</v>
      </c>
      <c r="AV2822" s="14" t="str">
        <f>HYPERLINK("https://www.google.iq/maps/search/+36.38,42.89/@36.38,42.89,14z?hl=en","Maplink2")</f>
        <v>Maplink2</v>
      </c>
      <c r="AW2822" s="14" t="str">
        <f>HYPERLINK("http://www.bing.com/maps/?lvl=14&amp;sty=h&amp;cp=36.38~42.89&amp;sp=point.36.38_42.89_Rihaniya","Maplink3")</f>
        <v>Maplink3</v>
      </c>
    </row>
    <row r="2823" spans="1:49" ht="15" customHeight="1" x14ac:dyDescent="0.25">
      <c r="A2823" s="21">
        <v>17410</v>
      </c>
      <c r="B2823" s="22" t="s">
        <v>21</v>
      </c>
      <c r="C2823" s="22" t="s">
        <v>5305</v>
      </c>
      <c r="D2823" s="22" t="s">
        <v>5486</v>
      </c>
      <c r="E2823" s="22" t="s">
        <v>5487</v>
      </c>
      <c r="F2823" s="22">
        <v>36.28</v>
      </c>
      <c r="G2823" s="22">
        <v>42.94</v>
      </c>
      <c r="H2823" s="21" t="s">
        <v>5198</v>
      </c>
      <c r="I2823" s="21" t="s">
        <v>5308</v>
      </c>
      <c r="J2823" s="21" t="s">
        <v>5488</v>
      </c>
      <c r="K2823" s="24">
        <v>50</v>
      </c>
      <c r="L2823" s="24">
        <v>300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50</v>
      </c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  <c r="AL2823" s="23"/>
      <c r="AM2823" s="23">
        <v>15</v>
      </c>
      <c r="AN2823" s="23">
        <v>35</v>
      </c>
      <c r="AO2823" s="23"/>
      <c r="AP2823" s="23"/>
      <c r="AQ2823" s="23"/>
      <c r="AR2823" s="23">
        <v>15</v>
      </c>
      <c r="AS2823" s="23">
        <v>15</v>
      </c>
      <c r="AT2823" s="23">
        <v>20</v>
      </c>
      <c r="AU2823" s="14" t="str">
        <f>HYPERLINK("http://www.openstreetmap.org/?mlat=36.28&amp;mlon=42.94&amp;zoom=12#map=12/36.28/42.94","Maplink1")</f>
        <v>Maplink1</v>
      </c>
      <c r="AV2823" s="14" t="str">
        <f>HYPERLINK("https://www.google.iq/maps/search/+36.28,42.94/@36.28,42.94,14z?hl=en","Maplink2")</f>
        <v>Maplink2</v>
      </c>
      <c r="AW2823" s="14" t="str">
        <f>HYPERLINK("http://www.bing.com/maps/?lvl=14&amp;sty=h&amp;cp=36.28~42.94&amp;sp=point.36.28_42.94_Sahaji","Maplink3")</f>
        <v>Maplink3</v>
      </c>
    </row>
    <row r="2824" spans="1:49" ht="15" customHeight="1" x14ac:dyDescent="0.25">
      <c r="A2824" s="21">
        <v>27302</v>
      </c>
      <c r="B2824" s="22" t="s">
        <v>21</v>
      </c>
      <c r="C2824" s="22" t="s">
        <v>5305</v>
      </c>
      <c r="D2824" s="22" t="s">
        <v>5489</v>
      </c>
      <c r="E2824" s="22" t="s">
        <v>5490</v>
      </c>
      <c r="F2824" s="22">
        <v>36.154043999999999</v>
      </c>
      <c r="G2824" s="22">
        <v>43.093941000000001</v>
      </c>
      <c r="H2824" s="21"/>
      <c r="I2824" s="21"/>
      <c r="J2824" s="21"/>
      <c r="K2824" s="24">
        <v>40</v>
      </c>
      <c r="L2824" s="24">
        <v>240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22</v>
      </c>
      <c r="Z2824" s="23"/>
      <c r="AA2824" s="23">
        <v>18</v>
      </c>
      <c r="AB2824" s="23"/>
      <c r="AC2824" s="23"/>
      <c r="AD2824" s="23"/>
      <c r="AE2824" s="23"/>
      <c r="AF2824" s="23">
        <v>7</v>
      </c>
      <c r="AG2824" s="23"/>
      <c r="AH2824" s="23"/>
      <c r="AI2824" s="23"/>
      <c r="AJ2824" s="23"/>
      <c r="AK2824" s="23"/>
      <c r="AL2824" s="23"/>
      <c r="AM2824" s="23"/>
      <c r="AN2824" s="23">
        <v>33</v>
      </c>
      <c r="AO2824" s="23"/>
      <c r="AP2824" s="23"/>
      <c r="AQ2824" s="23"/>
      <c r="AR2824" s="23"/>
      <c r="AS2824" s="23">
        <v>18</v>
      </c>
      <c r="AT2824" s="23">
        <v>22</v>
      </c>
      <c r="AU2824" s="14" t="str">
        <f>HYPERLINK("http://www.openstreetmap.org/?mlat=36.154&amp;mlon=43.0939&amp;zoom=12#map=12/36.154/43.0939","Maplink1")</f>
        <v>Maplink1</v>
      </c>
      <c r="AV2824" s="14" t="str">
        <f>HYPERLINK("https://www.google.iq/maps/search/+36.154,43.0939/@36.154,43.0939,14z?hl=en","Maplink2")</f>
        <v>Maplink2</v>
      </c>
      <c r="AW2824" s="14" t="str">
        <f>HYPERLINK("http://www.bing.com/maps/?lvl=14&amp;sty=h&amp;cp=36.154~43.0939&amp;sp=point.36.154_43.0939_Sananik","Maplink3")</f>
        <v>Maplink3</v>
      </c>
    </row>
    <row r="2825" spans="1:49" ht="15" customHeight="1" x14ac:dyDescent="0.25">
      <c r="A2825" s="21">
        <v>27381</v>
      </c>
      <c r="B2825" s="22" t="s">
        <v>21</v>
      </c>
      <c r="C2825" s="22" t="s">
        <v>5305</v>
      </c>
      <c r="D2825" s="22" t="s">
        <v>8995</v>
      </c>
      <c r="E2825" s="22" t="s">
        <v>5491</v>
      </c>
      <c r="F2825" s="22">
        <v>36.402771000000001</v>
      </c>
      <c r="G2825" s="22">
        <v>43.073461000000002</v>
      </c>
      <c r="H2825" s="21" t="s">
        <v>5198</v>
      </c>
      <c r="I2825" s="21" t="s">
        <v>5308</v>
      </c>
      <c r="J2825" s="21"/>
      <c r="K2825" s="24">
        <v>84</v>
      </c>
      <c r="L2825" s="24">
        <v>504</v>
      </c>
      <c r="M2825" s="23"/>
      <c r="N2825" s="23">
        <v>5</v>
      </c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>
        <v>79</v>
      </c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>
        <v>42</v>
      </c>
      <c r="AL2825" s="23"/>
      <c r="AM2825" s="23">
        <v>42</v>
      </c>
      <c r="AN2825" s="23"/>
      <c r="AO2825" s="23"/>
      <c r="AP2825" s="23"/>
      <c r="AQ2825" s="23"/>
      <c r="AR2825" s="23"/>
      <c r="AS2825" s="23">
        <v>79</v>
      </c>
      <c r="AT2825" s="23">
        <v>5</v>
      </c>
      <c r="AU2825" s="14" t="str">
        <f>HYPERLINK("http://www.openstreetmap.org/?mlat=36.4028&amp;mlon=43.0735&amp;zoom=12#map=12/36.4028/43.0735","Maplink1")</f>
        <v>Maplink1</v>
      </c>
      <c r="AV2825" s="14" t="str">
        <f>HYPERLINK("https://www.google.iq/maps/search/+36.4028,43.0735/@36.4028,43.0735,14z?hl=en","Maplink2")</f>
        <v>Maplink2</v>
      </c>
      <c r="AW2825" s="14" t="str">
        <f>HYPERLINK("http://www.bing.com/maps/?lvl=14&amp;sty=h&amp;cp=36.4028~43.0735&amp;sp=point.36.4028_43.0735_Sherekhan","Maplink3")</f>
        <v>Maplink3</v>
      </c>
    </row>
    <row r="2826" spans="1:49" ht="15" customHeight="1" x14ac:dyDescent="0.25">
      <c r="A2826" s="21">
        <v>17922</v>
      </c>
      <c r="B2826" s="22" t="s">
        <v>21</v>
      </c>
      <c r="C2826" s="22" t="s">
        <v>5305</v>
      </c>
      <c r="D2826" s="22" t="s">
        <v>5492</v>
      </c>
      <c r="E2826" s="22" t="s">
        <v>5493</v>
      </c>
      <c r="F2826" s="22">
        <v>35.992576</v>
      </c>
      <c r="G2826" s="22">
        <v>43.220658999999998</v>
      </c>
      <c r="H2826" s="21" t="s">
        <v>5198</v>
      </c>
      <c r="I2826" s="21" t="s">
        <v>5308</v>
      </c>
      <c r="J2826" s="21" t="s">
        <v>5494</v>
      </c>
      <c r="K2826" s="24">
        <v>70</v>
      </c>
      <c r="L2826" s="24">
        <v>420</v>
      </c>
      <c r="M2826" s="23"/>
      <c r="N2826" s="23"/>
      <c r="O2826" s="23"/>
      <c r="P2826" s="23"/>
      <c r="Q2826" s="23"/>
      <c r="R2826" s="23"/>
      <c r="S2826" s="23"/>
      <c r="T2826" s="23"/>
      <c r="U2826" s="23">
        <v>70</v>
      </c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23"/>
      <c r="AN2826" s="23">
        <v>70</v>
      </c>
      <c r="AO2826" s="23"/>
      <c r="AP2826" s="23"/>
      <c r="AQ2826" s="23"/>
      <c r="AR2826" s="23"/>
      <c r="AS2826" s="23">
        <v>70</v>
      </c>
      <c r="AT2826" s="23"/>
      <c r="AU2826" s="14" t="str">
        <f>HYPERLINK("http://www.openstreetmap.org/?mlat=35.9926&amp;mlon=43.2207&amp;zoom=12#map=12/35.9926/43.2207","Maplink1")</f>
        <v>Maplink1</v>
      </c>
      <c r="AV2826" s="14" t="str">
        <f>HYPERLINK("https://www.google.iq/maps/search/+35.9926,43.2207/@35.9926,43.2207,14z?hl=en","Maplink2")</f>
        <v>Maplink2</v>
      </c>
      <c r="AW2826" s="14" t="str">
        <f>HYPERLINK("http://www.bing.com/maps/?lvl=14&amp;sty=h&amp;cp=35.9926~43.2207&amp;sp=point.35.9926_43.2207_Shura Center","Maplink3")</f>
        <v>Maplink3</v>
      </c>
    </row>
    <row r="2827" spans="1:49" ht="15" customHeight="1" x14ac:dyDescent="0.25">
      <c r="A2827" s="21">
        <v>21258</v>
      </c>
      <c r="B2827" s="22" t="s">
        <v>21</v>
      </c>
      <c r="C2827" s="22" t="s">
        <v>5305</v>
      </c>
      <c r="D2827" s="22" t="s">
        <v>5495</v>
      </c>
      <c r="E2827" s="22" t="s">
        <v>5496</v>
      </c>
      <c r="F2827" s="22">
        <v>36.312998</v>
      </c>
      <c r="G2827" s="22">
        <v>43.093113000000002</v>
      </c>
      <c r="H2827" s="21" t="s">
        <v>5198</v>
      </c>
      <c r="I2827" s="21" t="s">
        <v>5308</v>
      </c>
      <c r="J2827" s="21" t="s">
        <v>5497</v>
      </c>
      <c r="K2827" s="24">
        <v>99</v>
      </c>
      <c r="L2827" s="24">
        <v>594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86</v>
      </c>
      <c r="Z2827" s="23"/>
      <c r="AA2827" s="23">
        <v>13</v>
      </c>
      <c r="AB2827" s="23"/>
      <c r="AC2827" s="23"/>
      <c r="AD2827" s="23"/>
      <c r="AE2827" s="23"/>
      <c r="AF2827" s="23">
        <v>23</v>
      </c>
      <c r="AG2827" s="23"/>
      <c r="AH2827" s="23"/>
      <c r="AI2827" s="23"/>
      <c r="AJ2827" s="23">
        <v>7</v>
      </c>
      <c r="AK2827" s="23">
        <v>33</v>
      </c>
      <c r="AL2827" s="23">
        <v>11</v>
      </c>
      <c r="AM2827" s="23">
        <v>25</v>
      </c>
      <c r="AN2827" s="23"/>
      <c r="AO2827" s="23"/>
      <c r="AP2827" s="23"/>
      <c r="AQ2827" s="23"/>
      <c r="AR2827" s="23">
        <v>38</v>
      </c>
      <c r="AS2827" s="23">
        <v>20</v>
      </c>
      <c r="AT2827" s="23">
        <v>41</v>
      </c>
      <c r="AU2827" s="14" t="str">
        <f>HYPERLINK("http://www.openstreetmap.org/?mlat=36.313&amp;mlon=43.0931&amp;zoom=12#map=12/36.313/43.0931","Maplink1")</f>
        <v>Maplink1</v>
      </c>
      <c r="AV2827" s="14" t="str">
        <f>HYPERLINK("https://www.google.iq/maps/search/+36.313,43.0931/@36.313,43.0931,14z?hl=en","Maplink2")</f>
        <v>Maplink2</v>
      </c>
      <c r="AW2827" s="14" t="str">
        <f>HYPERLINK("http://www.bing.com/maps/?lvl=14&amp;sty=h&amp;cp=36.313~43.0931&amp;sp=point.36.313_43.0931_Tal Al-Rumman","Maplink3")</f>
        <v>Maplink3</v>
      </c>
    </row>
    <row r="2828" spans="1:49" ht="15" customHeight="1" x14ac:dyDescent="0.25">
      <c r="A2828" s="21">
        <v>18368</v>
      </c>
      <c r="B2828" s="22" t="s">
        <v>21</v>
      </c>
      <c r="C2828" s="22" t="s">
        <v>5305</v>
      </c>
      <c r="D2828" s="22" t="s">
        <v>5498</v>
      </c>
      <c r="E2828" s="22" t="s">
        <v>5499</v>
      </c>
      <c r="F2828" s="22">
        <v>36.320141999999997</v>
      </c>
      <c r="G2828" s="22">
        <v>43.125399999999999</v>
      </c>
      <c r="H2828" s="21" t="s">
        <v>5198</v>
      </c>
      <c r="I2828" s="21" t="s">
        <v>5308</v>
      </c>
      <c r="J2828" s="21" t="s">
        <v>5500</v>
      </c>
      <c r="K2828" s="24">
        <v>412</v>
      </c>
      <c r="L2828" s="24">
        <v>2472</v>
      </c>
      <c r="M2828" s="23">
        <v>26</v>
      </c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362</v>
      </c>
      <c r="Z2828" s="23"/>
      <c r="AA2828" s="23">
        <v>24</v>
      </c>
      <c r="AB2828" s="23"/>
      <c r="AC2828" s="23"/>
      <c r="AD2828" s="23"/>
      <c r="AE2828" s="23"/>
      <c r="AF2828" s="23">
        <v>100</v>
      </c>
      <c r="AG2828" s="23"/>
      <c r="AH2828" s="23"/>
      <c r="AI2828" s="23"/>
      <c r="AJ2828" s="23"/>
      <c r="AK2828" s="23">
        <v>30</v>
      </c>
      <c r="AL2828" s="23">
        <v>106</v>
      </c>
      <c r="AM2828" s="23">
        <v>29</v>
      </c>
      <c r="AN2828" s="23">
        <v>147</v>
      </c>
      <c r="AO2828" s="23"/>
      <c r="AP2828" s="23">
        <v>14</v>
      </c>
      <c r="AQ2828" s="23">
        <v>31</v>
      </c>
      <c r="AR2828" s="23">
        <v>134</v>
      </c>
      <c r="AS2828" s="23">
        <v>76</v>
      </c>
      <c r="AT2828" s="23">
        <v>157</v>
      </c>
      <c r="AU2828" s="14" t="str">
        <f>HYPERLINK("http://www.openstreetmap.org/?mlat=36.3201&amp;mlon=43.1254&amp;zoom=12#map=12/36.3201/43.1254","Maplink1")</f>
        <v>Maplink1</v>
      </c>
      <c r="AV2828" s="14" t="str">
        <f>HYPERLINK("https://www.google.iq/maps/search/+36.3201,43.1254/@36.3201,43.1254,14z?hl=en","Maplink2")</f>
        <v>Maplink2</v>
      </c>
      <c r="AW2828" s="14" t="str">
        <f>HYPERLINK("http://www.bing.com/maps/?lvl=14&amp;sty=h&amp;cp=36.3201~43.1254&amp;sp=point.36.3201_43.1254_Wadi Hajar","Maplink3")</f>
        <v>Maplink3</v>
      </c>
    </row>
    <row r="2829" spans="1:49" ht="15" customHeight="1" x14ac:dyDescent="0.25">
      <c r="A2829" s="21">
        <v>21007</v>
      </c>
      <c r="B2829" s="22" t="s">
        <v>21</v>
      </c>
      <c r="C2829" s="22" t="s">
        <v>5305</v>
      </c>
      <c r="D2829" s="22" t="s">
        <v>5501</v>
      </c>
      <c r="E2829" s="22" t="s">
        <v>5502</v>
      </c>
      <c r="F2829" s="22">
        <v>36.348591999999996</v>
      </c>
      <c r="G2829" s="22">
        <v>43.112257</v>
      </c>
      <c r="H2829" s="21" t="s">
        <v>5198</v>
      </c>
      <c r="I2829" s="21" t="s">
        <v>5308</v>
      </c>
      <c r="J2829" s="21" t="s">
        <v>5503</v>
      </c>
      <c r="K2829" s="24">
        <v>96</v>
      </c>
      <c r="L2829" s="24">
        <v>576</v>
      </c>
      <c r="M2829" s="23">
        <v>3</v>
      </c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63</v>
      </c>
      <c r="Z2829" s="23"/>
      <c r="AA2829" s="23">
        <v>30</v>
      </c>
      <c r="AB2829" s="23"/>
      <c r="AC2829" s="23"/>
      <c r="AD2829" s="23"/>
      <c r="AE2829" s="23"/>
      <c r="AF2829" s="23">
        <v>32</v>
      </c>
      <c r="AG2829" s="23"/>
      <c r="AH2829" s="23"/>
      <c r="AI2829" s="23"/>
      <c r="AJ2829" s="23"/>
      <c r="AK2829" s="23">
        <v>3</v>
      </c>
      <c r="AL2829" s="23">
        <v>10</v>
      </c>
      <c r="AM2829" s="23">
        <v>51</v>
      </c>
      <c r="AN2829" s="23"/>
      <c r="AO2829" s="23">
        <v>3</v>
      </c>
      <c r="AP2829" s="23"/>
      <c r="AQ2829" s="23"/>
      <c r="AR2829" s="23">
        <v>59</v>
      </c>
      <c r="AS2829" s="23">
        <v>30</v>
      </c>
      <c r="AT2829" s="23">
        <v>4</v>
      </c>
      <c r="AU2829" s="14" t="str">
        <f>HYPERLINK("http://www.openstreetmap.org/?mlat=36.3486&amp;mlon=43.1123&amp;zoom=12#map=12/36.3486/43.1123","Maplink1")</f>
        <v>Maplink1</v>
      </c>
      <c r="AV2829" s="14" t="str">
        <f>HYPERLINK("https://www.google.iq/maps/search/+36.3486,43.1123/@36.3486,43.1123,14z?hl=en","Maplink2")</f>
        <v>Maplink2</v>
      </c>
      <c r="AW2829" s="14" t="str">
        <f>HYPERLINK("http://www.bing.com/maps/?lvl=14&amp;sty=h&amp;cp=36.3486~43.1123&amp;sp=point.36.3486_43.1123_Zanjili","Maplink3")</f>
        <v>Maplink3</v>
      </c>
    </row>
    <row r="2830" spans="1:49" ht="15" customHeight="1" x14ac:dyDescent="0.25">
      <c r="A2830" s="21">
        <v>27396</v>
      </c>
      <c r="B2830" s="22" t="s">
        <v>21</v>
      </c>
      <c r="C2830" s="22" t="s">
        <v>5504</v>
      </c>
      <c r="D2830" s="22" t="s">
        <v>5505</v>
      </c>
      <c r="E2830" s="22" t="s">
        <v>5506</v>
      </c>
      <c r="F2830" s="22">
        <v>36.450074999999998</v>
      </c>
      <c r="G2830" s="22">
        <v>41.771850000000001</v>
      </c>
      <c r="H2830" s="21" t="s">
        <v>5198</v>
      </c>
      <c r="I2830" s="21" t="s">
        <v>5507</v>
      </c>
      <c r="J2830" s="21"/>
      <c r="K2830" s="24">
        <v>12</v>
      </c>
      <c r="L2830" s="24">
        <v>72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12</v>
      </c>
      <c r="Z2830" s="23"/>
      <c r="AA2830" s="23"/>
      <c r="AB2830" s="23"/>
      <c r="AC2830" s="23"/>
      <c r="AD2830" s="23"/>
      <c r="AE2830" s="23"/>
      <c r="AF2830" s="23">
        <v>12</v>
      </c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>
        <v>12</v>
      </c>
      <c r="AR2830" s="23"/>
      <c r="AS2830" s="23"/>
      <c r="AT2830" s="23"/>
      <c r="AU2830" s="14" t="str">
        <f>HYPERLINK("http://www.openstreetmap.org/?mlat=36.4501&amp;mlon=41.7719&amp;zoom=12#map=12/36.4501/41.7719","Maplink1")</f>
        <v>Maplink1</v>
      </c>
      <c r="AV2830" s="14" t="str">
        <f>HYPERLINK("https://www.google.iq/maps/search/+36.4501,41.7719/@36.4501,41.7719,14z?hl=en","Maplink2")</f>
        <v>Maplink2</v>
      </c>
      <c r="AW2830" s="14" t="str">
        <f>HYPERLINK("http://www.bing.com/maps/?lvl=14&amp;sty=h&amp;cp=36.4501~41.7719&amp;sp=point.36.4501_41.7719_Adika","Maplink3")</f>
        <v>Maplink3</v>
      </c>
    </row>
    <row r="2831" spans="1:49" ht="15" customHeight="1" x14ac:dyDescent="0.25">
      <c r="A2831" s="21">
        <v>27272</v>
      </c>
      <c r="B2831" s="22" t="s">
        <v>21</v>
      </c>
      <c r="C2831" s="22" t="s">
        <v>5504</v>
      </c>
      <c r="D2831" s="22" t="s">
        <v>5508</v>
      </c>
      <c r="E2831" s="22" t="s">
        <v>5509</v>
      </c>
      <c r="F2831" s="22">
        <v>36.127521999999999</v>
      </c>
      <c r="G2831" s="22">
        <v>42.299418000000003</v>
      </c>
      <c r="H2831" s="21" t="s">
        <v>5198</v>
      </c>
      <c r="I2831" s="21" t="s">
        <v>5507</v>
      </c>
      <c r="J2831" s="21"/>
      <c r="K2831" s="24">
        <v>80</v>
      </c>
      <c r="L2831" s="24">
        <v>480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80</v>
      </c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/>
      <c r="AN2831" s="23">
        <v>80</v>
      </c>
      <c r="AO2831" s="23"/>
      <c r="AP2831" s="23"/>
      <c r="AQ2831" s="23"/>
      <c r="AR2831" s="23"/>
      <c r="AS2831" s="23">
        <v>80</v>
      </c>
      <c r="AT2831" s="23"/>
      <c r="AU2831" s="14" t="str">
        <f>HYPERLINK("http://www.openstreetmap.org/?mlat=36.1275&amp;mlon=42.2994&amp;zoom=12#map=12/36.1275/42.2994","Maplink1")</f>
        <v>Maplink1</v>
      </c>
      <c r="AV2831" s="14" t="str">
        <f>HYPERLINK("https://www.google.iq/maps/search/+36.1275,42.2994/@36.1275,42.2994,14z?hl=en","Maplink2")</f>
        <v>Maplink2</v>
      </c>
      <c r="AW2831" s="14" t="str">
        <f>HYPERLINK("http://www.bing.com/maps/?lvl=14&amp;sty=h&amp;cp=36.1275~42.2994&amp;sp=point.36.1275_42.2994_Alsadahya","Maplink3")</f>
        <v>Maplink3</v>
      </c>
    </row>
    <row r="2832" spans="1:49" ht="15" customHeight="1" x14ac:dyDescent="0.25">
      <c r="A2832" s="21">
        <v>27403</v>
      </c>
      <c r="B2832" s="22" t="s">
        <v>21</v>
      </c>
      <c r="C2832" s="22" t="s">
        <v>5504</v>
      </c>
      <c r="D2832" s="22" t="s">
        <v>5510</v>
      </c>
      <c r="E2832" s="22" t="s">
        <v>5511</v>
      </c>
      <c r="F2832" s="22">
        <v>36.437987999999997</v>
      </c>
      <c r="G2832" s="22">
        <v>41.711075000000001</v>
      </c>
      <c r="H2832" s="21" t="s">
        <v>5198</v>
      </c>
      <c r="I2832" s="21" t="s">
        <v>5507</v>
      </c>
      <c r="J2832" s="21"/>
      <c r="K2832" s="24">
        <v>128</v>
      </c>
      <c r="L2832" s="24">
        <v>768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128</v>
      </c>
      <c r="Z2832" s="23"/>
      <c r="AA2832" s="23"/>
      <c r="AB2832" s="23"/>
      <c r="AC2832" s="23"/>
      <c r="AD2832" s="23"/>
      <c r="AE2832" s="23"/>
      <c r="AF2832" s="23">
        <v>128</v>
      </c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>
        <v>128</v>
      </c>
      <c r="AR2832" s="23"/>
      <c r="AS2832" s="23"/>
      <c r="AT2832" s="23"/>
      <c r="AU2832" s="14" t="str">
        <f>HYPERLINK("http://www.openstreetmap.org/?mlat=36.438&amp;mlon=41.7111&amp;zoom=12#map=12/36.438/41.7111","Maplink1")</f>
        <v>Maplink1</v>
      </c>
      <c r="AV2832" s="14" t="str">
        <f>HYPERLINK("https://www.google.iq/maps/search/+36.438,41.7111/@36.438,41.7111,14z?hl=en","Maplink2")</f>
        <v>Maplink2</v>
      </c>
      <c r="AW2832" s="14" t="str">
        <f>HYPERLINK("http://www.bing.com/maps/?lvl=14&amp;sty=h&amp;cp=36.438~41.7111&amp;sp=point.36.438_41.7111_Ashti &amp; Heriko","Maplink3")</f>
        <v>Maplink3</v>
      </c>
    </row>
    <row r="2833" spans="1:49" ht="15" customHeight="1" x14ac:dyDescent="0.25">
      <c r="A2833" s="21">
        <v>28415</v>
      </c>
      <c r="B2833" s="22" t="s">
        <v>21</v>
      </c>
      <c r="C2833" s="22" t="s">
        <v>5504</v>
      </c>
      <c r="D2833" s="22" t="s">
        <v>5512</v>
      </c>
      <c r="E2833" s="22" t="s">
        <v>5513</v>
      </c>
      <c r="F2833" s="22">
        <v>36.428418000000001</v>
      </c>
      <c r="G2833" s="22">
        <v>41.909446000000003</v>
      </c>
      <c r="H2833" s="21" t="s">
        <v>5198</v>
      </c>
      <c r="I2833" s="21" t="s">
        <v>5507</v>
      </c>
      <c r="J2833" s="21"/>
      <c r="K2833" s="24">
        <v>19</v>
      </c>
      <c r="L2833" s="24">
        <v>114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>
        <v>19</v>
      </c>
      <c r="Z2833" s="23"/>
      <c r="AA2833" s="23"/>
      <c r="AB2833" s="23"/>
      <c r="AC2833" s="23"/>
      <c r="AD2833" s="23"/>
      <c r="AE2833" s="23"/>
      <c r="AF2833" s="23">
        <v>9</v>
      </c>
      <c r="AG2833" s="23"/>
      <c r="AH2833" s="23">
        <v>5</v>
      </c>
      <c r="AI2833" s="23"/>
      <c r="AJ2833" s="23"/>
      <c r="AK2833" s="23"/>
      <c r="AL2833" s="23"/>
      <c r="AM2833" s="23">
        <v>5</v>
      </c>
      <c r="AN2833" s="23"/>
      <c r="AO2833" s="23"/>
      <c r="AP2833" s="23"/>
      <c r="AQ2833" s="23">
        <v>19</v>
      </c>
      <c r="AR2833" s="23"/>
      <c r="AS2833" s="23"/>
      <c r="AT2833" s="23"/>
      <c r="AU2833" s="14" t="str">
        <f>HYPERLINK("http://www.openstreetmap.org/?mlat=36.4284&amp;mlon=41.9094&amp;zoom=12#map=12/36.4284/41.9094","Maplink1")</f>
        <v>Maplink1</v>
      </c>
      <c r="AV2833" s="14" t="str">
        <f>HYPERLINK("https://www.google.iq/maps/search/+36.4284,41.9094/@36.4284,41.9094,14z?hl=en","Maplink2")</f>
        <v>Maplink2</v>
      </c>
      <c r="AW2833" s="14" t="str">
        <f>HYPERLINK("http://www.bing.com/maps/?lvl=14&amp;sty=h&amp;cp=36.4284~41.9094&amp;sp=point.36.4284_41.9094_Al Angaa","Maplink3")</f>
        <v>Maplink3</v>
      </c>
    </row>
    <row r="2834" spans="1:49" ht="15" customHeight="1" x14ac:dyDescent="0.25">
      <c r="A2834" s="21">
        <v>27366</v>
      </c>
      <c r="B2834" s="22" t="s">
        <v>21</v>
      </c>
      <c r="C2834" s="22" t="s">
        <v>5504</v>
      </c>
      <c r="D2834" s="22" t="s">
        <v>5514</v>
      </c>
      <c r="E2834" s="22" t="s">
        <v>5515</v>
      </c>
      <c r="F2834" s="22">
        <v>36.372866999999999</v>
      </c>
      <c r="G2834" s="22">
        <v>41.685724999999998</v>
      </c>
      <c r="H2834" s="21" t="s">
        <v>5198</v>
      </c>
      <c r="I2834" s="21" t="s">
        <v>5507</v>
      </c>
      <c r="J2834" s="21"/>
      <c r="K2834" s="24">
        <v>134</v>
      </c>
      <c r="L2834" s="24">
        <v>804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134</v>
      </c>
      <c r="Z2834" s="23"/>
      <c r="AA2834" s="23"/>
      <c r="AB2834" s="23"/>
      <c r="AC2834" s="23"/>
      <c r="AD2834" s="23"/>
      <c r="AE2834" s="23"/>
      <c r="AF2834" s="23">
        <v>90</v>
      </c>
      <c r="AG2834" s="23"/>
      <c r="AH2834" s="23">
        <v>44</v>
      </c>
      <c r="AI2834" s="23"/>
      <c r="AJ2834" s="23"/>
      <c r="AK2834" s="23"/>
      <c r="AL2834" s="23"/>
      <c r="AM2834" s="23"/>
      <c r="AN2834" s="23"/>
      <c r="AO2834" s="23"/>
      <c r="AP2834" s="23"/>
      <c r="AQ2834" s="23">
        <v>134</v>
      </c>
      <c r="AR2834" s="23"/>
      <c r="AS2834" s="23"/>
      <c r="AT2834" s="23"/>
      <c r="AU2834" s="14" t="str">
        <f>HYPERLINK("http://www.openstreetmap.org/?mlat=36.3729&amp;mlon=41.6857&amp;zoom=12#map=12/36.3729/41.6857","Maplink1")</f>
        <v>Maplink1</v>
      </c>
      <c r="AV2834" s="14" t="str">
        <f>HYPERLINK("https://www.google.iq/maps/search/+36.3729,41.6857/@36.3729,41.6857,14z?hl=en","Maplink2")</f>
        <v>Maplink2</v>
      </c>
      <c r="AW2834" s="14" t="str">
        <f>HYPERLINK("http://www.bing.com/maps/?lvl=14&amp;sty=h&amp;cp=36.3729~41.6857&amp;sp=point.36.3729_41.6857_Balif","Maplink3")</f>
        <v>Maplink3</v>
      </c>
    </row>
    <row r="2835" spans="1:49" ht="15" customHeight="1" x14ac:dyDescent="0.25">
      <c r="A2835" s="21">
        <v>27360</v>
      </c>
      <c r="B2835" s="22" t="s">
        <v>21</v>
      </c>
      <c r="C2835" s="22" t="s">
        <v>5504</v>
      </c>
      <c r="D2835" s="22" t="s">
        <v>5516</v>
      </c>
      <c r="E2835" s="22" t="s">
        <v>5517</v>
      </c>
      <c r="F2835" s="22">
        <v>36.375472000000002</v>
      </c>
      <c r="G2835" s="22">
        <v>41.484878000000002</v>
      </c>
      <c r="H2835" s="21" t="s">
        <v>5198</v>
      </c>
      <c r="I2835" s="21" t="s">
        <v>5507</v>
      </c>
      <c r="J2835" s="21"/>
      <c r="K2835" s="24">
        <v>9</v>
      </c>
      <c r="L2835" s="24">
        <v>54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9</v>
      </c>
      <c r="Z2835" s="23"/>
      <c r="AA2835" s="23"/>
      <c r="AB2835" s="23"/>
      <c r="AC2835" s="23"/>
      <c r="AD2835" s="23"/>
      <c r="AE2835" s="23"/>
      <c r="AF2835" s="23">
        <v>9</v>
      </c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>
        <v>9</v>
      </c>
      <c r="AR2835" s="23"/>
      <c r="AS2835" s="23"/>
      <c r="AT2835" s="23"/>
      <c r="AU2835" s="14" t="str">
        <f>HYPERLINK("http://www.openstreetmap.org/?mlat=36.3755&amp;mlon=41.4849&amp;zoom=12#map=12/36.3755/41.4849","Maplink1")</f>
        <v>Maplink1</v>
      </c>
      <c r="AV2835" s="14" t="str">
        <f>HYPERLINK("https://www.google.iq/maps/search/+36.3755,41.4849/@36.3755,41.4849,14z?hl=en","Maplink2")</f>
        <v>Maplink2</v>
      </c>
      <c r="AW2835" s="14" t="str">
        <f>HYPERLINK("http://www.bing.com/maps/?lvl=14&amp;sty=h&amp;cp=36.3755~41.4849&amp;sp=point.36.3755_41.4849_Barah","Maplink3")</f>
        <v>Maplink3</v>
      </c>
    </row>
    <row r="2836" spans="1:49" ht="15" customHeight="1" x14ac:dyDescent="0.25">
      <c r="A2836" s="21">
        <v>27365</v>
      </c>
      <c r="B2836" s="22" t="s">
        <v>21</v>
      </c>
      <c r="C2836" s="22" t="s">
        <v>5504</v>
      </c>
      <c r="D2836" s="22" t="s">
        <v>5518</v>
      </c>
      <c r="E2836" s="22" t="s">
        <v>5519</v>
      </c>
      <c r="F2836" s="22">
        <v>36.417622999999999</v>
      </c>
      <c r="G2836" s="22">
        <v>41.911800999999997</v>
      </c>
      <c r="H2836" s="21" t="s">
        <v>5198</v>
      </c>
      <c r="I2836" s="21" t="s">
        <v>5507</v>
      </c>
      <c r="J2836" s="21"/>
      <c r="K2836" s="24">
        <v>2</v>
      </c>
      <c r="L2836" s="24">
        <v>12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2</v>
      </c>
      <c r="Z2836" s="23"/>
      <c r="AA2836" s="23"/>
      <c r="AB2836" s="23"/>
      <c r="AC2836" s="23"/>
      <c r="AD2836" s="23"/>
      <c r="AE2836" s="23"/>
      <c r="AF2836" s="23">
        <v>2</v>
      </c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>
        <v>2</v>
      </c>
      <c r="AR2836" s="23"/>
      <c r="AS2836" s="23"/>
      <c r="AT2836" s="23"/>
      <c r="AU2836" s="14" t="str">
        <f>HYPERLINK("http://www.openstreetmap.org/?mlat=36.4176&amp;mlon=41.9118&amp;zoom=12#map=12/36.4176/41.9118","Maplink1")</f>
        <v>Maplink1</v>
      </c>
      <c r="AV2836" s="14" t="str">
        <f>HYPERLINK("https://www.google.iq/maps/search/+36.4176,41.9118/@36.4176,41.9118,14z?hl=en","Maplink2")</f>
        <v>Maplink2</v>
      </c>
      <c r="AW2836" s="14" t="str">
        <f>HYPERLINK("http://www.bing.com/maps/?lvl=14&amp;sty=h&amp;cp=36.4176~41.9118&amp;sp=point.36.4176_41.9118_Bayevok","Maplink3")</f>
        <v>Maplink3</v>
      </c>
    </row>
    <row r="2837" spans="1:49" ht="15" customHeight="1" x14ac:dyDescent="0.25">
      <c r="A2837" s="21">
        <v>17720</v>
      </c>
      <c r="B2837" s="22" t="s">
        <v>21</v>
      </c>
      <c r="C2837" s="22" t="s">
        <v>5504</v>
      </c>
      <c r="D2837" s="22" t="s">
        <v>5520</v>
      </c>
      <c r="E2837" s="22" t="s">
        <v>5521</v>
      </c>
      <c r="F2837" s="22">
        <v>36.537849000000001</v>
      </c>
      <c r="G2837" s="22">
        <v>41.707028999999999</v>
      </c>
      <c r="H2837" s="21" t="s">
        <v>5198</v>
      </c>
      <c r="I2837" s="21" t="s">
        <v>5507</v>
      </c>
      <c r="J2837" s="21" t="s">
        <v>5522</v>
      </c>
      <c r="K2837" s="24">
        <v>7</v>
      </c>
      <c r="L2837" s="24">
        <v>42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7</v>
      </c>
      <c r="Z2837" s="23"/>
      <c r="AA2837" s="23"/>
      <c r="AB2837" s="23"/>
      <c r="AC2837" s="23"/>
      <c r="AD2837" s="23"/>
      <c r="AE2837" s="23"/>
      <c r="AF2837" s="23">
        <v>7</v>
      </c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>
        <v>7</v>
      </c>
      <c r="AR2837" s="23"/>
      <c r="AS2837" s="23"/>
      <c r="AT2837" s="23"/>
      <c r="AU2837" s="14" t="str">
        <f>HYPERLINK("http://www.openstreetmap.org/?mlat=36.5378&amp;mlon=41.707&amp;zoom=12#map=12/36.5378/41.707","Maplink1")</f>
        <v>Maplink1</v>
      </c>
      <c r="AV2837" s="14" t="str">
        <f>HYPERLINK("https://www.google.iq/maps/search/+36.5378,41.707/@36.5378,41.707,14z?hl=en","Maplink2")</f>
        <v>Maplink2</v>
      </c>
      <c r="AW2837" s="14" t="str">
        <f>HYPERLINK("http://www.bing.com/maps/?lvl=14&amp;sty=h&amp;cp=36.5378~41.707&amp;sp=point.36.5378_41.707_Al Angaa","Maplink3")</f>
        <v>Maplink3</v>
      </c>
    </row>
    <row r="2838" spans="1:49" ht="15" customHeight="1" x14ac:dyDescent="0.25">
      <c r="A2838" s="21">
        <v>27285</v>
      </c>
      <c r="B2838" s="22" t="s">
        <v>21</v>
      </c>
      <c r="C2838" s="22" t="s">
        <v>5504</v>
      </c>
      <c r="D2838" s="22" t="s">
        <v>8996</v>
      </c>
      <c r="E2838" s="22" t="s">
        <v>5523</v>
      </c>
      <c r="F2838" s="22">
        <v>36.496307999999999</v>
      </c>
      <c r="G2838" s="22">
        <v>41.868706000000003</v>
      </c>
      <c r="H2838" s="21" t="s">
        <v>5198</v>
      </c>
      <c r="I2838" s="21" t="s">
        <v>5507</v>
      </c>
      <c r="J2838" s="21"/>
      <c r="K2838" s="24">
        <v>20</v>
      </c>
      <c r="L2838" s="24">
        <v>120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20</v>
      </c>
      <c r="Z2838" s="23"/>
      <c r="AA2838" s="23"/>
      <c r="AB2838" s="23"/>
      <c r="AC2838" s="23"/>
      <c r="AD2838" s="23"/>
      <c r="AE2838" s="23"/>
      <c r="AF2838" s="23">
        <v>20</v>
      </c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>
        <v>20</v>
      </c>
      <c r="AR2838" s="23"/>
      <c r="AS2838" s="23"/>
      <c r="AT2838" s="23"/>
      <c r="AU2838" s="14" t="str">
        <f>HYPERLINK("http://www.openstreetmap.org/?mlat=36.4963&amp;mlon=41.8687&amp;zoom=12#map=12/36.4963/41.8687","Maplink1")</f>
        <v>Maplink1</v>
      </c>
      <c r="AV2838" s="14" t="str">
        <f>HYPERLINK("https://www.google.iq/maps/search/+36.4963,41.8687/@36.4963,41.8687,14z?hl=en","Maplink2")</f>
        <v>Maplink2</v>
      </c>
      <c r="AW2838" s="14" t="str">
        <f>HYPERLINK("http://www.bing.com/maps/?lvl=14&amp;sty=h&amp;cp=36.4963~41.8687&amp;sp=point.36.4963_41.8687_Borak","Maplink3")</f>
        <v>Maplink3</v>
      </c>
    </row>
    <row r="2839" spans="1:49" ht="15" customHeight="1" x14ac:dyDescent="0.25">
      <c r="A2839" s="21">
        <v>27398</v>
      </c>
      <c r="B2839" s="22" t="s">
        <v>21</v>
      </c>
      <c r="C2839" s="22" t="s">
        <v>5504</v>
      </c>
      <c r="D2839" s="22" t="s">
        <v>5524</v>
      </c>
      <c r="E2839" s="22" t="s">
        <v>5525</v>
      </c>
      <c r="F2839" s="22">
        <v>36.395296000000002</v>
      </c>
      <c r="G2839" s="22">
        <v>41.856828999999998</v>
      </c>
      <c r="H2839" s="21" t="s">
        <v>5198</v>
      </c>
      <c r="I2839" s="21" t="s">
        <v>5507</v>
      </c>
      <c r="J2839" s="21"/>
      <c r="K2839" s="24">
        <v>45</v>
      </c>
      <c r="L2839" s="24">
        <v>270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45</v>
      </c>
      <c r="Z2839" s="23"/>
      <c r="AA2839" s="23"/>
      <c r="AB2839" s="23"/>
      <c r="AC2839" s="23"/>
      <c r="AD2839" s="23"/>
      <c r="AE2839" s="23"/>
      <c r="AF2839" s="23">
        <v>15</v>
      </c>
      <c r="AG2839" s="23"/>
      <c r="AH2839" s="23">
        <v>30</v>
      </c>
      <c r="AI2839" s="23"/>
      <c r="AJ2839" s="23"/>
      <c r="AK2839" s="23"/>
      <c r="AL2839" s="23"/>
      <c r="AM2839" s="23"/>
      <c r="AN2839" s="23"/>
      <c r="AO2839" s="23"/>
      <c r="AP2839" s="23"/>
      <c r="AQ2839" s="23">
        <v>45</v>
      </c>
      <c r="AR2839" s="23"/>
      <c r="AS2839" s="23"/>
      <c r="AT2839" s="23"/>
      <c r="AU2839" s="14" t="str">
        <f>HYPERLINK("http://www.openstreetmap.org/?mlat=36.3953&amp;mlon=41.8568&amp;zoom=12#map=12/36.3953/41.8568","Maplink1")</f>
        <v>Maplink1</v>
      </c>
      <c r="AV2839" s="14" t="str">
        <f>HYPERLINK("https://www.google.iq/maps/search/+36.3953,41.8568/@36.3953,41.8568,14z?hl=en","Maplink2")</f>
        <v>Maplink2</v>
      </c>
      <c r="AW2839" s="14" t="str">
        <f>HYPERLINK("http://www.bing.com/maps/?lvl=14&amp;sty=h&amp;cp=36.3953~41.8568&amp;sp=point.36.3953_41.8568_Cheyl mira","Maplink3")</f>
        <v>Maplink3</v>
      </c>
    </row>
    <row r="2840" spans="1:49" ht="15" customHeight="1" x14ac:dyDescent="0.25">
      <c r="A2840" s="21">
        <v>28418</v>
      </c>
      <c r="B2840" s="22" t="s">
        <v>21</v>
      </c>
      <c r="C2840" s="22" t="s">
        <v>5504</v>
      </c>
      <c r="D2840" s="22" t="s">
        <v>5526</v>
      </c>
      <c r="E2840" s="22" t="s">
        <v>5527</v>
      </c>
      <c r="F2840" s="22">
        <v>36.376939999999998</v>
      </c>
      <c r="G2840" s="22">
        <v>41.720059999999997</v>
      </c>
      <c r="H2840" s="21" t="s">
        <v>5198</v>
      </c>
      <c r="I2840" s="21" t="s">
        <v>5507</v>
      </c>
      <c r="J2840" s="21"/>
      <c r="K2840" s="24">
        <v>78</v>
      </c>
      <c r="L2840" s="24">
        <v>468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78</v>
      </c>
      <c r="Z2840" s="23"/>
      <c r="AA2840" s="23"/>
      <c r="AB2840" s="23"/>
      <c r="AC2840" s="23"/>
      <c r="AD2840" s="23"/>
      <c r="AE2840" s="23"/>
      <c r="AF2840" s="23"/>
      <c r="AG2840" s="23"/>
      <c r="AH2840" s="23">
        <v>78</v>
      </c>
      <c r="AI2840" s="23"/>
      <c r="AJ2840" s="23"/>
      <c r="AK2840" s="23"/>
      <c r="AL2840" s="23"/>
      <c r="AM2840" s="23"/>
      <c r="AN2840" s="23"/>
      <c r="AO2840" s="23"/>
      <c r="AP2840" s="23"/>
      <c r="AQ2840" s="23">
        <v>78</v>
      </c>
      <c r="AR2840" s="23"/>
      <c r="AS2840" s="23"/>
      <c r="AT2840" s="23"/>
      <c r="AU2840" s="14" t="str">
        <f>HYPERLINK("http://www.openstreetmap.org/?mlat=36.3769&amp;mlon=41.7201&amp;zoom=12#map=12/36.3769/41.7201","Maplink1")</f>
        <v>Maplink1</v>
      </c>
      <c r="AV2840" s="14" t="str">
        <f>HYPERLINK("https://www.google.iq/maps/search/+36.3769,41.7201/@36.3769,41.7201,14z?hl=en","Maplink2")</f>
        <v>Maplink2</v>
      </c>
      <c r="AW2840" s="14" t="str">
        <f>HYPERLINK("http://www.bing.com/maps/?lvl=14&amp;sty=h&amp;cp=36.3769~41.7201&amp;sp=point.36.3769_41.7201_Al Angaa","Maplink3")</f>
        <v>Maplink3</v>
      </c>
    </row>
    <row r="2841" spans="1:49" ht="15" customHeight="1" x14ac:dyDescent="0.25">
      <c r="A2841" s="21">
        <v>27283</v>
      </c>
      <c r="B2841" s="22" t="s">
        <v>21</v>
      </c>
      <c r="C2841" s="22" t="s">
        <v>5504</v>
      </c>
      <c r="D2841" s="22" t="s">
        <v>5528</v>
      </c>
      <c r="E2841" s="22" t="s">
        <v>5529</v>
      </c>
      <c r="F2841" s="22">
        <v>36.475532999999999</v>
      </c>
      <c r="G2841" s="22">
        <v>41.746789</v>
      </c>
      <c r="H2841" s="21" t="s">
        <v>5198</v>
      </c>
      <c r="I2841" s="21" t="s">
        <v>5507</v>
      </c>
      <c r="J2841" s="21"/>
      <c r="K2841" s="24">
        <v>26</v>
      </c>
      <c r="L2841" s="24">
        <v>156</v>
      </c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26</v>
      </c>
      <c r="Z2841" s="23"/>
      <c r="AA2841" s="23"/>
      <c r="AB2841" s="23"/>
      <c r="AC2841" s="23"/>
      <c r="AD2841" s="23"/>
      <c r="AE2841" s="23"/>
      <c r="AF2841" s="23">
        <v>26</v>
      </c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>
        <v>26</v>
      </c>
      <c r="AR2841" s="23"/>
      <c r="AS2841" s="23"/>
      <c r="AT2841" s="23"/>
      <c r="AU2841" s="14" t="str">
        <f>HYPERLINK("http://www.openstreetmap.org/?mlat=36.4755&amp;mlon=41.7468&amp;zoom=12#map=12/36.4755/41.7468","Maplink1")</f>
        <v>Maplink1</v>
      </c>
      <c r="AV2841" s="14" t="str">
        <f>HYPERLINK("https://www.google.iq/maps/search/+36.4755,41.7468/@36.4755,41.7468,14z?hl=en","Maplink2")</f>
        <v>Maplink2</v>
      </c>
      <c r="AW2841" s="14" t="str">
        <f>HYPERLINK("http://www.bing.com/maps/?lvl=14&amp;sty=h&amp;cp=36.4755~41.7468&amp;sp=point.36.4755_41.7468_Dokri","Maplink3")</f>
        <v>Maplink3</v>
      </c>
    </row>
    <row r="2842" spans="1:49" ht="15" customHeight="1" x14ac:dyDescent="0.25">
      <c r="A2842" s="21">
        <v>27401</v>
      </c>
      <c r="B2842" s="22" t="s">
        <v>21</v>
      </c>
      <c r="C2842" s="22" t="s">
        <v>5504</v>
      </c>
      <c r="D2842" s="22" t="s">
        <v>5530</v>
      </c>
      <c r="E2842" s="22" t="s">
        <v>5531</v>
      </c>
      <c r="F2842" s="22">
        <v>36.380220999999999</v>
      </c>
      <c r="G2842" s="22">
        <v>41.631154000000002</v>
      </c>
      <c r="H2842" s="21" t="s">
        <v>5198</v>
      </c>
      <c r="I2842" s="21" t="s">
        <v>5507</v>
      </c>
      <c r="J2842" s="21"/>
      <c r="K2842" s="24">
        <v>5</v>
      </c>
      <c r="L2842" s="24">
        <v>30</v>
      </c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5</v>
      </c>
      <c r="Z2842" s="23"/>
      <c r="AA2842" s="23"/>
      <c r="AB2842" s="23"/>
      <c r="AC2842" s="23"/>
      <c r="AD2842" s="23"/>
      <c r="AE2842" s="23"/>
      <c r="AF2842" s="23">
        <v>5</v>
      </c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>
        <v>5</v>
      </c>
      <c r="AR2842" s="23"/>
      <c r="AS2842" s="23"/>
      <c r="AT2842" s="23"/>
      <c r="AU2842" s="14" t="str">
        <f>HYPERLINK("http://www.openstreetmap.org/?mlat=36.3802&amp;mlon=41.6312&amp;zoom=12#map=12/36.3802/41.6312","Maplink1")</f>
        <v>Maplink1</v>
      </c>
      <c r="AV2842" s="14" t="str">
        <f>HYPERLINK("https://www.google.iq/maps/search/+36.3802,41.6312/@36.3802,41.6312,14z?hl=en","Maplink2")</f>
        <v>Maplink2</v>
      </c>
      <c r="AW2842" s="14" t="str">
        <f>HYPERLINK("http://www.bing.com/maps/?lvl=14&amp;sty=h&amp;cp=36.3802~41.6312&amp;sp=point.36.3802_41.6312_Haliqye","Maplink3")</f>
        <v>Maplink3</v>
      </c>
    </row>
    <row r="2843" spans="1:49" ht="15" customHeight="1" x14ac:dyDescent="0.25">
      <c r="A2843" s="21">
        <v>27288</v>
      </c>
      <c r="B2843" s="22" t="s">
        <v>21</v>
      </c>
      <c r="C2843" s="22" t="s">
        <v>5504</v>
      </c>
      <c r="D2843" s="22" t="s">
        <v>5532</v>
      </c>
      <c r="E2843" s="22" t="s">
        <v>5533</v>
      </c>
      <c r="F2843" s="22">
        <v>36.376655999999997</v>
      </c>
      <c r="G2843" s="22">
        <v>41.686521999999997</v>
      </c>
      <c r="H2843" s="21" t="s">
        <v>5198</v>
      </c>
      <c r="I2843" s="21" t="s">
        <v>5507</v>
      </c>
      <c r="J2843" s="21"/>
      <c r="K2843" s="24">
        <v>35</v>
      </c>
      <c r="L2843" s="24">
        <v>210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35</v>
      </c>
      <c r="Z2843" s="23"/>
      <c r="AA2843" s="23"/>
      <c r="AB2843" s="23"/>
      <c r="AC2843" s="23"/>
      <c r="AD2843" s="23"/>
      <c r="AE2843" s="23"/>
      <c r="AF2843" s="23">
        <v>35</v>
      </c>
      <c r="AG2843" s="23"/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23">
        <v>35</v>
      </c>
      <c r="AR2843" s="23"/>
      <c r="AS2843" s="23"/>
      <c r="AT2843" s="23"/>
      <c r="AU2843" s="14" t="str">
        <f>HYPERLINK("http://www.openstreetmap.org/?mlat=36.3767&amp;mlon=41.6865&amp;zoom=12#map=12/36.3767/41.6865","Maplink1")</f>
        <v>Maplink1</v>
      </c>
      <c r="AV2843" s="14" t="str">
        <f>HYPERLINK("https://www.google.iq/maps/search/+36.3767,41.6865/@36.3767,41.6865,14z?hl=en","Maplink2")</f>
        <v>Maplink2</v>
      </c>
      <c r="AW2843" s="14" t="str">
        <f>HYPERLINK("http://www.bing.com/maps/?lvl=14&amp;sty=h&amp;cp=36.3767~41.6865&amp;sp=point.36.3767_41.6865_Karsi ","Maplink3")</f>
        <v>Maplink3</v>
      </c>
    </row>
    <row r="2844" spans="1:49" ht="15" customHeight="1" x14ac:dyDescent="0.25">
      <c r="A2844" s="21">
        <v>17845</v>
      </c>
      <c r="B2844" s="22" t="s">
        <v>21</v>
      </c>
      <c r="C2844" s="22" t="s">
        <v>5504</v>
      </c>
      <c r="D2844" s="22" t="s">
        <v>7342</v>
      </c>
      <c r="E2844" s="22" t="s">
        <v>8077</v>
      </c>
      <c r="F2844" s="22">
        <v>36.491480000000003</v>
      </c>
      <c r="G2844" s="22">
        <v>41.814396000000002</v>
      </c>
      <c r="H2844" s="21" t="s">
        <v>5198</v>
      </c>
      <c r="I2844" s="21" t="s">
        <v>5507</v>
      </c>
      <c r="J2844" s="21" t="s">
        <v>5534</v>
      </c>
      <c r="K2844" s="24">
        <v>143</v>
      </c>
      <c r="L2844" s="24">
        <v>858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>
        <v>143</v>
      </c>
      <c r="Z2844" s="23"/>
      <c r="AA2844" s="23"/>
      <c r="AB2844" s="23"/>
      <c r="AC2844" s="23"/>
      <c r="AD2844" s="23"/>
      <c r="AE2844" s="23"/>
      <c r="AF2844" s="23">
        <v>143</v>
      </c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>
        <v>143</v>
      </c>
      <c r="AR2844" s="23"/>
      <c r="AS2844" s="23"/>
      <c r="AT2844" s="23"/>
      <c r="AU2844" s="14" t="str">
        <f>HYPERLINK("http://www.openstreetmap.org/?mlat=36.4915&amp;mlon=41.8144&amp;zoom=12#map=12/36.4915/41.8144","Maplink1")</f>
        <v>Maplink1</v>
      </c>
      <c r="AV2844" s="14" t="str">
        <f>HYPERLINK("https://www.google.iq/maps/search/+36.4915,41.8144/@36.4915,41.8144,14z?hl=en","Maplink2")</f>
        <v>Maplink2</v>
      </c>
      <c r="AW2844" s="14" t="str">
        <f>HYPERLINK("http://www.bing.com/maps/?lvl=14&amp;sty=h&amp;cp=36.4915~41.8144&amp;sp=point.36.4915_41.8144_Khani sor ","Maplink3")</f>
        <v>Maplink3</v>
      </c>
    </row>
    <row r="2845" spans="1:49" ht="15" customHeight="1" x14ac:dyDescent="0.25">
      <c r="A2845" s="21">
        <v>27358</v>
      </c>
      <c r="B2845" s="22" t="s">
        <v>21</v>
      </c>
      <c r="C2845" s="22" t="s">
        <v>5504</v>
      </c>
      <c r="D2845" s="22" t="s">
        <v>5535</v>
      </c>
      <c r="E2845" s="22" t="s">
        <v>5536</v>
      </c>
      <c r="F2845" s="22">
        <v>36.369624999999999</v>
      </c>
      <c r="G2845" s="22">
        <v>41.723678</v>
      </c>
      <c r="H2845" s="21" t="s">
        <v>5198</v>
      </c>
      <c r="I2845" s="21" t="s">
        <v>5507</v>
      </c>
      <c r="J2845" s="21"/>
      <c r="K2845" s="24">
        <v>42</v>
      </c>
      <c r="L2845" s="24">
        <v>252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42</v>
      </c>
      <c r="Z2845" s="23"/>
      <c r="AA2845" s="23"/>
      <c r="AB2845" s="23"/>
      <c r="AC2845" s="23"/>
      <c r="AD2845" s="23"/>
      <c r="AE2845" s="23"/>
      <c r="AF2845" s="23">
        <v>10</v>
      </c>
      <c r="AG2845" s="23"/>
      <c r="AH2845" s="23">
        <v>32</v>
      </c>
      <c r="AI2845" s="23"/>
      <c r="AJ2845" s="23"/>
      <c r="AK2845" s="23"/>
      <c r="AL2845" s="23"/>
      <c r="AM2845" s="23"/>
      <c r="AN2845" s="23"/>
      <c r="AO2845" s="23"/>
      <c r="AP2845" s="23"/>
      <c r="AQ2845" s="23">
        <v>42</v>
      </c>
      <c r="AR2845" s="23"/>
      <c r="AS2845" s="23"/>
      <c r="AT2845" s="23"/>
      <c r="AU2845" s="14" t="str">
        <f>HYPERLINK("http://www.openstreetmap.org/?mlat=36.3696&amp;mlon=41.7237&amp;zoom=12#map=12/36.3696/41.7237","Maplink1")</f>
        <v>Maplink1</v>
      </c>
      <c r="AV2845" s="14" t="str">
        <f>HYPERLINK("https://www.google.iq/maps/search/+36.3696,41.7237/@36.3696,41.7237,14z?hl=en","Maplink2")</f>
        <v>Maplink2</v>
      </c>
      <c r="AW2845" s="14" t="str">
        <f>HYPERLINK("http://www.bing.com/maps/?lvl=14&amp;sty=h&amp;cp=36.3696~41.7237&amp;sp=point.36.3696_41.7237_Kolka","Maplink3")</f>
        <v>Maplink3</v>
      </c>
    </row>
    <row r="2846" spans="1:49" ht="15" customHeight="1" x14ac:dyDescent="0.25">
      <c r="A2846" s="21">
        <v>27364</v>
      </c>
      <c r="B2846" s="22" t="s">
        <v>21</v>
      </c>
      <c r="C2846" s="22" t="s">
        <v>5504</v>
      </c>
      <c r="D2846" s="22" t="s">
        <v>5537</v>
      </c>
      <c r="E2846" s="22" t="s">
        <v>5538</v>
      </c>
      <c r="F2846" s="22">
        <v>36.380712000000003</v>
      </c>
      <c r="G2846" s="22">
        <v>41.714356000000002</v>
      </c>
      <c r="H2846" s="21" t="s">
        <v>5198</v>
      </c>
      <c r="I2846" s="21" t="s">
        <v>5507</v>
      </c>
      <c r="J2846" s="21"/>
      <c r="K2846" s="24">
        <v>63</v>
      </c>
      <c r="L2846" s="24">
        <v>378</v>
      </c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63</v>
      </c>
      <c r="Z2846" s="23"/>
      <c r="AA2846" s="23"/>
      <c r="AB2846" s="23"/>
      <c r="AC2846" s="23"/>
      <c r="AD2846" s="23"/>
      <c r="AE2846" s="23"/>
      <c r="AF2846" s="23">
        <v>13</v>
      </c>
      <c r="AG2846" s="23"/>
      <c r="AH2846" s="23">
        <v>50</v>
      </c>
      <c r="AI2846" s="23"/>
      <c r="AJ2846" s="23"/>
      <c r="AK2846" s="23"/>
      <c r="AL2846" s="23"/>
      <c r="AM2846" s="23"/>
      <c r="AN2846" s="23"/>
      <c r="AO2846" s="23"/>
      <c r="AP2846" s="23"/>
      <c r="AQ2846" s="23">
        <v>63</v>
      </c>
      <c r="AR2846" s="23"/>
      <c r="AS2846" s="23"/>
      <c r="AT2846" s="23"/>
      <c r="AU2846" s="14" t="str">
        <f>HYPERLINK("http://www.openstreetmap.org/?mlat=36.3807&amp;mlon=41.7144&amp;zoom=12#map=12/36.3807/41.7144","Maplink1")</f>
        <v>Maplink1</v>
      </c>
      <c r="AV2846" s="14" t="str">
        <f>HYPERLINK("https://www.google.iq/maps/search/+36.3807,41.7144/@36.3807,41.7144,14z?hl=en","Maplink2")</f>
        <v>Maplink2</v>
      </c>
      <c r="AW2846" s="14" t="str">
        <f>HYPERLINK("http://www.bing.com/maps/?lvl=14&amp;sty=h&amp;cp=36.3807~41.7144&amp;sp=point.36.3807_41.7144_Melik","Maplink3")</f>
        <v>Maplink3</v>
      </c>
    </row>
    <row r="2847" spans="1:49" ht="15" customHeight="1" x14ac:dyDescent="0.25">
      <c r="A2847" s="21">
        <v>27363</v>
      </c>
      <c r="B2847" s="22" t="s">
        <v>21</v>
      </c>
      <c r="C2847" s="22" t="s">
        <v>5504</v>
      </c>
      <c r="D2847" s="22" t="s">
        <v>5539</v>
      </c>
      <c r="E2847" s="22" t="s">
        <v>5540</v>
      </c>
      <c r="F2847" s="22">
        <v>36.429828000000001</v>
      </c>
      <c r="G2847" s="22">
        <v>41.929850000000002</v>
      </c>
      <c r="H2847" s="21" t="s">
        <v>5198</v>
      </c>
      <c r="I2847" s="21" t="s">
        <v>5507</v>
      </c>
      <c r="J2847" s="21"/>
      <c r="K2847" s="24">
        <v>26</v>
      </c>
      <c r="L2847" s="24">
        <v>156</v>
      </c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>
        <v>26</v>
      </c>
      <c r="Z2847" s="23"/>
      <c r="AA2847" s="23"/>
      <c r="AB2847" s="23"/>
      <c r="AC2847" s="23"/>
      <c r="AD2847" s="23"/>
      <c r="AE2847" s="23"/>
      <c r="AF2847" s="23">
        <v>26</v>
      </c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>
        <v>26</v>
      </c>
      <c r="AR2847" s="23"/>
      <c r="AS2847" s="23"/>
      <c r="AT2847" s="23"/>
      <c r="AU2847" s="14" t="str">
        <f>HYPERLINK("http://www.openstreetmap.org/?mlat=36.4298&amp;mlon=41.9299&amp;zoom=12#map=12/36.4298/41.9299","Maplink1")</f>
        <v>Maplink1</v>
      </c>
      <c r="AV2847" s="14" t="str">
        <f>HYPERLINK("https://www.google.iq/maps/search/+36.4298,41.9299/@36.4298,41.9299,14z?hl=en","Maplink2")</f>
        <v>Maplink2</v>
      </c>
      <c r="AW2847" s="14" t="str">
        <f>HYPERLINK("http://www.bing.com/maps/?lvl=14&amp;sty=h&amp;cp=36.4298~41.9299&amp;sp=point.36.4298_41.9299_Osiva","Maplink3")</f>
        <v>Maplink3</v>
      </c>
    </row>
    <row r="2848" spans="1:49" ht="15" customHeight="1" x14ac:dyDescent="0.25">
      <c r="A2848" s="21">
        <v>17694</v>
      </c>
      <c r="B2848" s="22" t="s">
        <v>21</v>
      </c>
      <c r="C2848" s="22" t="s">
        <v>5504</v>
      </c>
      <c r="D2848" s="22" t="s">
        <v>5541</v>
      </c>
      <c r="E2848" s="22" t="s">
        <v>5542</v>
      </c>
      <c r="F2848" s="22">
        <v>36.446843999999999</v>
      </c>
      <c r="G2848" s="22">
        <v>41.754300000000001</v>
      </c>
      <c r="H2848" s="21" t="s">
        <v>5198</v>
      </c>
      <c r="I2848" s="21" t="s">
        <v>5507</v>
      </c>
      <c r="J2848" s="21" t="s">
        <v>5543</v>
      </c>
      <c r="K2848" s="24">
        <v>8</v>
      </c>
      <c r="L2848" s="24">
        <v>48</v>
      </c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8</v>
      </c>
      <c r="Z2848" s="23"/>
      <c r="AA2848" s="23"/>
      <c r="AB2848" s="23"/>
      <c r="AC2848" s="23"/>
      <c r="AD2848" s="23"/>
      <c r="AE2848" s="23"/>
      <c r="AF2848" s="23">
        <v>8</v>
      </c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>
        <v>8</v>
      </c>
      <c r="AR2848" s="23"/>
      <c r="AS2848" s="23"/>
      <c r="AT2848" s="23"/>
      <c r="AU2848" s="14" t="str">
        <f>HYPERLINK("http://www.openstreetmap.org/?mlat=36.4468&amp;mlon=41.7543&amp;zoom=12#map=12/36.4468/41.7543","Maplink1")</f>
        <v>Maplink1</v>
      </c>
      <c r="AV2848" s="14" t="str">
        <f>HYPERLINK("https://www.google.iq/maps/search/+36.4468,41.7543/@36.4468,41.7543,14z?hl=en","Maplink2")</f>
        <v>Maplink2</v>
      </c>
      <c r="AW2848" s="14" t="str">
        <f>HYPERLINK("http://www.bing.com/maps/?lvl=14&amp;sty=h&amp;cp=36.4468~41.7543&amp;sp=point.36.4468_41.7543_Quwasi","Maplink3")</f>
        <v>Maplink3</v>
      </c>
    </row>
    <row r="2849" spans="1:49" ht="15" customHeight="1" x14ac:dyDescent="0.25">
      <c r="A2849" s="21">
        <v>27362</v>
      </c>
      <c r="B2849" s="22" t="s">
        <v>21</v>
      </c>
      <c r="C2849" s="22" t="s">
        <v>5504</v>
      </c>
      <c r="D2849" s="22" t="s">
        <v>5544</v>
      </c>
      <c r="E2849" s="22" t="s">
        <v>5545</v>
      </c>
      <c r="F2849" s="22">
        <v>36.394219999999997</v>
      </c>
      <c r="G2849" s="22">
        <v>41.819961999999997</v>
      </c>
      <c r="H2849" s="21" t="s">
        <v>5198</v>
      </c>
      <c r="I2849" s="21" t="s">
        <v>5507</v>
      </c>
      <c r="J2849" s="21"/>
      <c r="K2849" s="24">
        <v>179</v>
      </c>
      <c r="L2849" s="24">
        <v>1074</v>
      </c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179</v>
      </c>
      <c r="Z2849" s="23"/>
      <c r="AA2849" s="23"/>
      <c r="AB2849" s="23"/>
      <c r="AC2849" s="23"/>
      <c r="AD2849" s="23"/>
      <c r="AE2849" s="23"/>
      <c r="AF2849" s="23">
        <v>2</v>
      </c>
      <c r="AG2849" s="23"/>
      <c r="AH2849" s="23">
        <v>177</v>
      </c>
      <c r="AI2849" s="23"/>
      <c r="AJ2849" s="23"/>
      <c r="AK2849" s="23"/>
      <c r="AL2849" s="23"/>
      <c r="AM2849" s="23"/>
      <c r="AN2849" s="23"/>
      <c r="AO2849" s="23"/>
      <c r="AP2849" s="23"/>
      <c r="AQ2849" s="23">
        <v>179</v>
      </c>
      <c r="AR2849" s="23"/>
      <c r="AS2849" s="23"/>
      <c r="AT2849" s="23"/>
      <c r="AU2849" s="14" t="str">
        <f>HYPERLINK("http://www.openstreetmap.org/?mlat=36.3942&amp;mlon=41.82&amp;zoom=12#map=12/36.3942/41.82","Maplink1")</f>
        <v>Maplink1</v>
      </c>
      <c r="AV2849" s="14" t="str">
        <f>HYPERLINK("https://www.google.iq/maps/search/+36.3942,41.82/@36.3942,41.82,14z?hl=en","Maplink2")</f>
        <v>Maplink2</v>
      </c>
      <c r="AW2849" s="14" t="str">
        <f>HYPERLINK("http://www.bing.com/maps/?lvl=14&amp;sty=h&amp;cp=36.3942~41.82&amp;sp=point.36.3942_41.82_Sardashty","Maplink3")</f>
        <v>Maplink3</v>
      </c>
    </row>
    <row r="2850" spans="1:49" ht="15" customHeight="1" x14ac:dyDescent="0.25">
      <c r="A2850" s="21">
        <v>27359</v>
      </c>
      <c r="B2850" s="22" t="s">
        <v>21</v>
      </c>
      <c r="C2850" s="22" t="s">
        <v>5504</v>
      </c>
      <c r="D2850" s="22" t="s">
        <v>5546</v>
      </c>
      <c r="E2850" s="22" t="s">
        <v>5547</v>
      </c>
      <c r="F2850" s="22">
        <v>36.377749999999999</v>
      </c>
      <c r="G2850" s="22">
        <v>41.698332999999998</v>
      </c>
      <c r="H2850" s="21" t="s">
        <v>5198</v>
      </c>
      <c r="I2850" s="21" t="s">
        <v>5507</v>
      </c>
      <c r="J2850" s="21"/>
      <c r="K2850" s="24">
        <v>31</v>
      </c>
      <c r="L2850" s="24">
        <v>186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31</v>
      </c>
      <c r="Z2850" s="23"/>
      <c r="AA2850" s="23"/>
      <c r="AB2850" s="23"/>
      <c r="AC2850" s="23"/>
      <c r="AD2850" s="23"/>
      <c r="AE2850" s="23"/>
      <c r="AF2850" s="23">
        <v>5</v>
      </c>
      <c r="AG2850" s="23"/>
      <c r="AH2850" s="23">
        <v>26</v>
      </c>
      <c r="AI2850" s="23"/>
      <c r="AJ2850" s="23"/>
      <c r="AK2850" s="23"/>
      <c r="AL2850" s="23"/>
      <c r="AM2850" s="23"/>
      <c r="AN2850" s="23"/>
      <c r="AO2850" s="23"/>
      <c r="AP2850" s="23"/>
      <c r="AQ2850" s="23">
        <v>31</v>
      </c>
      <c r="AR2850" s="23"/>
      <c r="AS2850" s="23"/>
      <c r="AT2850" s="23"/>
      <c r="AU2850" s="14" t="str">
        <f>HYPERLINK("http://www.openstreetmap.org/?mlat=36.3777&amp;mlon=41.6983&amp;zoom=12#map=12/36.3777/41.6983","Maplink1")</f>
        <v>Maplink1</v>
      </c>
      <c r="AV2850" s="14" t="str">
        <f>HYPERLINK("https://www.google.iq/maps/search/+36.3777,41.6983/@36.3777,41.6983,14z?hl=en","Maplink2")</f>
        <v>Maplink2</v>
      </c>
      <c r="AW2850" s="14" t="str">
        <f>HYPERLINK("http://www.bing.com/maps/?lvl=14&amp;sty=h&amp;cp=36.3777~41.6983&amp;sp=point.36.3777_41.6983_Semi-Hester","Maplink3")</f>
        <v>Maplink3</v>
      </c>
    </row>
    <row r="2851" spans="1:49" ht="15" customHeight="1" x14ac:dyDescent="0.25">
      <c r="A2851" s="21">
        <v>27399</v>
      </c>
      <c r="B2851" s="22" t="s">
        <v>21</v>
      </c>
      <c r="C2851" s="22" t="s">
        <v>5504</v>
      </c>
      <c r="D2851" s="22" t="s">
        <v>5548</v>
      </c>
      <c r="E2851" s="22" t="s">
        <v>5549</v>
      </c>
      <c r="F2851" s="22">
        <v>36.428393</v>
      </c>
      <c r="G2851" s="22">
        <v>41.869135</v>
      </c>
      <c r="H2851" s="21" t="s">
        <v>5198</v>
      </c>
      <c r="I2851" s="21" t="s">
        <v>5507</v>
      </c>
      <c r="J2851" s="21"/>
      <c r="K2851" s="24">
        <v>50</v>
      </c>
      <c r="L2851" s="24">
        <v>300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50</v>
      </c>
      <c r="Z2851" s="23"/>
      <c r="AA2851" s="23"/>
      <c r="AB2851" s="23"/>
      <c r="AC2851" s="23"/>
      <c r="AD2851" s="23"/>
      <c r="AE2851" s="23"/>
      <c r="AF2851" s="23">
        <v>10</v>
      </c>
      <c r="AG2851" s="23"/>
      <c r="AH2851" s="23">
        <v>40</v>
      </c>
      <c r="AI2851" s="23"/>
      <c r="AJ2851" s="23"/>
      <c r="AK2851" s="23"/>
      <c r="AL2851" s="23"/>
      <c r="AM2851" s="23"/>
      <c r="AN2851" s="23"/>
      <c r="AO2851" s="23"/>
      <c r="AP2851" s="23"/>
      <c r="AQ2851" s="23">
        <v>50</v>
      </c>
      <c r="AR2851" s="23"/>
      <c r="AS2851" s="23"/>
      <c r="AT2851" s="23"/>
      <c r="AU2851" s="14" t="str">
        <f>HYPERLINK("http://www.openstreetmap.org/?mlat=36.4284&amp;mlon=41.8691&amp;zoom=12#map=12/36.4284/41.8691","Maplink1")</f>
        <v>Maplink1</v>
      </c>
      <c r="AV2851" s="14" t="str">
        <f>HYPERLINK("https://www.google.iq/maps/search/+36.4284,41.8691/@36.4284,41.8691,14z?hl=en","Maplink2")</f>
        <v>Maplink2</v>
      </c>
      <c r="AW2851" s="14" t="str">
        <f>HYPERLINK("http://www.bing.com/maps/?lvl=14&amp;sty=h&amp;cp=36.4284~41.8691&amp;sp=point.36.4284_41.8691_Sharaf Alddin","Maplink3")</f>
        <v>Maplink3</v>
      </c>
    </row>
    <row r="2852" spans="1:49" ht="15" customHeight="1" x14ac:dyDescent="0.25">
      <c r="A2852" s="21">
        <v>27400</v>
      </c>
      <c r="B2852" s="22" t="s">
        <v>21</v>
      </c>
      <c r="C2852" s="22" t="s">
        <v>5504</v>
      </c>
      <c r="D2852" s="22" t="s">
        <v>5550</v>
      </c>
      <c r="E2852" s="22" t="s">
        <v>5551</v>
      </c>
      <c r="F2852" s="22">
        <v>36.380782000000004</v>
      </c>
      <c r="G2852" s="22">
        <v>41.713853999999998</v>
      </c>
      <c r="H2852" s="21" t="s">
        <v>5198</v>
      </c>
      <c r="I2852" s="21" t="s">
        <v>5507</v>
      </c>
      <c r="J2852" s="21"/>
      <c r="K2852" s="24">
        <v>11</v>
      </c>
      <c r="L2852" s="24">
        <v>66</v>
      </c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11</v>
      </c>
      <c r="Z2852" s="23"/>
      <c r="AA2852" s="23"/>
      <c r="AB2852" s="23"/>
      <c r="AC2852" s="23"/>
      <c r="AD2852" s="23"/>
      <c r="AE2852" s="23"/>
      <c r="AF2852" s="23">
        <v>11</v>
      </c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>
        <v>11</v>
      </c>
      <c r="AR2852" s="23"/>
      <c r="AS2852" s="23"/>
      <c r="AT2852" s="23"/>
      <c r="AU2852" s="14" t="str">
        <f>HYPERLINK("http://www.openstreetmap.org/?mlat=36.3808&amp;mlon=41.7139&amp;zoom=12#map=12/36.3808/41.7139","Maplink1")</f>
        <v>Maplink1</v>
      </c>
      <c r="AV2852" s="14" t="str">
        <f>HYPERLINK("https://www.google.iq/maps/search/+36.3808,41.7139/@36.3808,41.7139,14z?hl=en","Maplink2")</f>
        <v>Maplink2</v>
      </c>
      <c r="AW2852" s="14" t="str">
        <f>HYPERLINK("http://www.bing.com/maps/?lvl=14&amp;sty=h&amp;cp=36.3808~41.7139&amp;sp=point.36.3808_41.7139_Shyebl Qasim","Maplink3")</f>
        <v>Maplink3</v>
      </c>
    </row>
    <row r="2853" spans="1:49" ht="15" customHeight="1" x14ac:dyDescent="0.25">
      <c r="A2853" s="21">
        <v>17928</v>
      </c>
      <c r="B2853" s="22" t="s">
        <v>21</v>
      </c>
      <c r="C2853" s="22" t="s">
        <v>5504</v>
      </c>
      <c r="D2853" s="22" t="s">
        <v>5552</v>
      </c>
      <c r="E2853" s="22" t="s">
        <v>5553</v>
      </c>
      <c r="F2853" s="22">
        <v>36.467568999999997</v>
      </c>
      <c r="G2853" s="22">
        <v>41.708775000000003</v>
      </c>
      <c r="H2853" s="21" t="s">
        <v>5198</v>
      </c>
      <c r="I2853" s="21" t="s">
        <v>5507</v>
      </c>
      <c r="J2853" s="21" t="s">
        <v>5554</v>
      </c>
      <c r="K2853" s="24">
        <v>241</v>
      </c>
      <c r="L2853" s="24">
        <v>1446</v>
      </c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241</v>
      </c>
      <c r="Z2853" s="23"/>
      <c r="AA2853" s="23"/>
      <c r="AB2853" s="23"/>
      <c r="AC2853" s="23"/>
      <c r="AD2853" s="23"/>
      <c r="AE2853" s="23"/>
      <c r="AF2853" s="23">
        <v>241</v>
      </c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>
        <v>241</v>
      </c>
      <c r="AR2853" s="23"/>
      <c r="AS2853" s="23"/>
      <c r="AT2853" s="23"/>
      <c r="AU2853" s="14" t="str">
        <f>HYPERLINK("http://www.openstreetmap.org/?mlat=36.4676&amp;mlon=41.7088&amp;zoom=12#map=12/36.4676/41.7088","Maplink1")</f>
        <v>Maplink1</v>
      </c>
      <c r="AV2853" s="14" t="str">
        <f>HYPERLINK("https://www.google.iq/maps/search/+36.4676,41.7088/@36.4676,41.7088,14z?hl=en","Maplink2")</f>
        <v>Maplink2</v>
      </c>
      <c r="AW2853" s="14" t="str">
        <f>HYPERLINK("http://www.bing.com/maps/?lvl=14&amp;sty=h&amp;cp=36.4676~41.7088&amp;sp=point.36.4676_41.7088_Sinuni center","Maplink3")</f>
        <v>Maplink3</v>
      </c>
    </row>
    <row r="2854" spans="1:49" ht="15" customHeight="1" x14ac:dyDescent="0.25">
      <c r="A2854" s="21">
        <v>29481</v>
      </c>
      <c r="B2854" s="22" t="s">
        <v>21</v>
      </c>
      <c r="C2854" s="22" t="s">
        <v>5504</v>
      </c>
      <c r="D2854" s="22" t="s">
        <v>5555</v>
      </c>
      <c r="E2854" s="22" t="s">
        <v>5556</v>
      </c>
      <c r="F2854" s="22">
        <v>36.530673</v>
      </c>
      <c r="G2854" s="22">
        <v>41.673617</v>
      </c>
      <c r="H2854" s="21" t="s">
        <v>5198</v>
      </c>
      <c r="I2854" s="21" t="s">
        <v>5507</v>
      </c>
      <c r="J2854" s="21"/>
      <c r="K2854" s="24">
        <v>4</v>
      </c>
      <c r="L2854" s="24">
        <v>24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4</v>
      </c>
      <c r="Z2854" s="23"/>
      <c r="AA2854" s="23"/>
      <c r="AB2854" s="23"/>
      <c r="AC2854" s="23"/>
      <c r="AD2854" s="23"/>
      <c r="AE2854" s="23"/>
      <c r="AF2854" s="23">
        <v>4</v>
      </c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>
        <v>4</v>
      </c>
      <c r="AR2854" s="23"/>
      <c r="AS2854" s="23"/>
      <c r="AT2854" s="23"/>
      <c r="AU2854" s="14" t="str">
        <f>HYPERLINK("http://www.openstreetmap.org/?mlat=36.5307&amp;mlon=41.6736&amp;zoom=12#map=12/36.5307/41.6736","Maplink1")</f>
        <v>Maplink1</v>
      </c>
      <c r="AV2854" s="14" t="str">
        <f>HYPERLINK("https://www.google.iq/maps/search/+36.5307,41.6736/@36.5307,41.6736,14z?hl=en","Maplink2")</f>
        <v>Maplink2</v>
      </c>
      <c r="AW2854" s="14" t="str">
        <f>HYPERLINK("http://www.bing.com/maps/?lvl=14&amp;sty=h&amp;cp=36.5307~41.6736&amp;sp=point.36.5307_41.6736_Al Angaa","Maplink3")</f>
        <v>Maplink3</v>
      </c>
    </row>
    <row r="2855" spans="1:49" ht="15" customHeight="1" x14ac:dyDescent="0.25">
      <c r="A2855" s="21">
        <v>27361</v>
      </c>
      <c r="B2855" s="22" t="s">
        <v>21</v>
      </c>
      <c r="C2855" s="22" t="s">
        <v>5504</v>
      </c>
      <c r="D2855" s="22" t="s">
        <v>5557</v>
      </c>
      <c r="E2855" s="22" t="s">
        <v>5558</v>
      </c>
      <c r="F2855" s="22">
        <v>36.397239999999996</v>
      </c>
      <c r="G2855" s="22">
        <v>41.797674000000001</v>
      </c>
      <c r="H2855" s="21" t="s">
        <v>5198</v>
      </c>
      <c r="I2855" s="21" t="s">
        <v>5507</v>
      </c>
      <c r="J2855" s="21"/>
      <c r="K2855" s="24">
        <v>367</v>
      </c>
      <c r="L2855" s="24">
        <v>2202</v>
      </c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367</v>
      </c>
      <c r="Z2855" s="23"/>
      <c r="AA2855" s="23"/>
      <c r="AB2855" s="23"/>
      <c r="AC2855" s="23"/>
      <c r="AD2855" s="23"/>
      <c r="AE2855" s="23"/>
      <c r="AF2855" s="23">
        <v>1</v>
      </c>
      <c r="AG2855" s="23"/>
      <c r="AH2855" s="23">
        <v>366</v>
      </c>
      <c r="AI2855" s="23"/>
      <c r="AJ2855" s="23"/>
      <c r="AK2855" s="23"/>
      <c r="AL2855" s="23"/>
      <c r="AM2855" s="23"/>
      <c r="AN2855" s="23"/>
      <c r="AO2855" s="23"/>
      <c r="AP2855" s="23"/>
      <c r="AQ2855" s="23">
        <v>367</v>
      </c>
      <c r="AR2855" s="23"/>
      <c r="AS2855" s="23"/>
      <c r="AT2855" s="23"/>
      <c r="AU2855" s="14" t="str">
        <f>HYPERLINK("http://www.openstreetmap.org/?mlat=36.3972&amp;mlon=41.7977&amp;zoom=12#map=12/36.3972/41.7977","Maplink1")</f>
        <v>Maplink1</v>
      </c>
      <c r="AV2855" s="14" t="str">
        <f>HYPERLINK("https://www.google.iq/maps/search/+36.3972,41.7977/@36.3972,41.7977,14z?hl=en","Maplink2")</f>
        <v>Maplink2</v>
      </c>
      <c r="AW2855" s="14" t="str">
        <f>HYPERLINK("http://www.bing.com/maps/?lvl=14&amp;sty=h&amp;cp=36.3972~41.7977&amp;sp=point.36.3972_41.7977_Wary Bahdo","Maplink3")</f>
        <v>Maplink3</v>
      </c>
    </row>
    <row r="2856" spans="1:49" ht="15" customHeight="1" x14ac:dyDescent="0.25">
      <c r="A2856" s="21">
        <v>27287</v>
      </c>
      <c r="B2856" s="22" t="s">
        <v>21</v>
      </c>
      <c r="C2856" s="22" t="s">
        <v>5504</v>
      </c>
      <c r="D2856" s="22" t="s">
        <v>5559</v>
      </c>
      <c r="E2856" s="22" t="s">
        <v>5560</v>
      </c>
      <c r="F2856" s="22">
        <v>36.477305999999999</v>
      </c>
      <c r="G2856" s="22">
        <v>42.017657999999997</v>
      </c>
      <c r="H2856" s="21" t="s">
        <v>5198</v>
      </c>
      <c r="I2856" s="21" t="s">
        <v>5507</v>
      </c>
      <c r="J2856" s="21"/>
      <c r="K2856" s="24">
        <v>5</v>
      </c>
      <c r="L2856" s="24">
        <v>30</v>
      </c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5</v>
      </c>
      <c r="Z2856" s="23"/>
      <c r="AA2856" s="23"/>
      <c r="AB2856" s="23"/>
      <c r="AC2856" s="23"/>
      <c r="AD2856" s="23"/>
      <c r="AE2856" s="23"/>
      <c r="AF2856" s="23">
        <v>5</v>
      </c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>
        <v>5</v>
      </c>
      <c r="AR2856" s="23"/>
      <c r="AS2856" s="23"/>
      <c r="AT2856" s="23"/>
      <c r="AU2856" s="14" t="str">
        <f>HYPERLINK("http://www.openstreetmap.org/?mlat=36.4773&amp;mlon=42.0177&amp;zoom=12#map=12/36.4773/42.0177","Maplink1")</f>
        <v>Maplink1</v>
      </c>
      <c r="AV2856" s="14" t="str">
        <f>HYPERLINK("https://www.google.iq/maps/search/+36.4773,42.0177/@36.4773,42.0177,14z?hl=en","Maplink2")</f>
        <v>Maplink2</v>
      </c>
      <c r="AW2856" s="14" t="str">
        <f>HYPERLINK("http://www.bing.com/maps/?lvl=14&amp;sty=h&amp;cp=36.4773~42.0177&amp;sp=point.36.4773_42.0177","Maplink3")</f>
        <v>Maplink3</v>
      </c>
    </row>
    <row r="2857" spans="1:49" ht="15" customHeight="1" x14ac:dyDescent="0.25">
      <c r="A2857" s="21">
        <v>29609</v>
      </c>
      <c r="B2857" s="22" t="s">
        <v>21</v>
      </c>
      <c r="C2857" s="22" t="s">
        <v>5561</v>
      </c>
      <c r="D2857" s="22" t="s">
        <v>8299</v>
      </c>
      <c r="E2857" s="22" t="s">
        <v>8300</v>
      </c>
      <c r="F2857" s="22">
        <v>36.586765</v>
      </c>
      <c r="G2857" s="22">
        <v>42.292150999999997</v>
      </c>
      <c r="H2857" s="21" t="s">
        <v>5198</v>
      </c>
      <c r="I2857" s="21" t="s">
        <v>5563</v>
      </c>
      <c r="J2857" s="21"/>
      <c r="K2857" s="24">
        <v>50</v>
      </c>
      <c r="L2857" s="24">
        <v>300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50</v>
      </c>
      <c r="Z2857" s="23"/>
      <c r="AA2857" s="23"/>
      <c r="AB2857" s="23"/>
      <c r="AC2857" s="23"/>
      <c r="AD2857" s="23"/>
      <c r="AE2857" s="23"/>
      <c r="AF2857" s="23">
        <v>30</v>
      </c>
      <c r="AG2857" s="23"/>
      <c r="AH2857" s="23"/>
      <c r="AI2857" s="23">
        <v>10</v>
      </c>
      <c r="AJ2857" s="23"/>
      <c r="AK2857" s="23"/>
      <c r="AL2857" s="23"/>
      <c r="AM2857" s="23">
        <v>10</v>
      </c>
      <c r="AN2857" s="23"/>
      <c r="AO2857" s="23"/>
      <c r="AP2857" s="23"/>
      <c r="AQ2857" s="23"/>
      <c r="AR2857" s="23">
        <v>20</v>
      </c>
      <c r="AS2857" s="23">
        <v>30</v>
      </c>
      <c r="AT2857" s="23"/>
      <c r="AU2857" s="14" t="str">
        <f>HYPERLINK("http://www.openstreetmap.org/?mlat=36.5868&amp;mlon=42.2922&amp;zoom=12#map=12/36.5868/42.2922","Maplink1")</f>
        <v>Maplink1</v>
      </c>
      <c r="AV2857" s="14" t="str">
        <f>HYPERLINK("https://www.google.iq/maps/search/+36.5868,42.2922/@36.5868,42.2922,14z?hl=en","Maplink2")</f>
        <v>Maplink2</v>
      </c>
      <c r="AW2857" s="14" t="str">
        <f>HYPERLINK("http://www.bing.com/maps/?lvl=14&amp;sty=h&amp;cp=36.5868~42.2922&amp;sp=point.36.5868_42.2922","Maplink3")</f>
        <v>Maplink3</v>
      </c>
    </row>
    <row r="2858" spans="1:49" ht="15" customHeight="1" x14ac:dyDescent="0.25">
      <c r="A2858" s="21">
        <v>17657</v>
      </c>
      <c r="B2858" s="22" t="s">
        <v>21</v>
      </c>
      <c r="C2858" s="22" t="s">
        <v>5561</v>
      </c>
      <c r="D2858" s="22" t="s">
        <v>8301</v>
      </c>
      <c r="E2858" s="22" t="s">
        <v>5562</v>
      </c>
      <c r="F2858" s="22">
        <v>36.758319999999998</v>
      </c>
      <c r="G2858" s="22">
        <v>42.208589000000003</v>
      </c>
      <c r="H2858" s="21" t="s">
        <v>5198</v>
      </c>
      <c r="I2858" s="21" t="s">
        <v>5563</v>
      </c>
      <c r="J2858" s="21" t="s">
        <v>5564</v>
      </c>
      <c r="K2858" s="24">
        <v>14</v>
      </c>
      <c r="L2858" s="24">
        <v>84</v>
      </c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>
        <v>14</v>
      </c>
      <c r="Z2858" s="23"/>
      <c r="AA2858" s="23"/>
      <c r="AB2858" s="23"/>
      <c r="AC2858" s="23"/>
      <c r="AD2858" s="23"/>
      <c r="AE2858" s="23"/>
      <c r="AF2858" s="23">
        <v>14</v>
      </c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>
        <v>14</v>
      </c>
      <c r="AS2858" s="23"/>
      <c r="AT2858" s="23"/>
      <c r="AU2858" s="14" t="str">
        <f>HYPERLINK("http://www.openstreetmap.org/?mlat=36.7583&amp;mlon=42.2086&amp;zoom=12#map=12/36.7583/42.2086","Maplink1")</f>
        <v>Maplink1</v>
      </c>
      <c r="AV2858" s="14" t="str">
        <f>HYPERLINK("https://www.google.iq/maps/search/+36.7583,42.2086/@36.7583,42.2086,14z?hl=en","Maplink2")</f>
        <v>Maplink2</v>
      </c>
      <c r="AW2858" s="14" t="str">
        <f>HYPERLINK("http://www.bing.com/maps/?lvl=14&amp;sty=h&amp;cp=36.7583~42.2086&amp;sp=point.36.7583_42.2086_Al Angaa","Maplink3")</f>
        <v>Maplink3</v>
      </c>
    </row>
    <row r="2859" spans="1:49" ht="15" customHeight="1" x14ac:dyDescent="0.25">
      <c r="A2859" s="21">
        <v>18262</v>
      </c>
      <c r="B2859" s="22" t="s">
        <v>21</v>
      </c>
      <c r="C2859" s="22" t="s">
        <v>5561</v>
      </c>
      <c r="D2859" s="22" t="s">
        <v>5568</v>
      </c>
      <c r="E2859" s="22" t="s">
        <v>8997</v>
      </c>
      <c r="F2859" s="22">
        <v>36.745064999999997</v>
      </c>
      <c r="G2859" s="22">
        <v>42.202821</v>
      </c>
      <c r="H2859" s="21" t="s">
        <v>5198</v>
      </c>
      <c r="I2859" s="21" t="s">
        <v>5563</v>
      </c>
      <c r="J2859" s="21" t="s">
        <v>5569</v>
      </c>
      <c r="K2859" s="24">
        <v>60</v>
      </c>
      <c r="L2859" s="24">
        <v>360</v>
      </c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60</v>
      </c>
      <c r="Z2859" s="23"/>
      <c r="AA2859" s="23"/>
      <c r="AB2859" s="23"/>
      <c r="AC2859" s="23"/>
      <c r="AD2859" s="23"/>
      <c r="AE2859" s="23"/>
      <c r="AF2859" s="23">
        <v>60</v>
      </c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>
        <v>42</v>
      </c>
      <c r="AS2859" s="23">
        <v>13</v>
      </c>
      <c r="AT2859" s="23">
        <v>5</v>
      </c>
      <c r="AU2859" s="14" t="str">
        <f>HYPERLINK("http://www.openstreetmap.org/?mlat=36.7451&amp;mlon=42.2028&amp;zoom=12#map=12/36.7451/42.2028","Maplink1")</f>
        <v>Maplink1</v>
      </c>
      <c r="AV2859" s="14" t="str">
        <f>HYPERLINK("https://www.google.iq/maps/search/+36.7451,42.2028/@36.7451,42.2028,14z?hl=en","Maplink2")</f>
        <v>Maplink2</v>
      </c>
      <c r="AW2859" s="14" t="str">
        <f>HYPERLINK("http://www.bing.com/maps/?lvl=14&amp;sty=h&amp;cp=36.7451~42.2028&amp;sp=point.36.7451_42.2028_abu khushub","Maplink3")</f>
        <v>Maplink3</v>
      </c>
    </row>
    <row r="2860" spans="1:49" ht="15" customHeight="1" x14ac:dyDescent="0.25">
      <c r="A2860" s="21">
        <v>17486</v>
      </c>
      <c r="B2860" s="22" t="s">
        <v>21</v>
      </c>
      <c r="C2860" s="22" t="s">
        <v>5561</v>
      </c>
      <c r="D2860" s="22" t="s">
        <v>5570</v>
      </c>
      <c r="E2860" s="22" t="s">
        <v>5571</v>
      </c>
      <c r="F2860" s="22">
        <v>36.42</v>
      </c>
      <c r="G2860" s="22">
        <v>42.59</v>
      </c>
      <c r="H2860" s="21" t="s">
        <v>5198</v>
      </c>
      <c r="I2860" s="21" t="s">
        <v>5563</v>
      </c>
      <c r="J2860" s="21" t="s">
        <v>5572</v>
      </c>
      <c r="K2860" s="24">
        <v>163</v>
      </c>
      <c r="L2860" s="24">
        <v>978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163</v>
      </c>
      <c r="Z2860" s="23"/>
      <c r="AA2860" s="23"/>
      <c r="AB2860" s="23"/>
      <c r="AC2860" s="23"/>
      <c r="AD2860" s="23"/>
      <c r="AE2860" s="23"/>
      <c r="AF2860" s="23">
        <v>155</v>
      </c>
      <c r="AG2860" s="23"/>
      <c r="AH2860" s="23"/>
      <c r="AI2860" s="23"/>
      <c r="AJ2860" s="23"/>
      <c r="AK2860" s="23">
        <v>8</v>
      </c>
      <c r="AL2860" s="23"/>
      <c r="AM2860" s="23"/>
      <c r="AN2860" s="23"/>
      <c r="AO2860" s="23"/>
      <c r="AP2860" s="23"/>
      <c r="AQ2860" s="23"/>
      <c r="AR2860" s="23">
        <v>155</v>
      </c>
      <c r="AS2860" s="23">
        <v>8</v>
      </c>
      <c r="AT2860" s="23"/>
      <c r="AU2860" s="14" t="str">
        <f>HYPERLINK("http://www.openstreetmap.org/?mlat=36.42&amp;mlon=42.59&amp;zoom=12#map=12/36.42/42.59","Maplink1")</f>
        <v>Maplink1</v>
      </c>
      <c r="AV2860" s="14" t="str">
        <f>HYPERLINK("https://www.google.iq/maps/search/+36.42,42.59/@36.42,42.59,14z?hl=en","Maplink2")</f>
        <v>Maplink2</v>
      </c>
      <c r="AW2860" s="14" t="str">
        <f>HYPERLINK("http://www.bing.com/maps/?lvl=14&amp;sty=h&amp;cp=36.42~42.59&amp;sp=point.36.42_42.59_Abu Mariya","Maplink3")</f>
        <v>Maplink3</v>
      </c>
    </row>
    <row r="2861" spans="1:49" ht="15" customHeight="1" x14ac:dyDescent="0.25">
      <c r="A2861" s="21">
        <v>27382</v>
      </c>
      <c r="B2861" s="22" t="s">
        <v>21</v>
      </c>
      <c r="C2861" s="22" t="s">
        <v>5561</v>
      </c>
      <c r="D2861" s="22" t="s">
        <v>5573</v>
      </c>
      <c r="E2861" s="22" t="s">
        <v>5574</v>
      </c>
      <c r="F2861" s="22">
        <v>36.619228999999997</v>
      </c>
      <c r="G2861" s="22">
        <v>42.461281999999997</v>
      </c>
      <c r="H2861" s="21" t="s">
        <v>5198</v>
      </c>
      <c r="I2861" s="21" t="s">
        <v>5563</v>
      </c>
      <c r="J2861" s="21"/>
      <c r="K2861" s="24">
        <v>225</v>
      </c>
      <c r="L2861" s="24">
        <v>1350</v>
      </c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225</v>
      </c>
      <c r="Z2861" s="23"/>
      <c r="AA2861" s="23"/>
      <c r="AB2861" s="23"/>
      <c r="AC2861" s="23"/>
      <c r="AD2861" s="23"/>
      <c r="AE2861" s="23"/>
      <c r="AF2861" s="23">
        <v>200</v>
      </c>
      <c r="AG2861" s="23"/>
      <c r="AH2861" s="23"/>
      <c r="AI2861" s="23"/>
      <c r="AJ2861" s="23"/>
      <c r="AK2861" s="23"/>
      <c r="AL2861" s="23"/>
      <c r="AM2861" s="23">
        <v>25</v>
      </c>
      <c r="AN2861" s="23"/>
      <c r="AO2861" s="23"/>
      <c r="AP2861" s="23"/>
      <c r="AQ2861" s="23">
        <v>48</v>
      </c>
      <c r="AR2861" s="23"/>
      <c r="AS2861" s="23">
        <v>177</v>
      </c>
      <c r="AT2861" s="23"/>
      <c r="AU2861" s="14" t="str">
        <f>HYPERLINK("http://www.openstreetmap.org/?mlat=36.6192&amp;mlon=42.4613&amp;zoom=12#map=12/36.6192/42.4613","Maplink1")</f>
        <v>Maplink1</v>
      </c>
      <c r="AV2861" s="14" t="str">
        <f>HYPERLINK("https://www.google.iq/maps/search/+36.6192,42.4613/@36.6192,42.4613,14z?hl=en","Maplink2")</f>
        <v>Maplink2</v>
      </c>
      <c r="AW2861" s="14" t="str">
        <f>HYPERLINK("http://www.bing.com/maps/?lvl=14&amp;sty=h&amp;cp=36.6192~42.4613&amp;sp=point.36.6192_42.4613_abu wni","Maplink3")</f>
        <v>Maplink3</v>
      </c>
    </row>
    <row r="2862" spans="1:49" ht="15" customHeight="1" x14ac:dyDescent="0.25">
      <c r="A2862" s="21">
        <v>17746</v>
      </c>
      <c r="B2862" s="22" t="s">
        <v>21</v>
      </c>
      <c r="C2862" s="22" t="s">
        <v>5561</v>
      </c>
      <c r="D2862" s="22" t="s">
        <v>7343</v>
      </c>
      <c r="E2862" s="22" t="s">
        <v>5575</v>
      </c>
      <c r="F2862" s="22">
        <v>36.6</v>
      </c>
      <c r="G2862" s="22">
        <v>42.62</v>
      </c>
      <c r="H2862" s="21" t="s">
        <v>5198</v>
      </c>
      <c r="I2862" s="21" t="s">
        <v>5563</v>
      </c>
      <c r="J2862" s="21" t="s">
        <v>5576</v>
      </c>
      <c r="K2862" s="24">
        <v>20</v>
      </c>
      <c r="L2862" s="24">
        <v>120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20</v>
      </c>
      <c r="Z2862" s="23"/>
      <c r="AA2862" s="23"/>
      <c r="AB2862" s="23"/>
      <c r="AC2862" s="23"/>
      <c r="AD2862" s="23"/>
      <c r="AE2862" s="23"/>
      <c r="AF2862" s="23">
        <v>20</v>
      </c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>
        <v>20</v>
      </c>
      <c r="AR2862" s="23"/>
      <c r="AS2862" s="23"/>
      <c r="AT2862" s="23"/>
      <c r="AU2862" s="14" t="str">
        <f>HYPERLINK("http://www.openstreetmap.org/?mlat=36.6&amp;mlon=42.62&amp;zoom=12#map=12/36.6/42.62","Maplink1")</f>
        <v>Maplink1</v>
      </c>
      <c r="AV2862" s="14" t="str">
        <f>HYPERLINK("https://www.google.iq/maps/search/+36.6,42.62/@36.6,42.62,14z?hl=en","Maplink2")</f>
        <v>Maplink2</v>
      </c>
      <c r="AW2862" s="14" t="str">
        <f>HYPERLINK("http://www.bing.com/maps/?lvl=14&amp;sty=h&amp;cp=36.6~42.62&amp;sp=point.36.6_42.62_Ain hilwa upper village","Maplink3")</f>
        <v>Maplink3</v>
      </c>
    </row>
    <row r="2863" spans="1:49" ht="15" customHeight="1" x14ac:dyDescent="0.25">
      <c r="A2863" s="21">
        <v>17728</v>
      </c>
      <c r="B2863" s="22" t="s">
        <v>21</v>
      </c>
      <c r="C2863" s="22" t="s">
        <v>5561</v>
      </c>
      <c r="D2863" s="22" t="s">
        <v>7499</v>
      </c>
      <c r="E2863" s="22" t="s">
        <v>7500</v>
      </c>
      <c r="F2863" s="22">
        <v>36.622411</v>
      </c>
      <c r="G2863" s="22">
        <v>41.947476000000002</v>
      </c>
      <c r="H2863" s="21" t="s">
        <v>5198</v>
      </c>
      <c r="I2863" s="21" t="s">
        <v>5563</v>
      </c>
      <c r="J2863" s="21" t="s">
        <v>7501</v>
      </c>
      <c r="K2863" s="24">
        <v>48</v>
      </c>
      <c r="L2863" s="24">
        <v>288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48</v>
      </c>
      <c r="Z2863" s="23"/>
      <c r="AA2863" s="23"/>
      <c r="AB2863" s="23"/>
      <c r="AC2863" s="23"/>
      <c r="AD2863" s="23"/>
      <c r="AE2863" s="23"/>
      <c r="AF2863" s="23">
        <v>48</v>
      </c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23">
        <v>20</v>
      </c>
      <c r="AS2863" s="23">
        <v>18</v>
      </c>
      <c r="AT2863" s="23">
        <v>10</v>
      </c>
      <c r="AU2863" s="14" t="str">
        <f>HYPERLINK("http://www.openstreetmap.org/?mlat=36.6224&amp;mlon=41.9475&amp;zoom=12#map=12/36.6224/41.9475","Maplink1")</f>
        <v>Maplink1</v>
      </c>
      <c r="AV2863" s="14" t="str">
        <f>HYPERLINK("https://www.google.iq/maps/search/+36.6224,41.9475/@36.6224,41.9475,14z?hl=en","Maplink2")</f>
        <v>Maplink2</v>
      </c>
      <c r="AW2863" s="14" t="str">
        <f>HYPERLINK("http://www.bing.com/maps/?lvl=14&amp;sty=h&amp;cp=36.6224~41.9475&amp;sp=point.36.6224_41.9475","Maplink3")</f>
        <v>Maplink3</v>
      </c>
    </row>
    <row r="2864" spans="1:49" ht="15" customHeight="1" x14ac:dyDescent="0.25">
      <c r="A2864" s="21">
        <v>24809</v>
      </c>
      <c r="B2864" s="22" t="s">
        <v>21</v>
      </c>
      <c r="C2864" s="22" t="s">
        <v>5561</v>
      </c>
      <c r="D2864" s="22" t="s">
        <v>5577</v>
      </c>
      <c r="E2864" s="22" t="s">
        <v>622</v>
      </c>
      <c r="F2864" s="22">
        <v>36.374426</v>
      </c>
      <c r="G2864" s="22">
        <v>42.451304</v>
      </c>
      <c r="H2864" s="21" t="s">
        <v>5198</v>
      </c>
      <c r="I2864" s="21" t="s">
        <v>5563</v>
      </c>
      <c r="J2864" s="21"/>
      <c r="K2864" s="24">
        <v>20</v>
      </c>
      <c r="L2864" s="24">
        <v>120</v>
      </c>
      <c r="M2864" s="23"/>
      <c r="N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>
        <v>20</v>
      </c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/>
      <c r="AL2864" s="23"/>
      <c r="AM2864" s="23">
        <v>20</v>
      </c>
      <c r="AN2864" s="23"/>
      <c r="AO2864" s="23"/>
      <c r="AP2864" s="23"/>
      <c r="AQ2864" s="23"/>
      <c r="AR2864" s="23">
        <v>20</v>
      </c>
      <c r="AS2864" s="23"/>
      <c r="AT2864" s="23"/>
      <c r="AU2864" s="14" t="str">
        <f>HYPERLINK("http://www.openstreetmap.org/?mlat=36.3744&amp;mlon=42.4513&amp;zoom=12#map=12/36.3744/42.4513","Maplink1")</f>
        <v>Maplink1</v>
      </c>
      <c r="AV2864" s="14" t="str">
        <f>HYPERLINK("https://www.google.iq/maps/search/+36.3744,42.4513/@36.3744,42.4513,14z?hl=en","Maplink2")</f>
        <v>Maplink2</v>
      </c>
      <c r="AW2864" s="14" t="str">
        <f>HYPERLINK("http://www.bing.com/maps/?lvl=14&amp;sty=h&amp;cp=36.3744~42.4513&amp;sp=point.36.3744_42.4513_Al Hay Al Askare","Maplink3")</f>
        <v>Maplink3</v>
      </c>
    </row>
    <row r="2865" spans="1:49" ht="15" customHeight="1" x14ac:dyDescent="0.25">
      <c r="A2865" s="21">
        <v>23168</v>
      </c>
      <c r="B2865" s="22" t="s">
        <v>21</v>
      </c>
      <c r="C2865" s="22" t="s">
        <v>5561</v>
      </c>
      <c r="D2865" s="22" t="s">
        <v>5578</v>
      </c>
      <c r="E2865" s="22" t="s">
        <v>5579</v>
      </c>
      <c r="F2865" s="22">
        <v>36.630415999999997</v>
      </c>
      <c r="G2865" s="22">
        <v>42.289852000000003</v>
      </c>
      <c r="H2865" s="21" t="s">
        <v>5198</v>
      </c>
      <c r="I2865" s="21" t="s">
        <v>5563</v>
      </c>
      <c r="J2865" s="21" t="s">
        <v>5580</v>
      </c>
      <c r="K2865" s="24">
        <v>273</v>
      </c>
      <c r="L2865" s="24">
        <v>1638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273</v>
      </c>
      <c r="Z2865" s="23"/>
      <c r="AA2865" s="23"/>
      <c r="AB2865" s="23"/>
      <c r="AC2865" s="23"/>
      <c r="AD2865" s="23"/>
      <c r="AE2865" s="23"/>
      <c r="AF2865" s="23">
        <v>150</v>
      </c>
      <c r="AG2865" s="23"/>
      <c r="AH2865" s="23"/>
      <c r="AI2865" s="23">
        <v>50</v>
      </c>
      <c r="AJ2865" s="23"/>
      <c r="AK2865" s="23"/>
      <c r="AL2865" s="23"/>
      <c r="AM2865" s="23">
        <v>73</v>
      </c>
      <c r="AN2865" s="23"/>
      <c r="AO2865" s="23"/>
      <c r="AP2865" s="23"/>
      <c r="AQ2865" s="23">
        <v>13</v>
      </c>
      <c r="AR2865" s="23">
        <v>260</v>
      </c>
      <c r="AS2865" s="23"/>
      <c r="AT2865" s="23"/>
      <c r="AU2865" s="14" t="str">
        <f>HYPERLINK("http://www.openstreetmap.org/?mlat=36.6304&amp;mlon=42.2899&amp;zoom=12#map=12/36.6304/42.2899","Maplink1")</f>
        <v>Maplink1</v>
      </c>
      <c r="AV2865" s="14" t="str">
        <f>HYPERLINK("https://www.google.iq/maps/search/+36.6304,42.2899/@36.6304,42.2899,14z?hl=en","Maplink2")</f>
        <v>Maplink2</v>
      </c>
      <c r="AW2865" s="14" t="str">
        <f>HYPERLINK("http://www.bing.com/maps/?lvl=14&amp;sty=h&amp;cp=36.6304~42.2899&amp;sp=point.36.6304_42.2899_Al Muthalatha village","Maplink3")</f>
        <v>Maplink3</v>
      </c>
    </row>
    <row r="2866" spans="1:49" ht="15" customHeight="1" x14ac:dyDescent="0.25">
      <c r="A2866" s="21">
        <v>17674</v>
      </c>
      <c r="B2866" s="22" t="s">
        <v>21</v>
      </c>
      <c r="C2866" s="22" t="s">
        <v>5561</v>
      </c>
      <c r="D2866" s="22" t="s">
        <v>5581</v>
      </c>
      <c r="E2866" s="22" t="s">
        <v>5582</v>
      </c>
      <c r="F2866" s="22">
        <v>36.639121000000003</v>
      </c>
      <c r="G2866" s="22">
        <v>42.238937</v>
      </c>
      <c r="H2866" s="21" t="s">
        <v>5198</v>
      </c>
      <c r="I2866" s="21" t="s">
        <v>5563</v>
      </c>
      <c r="J2866" s="21" t="s">
        <v>5583</v>
      </c>
      <c r="K2866" s="24">
        <v>76</v>
      </c>
      <c r="L2866" s="24">
        <v>456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76</v>
      </c>
      <c r="Z2866" s="23"/>
      <c r="AA2866" s="23"/>
      <c r="AB2866" s="23"/>
      <c r="AC2866" s="23"/>
      <c r="AD2866" s="23"/>
      <c r="AE2866" s="23"/>
      <c r="AF2866" s="23">
        <v>50</v>
      </c>
      <c r="AG2866" s="23"/>
      <c r="AH2866" s="23"/>
      <c r="AI2866" s="23"/>
      <c r="AJ2866" s="23"/>
      <c r="AK2866" s="23"/>
      <c r="AL2866" s="23"/>
      <c r="AM2866" s="23">
        <v>26</v>
      </c>
      <c r="AN2866" s="23"/>
      <c r="AO2866" s="23"/>
      <c r="AP2866" s="23"/>
      <c r="AQ2866" s="23"/>
      <c r="AR2866" s="23">
        <v>35</v>
      </c>
      <c r="AS2866" s="23">
        <v>41</v>
      </c>
      <c r="AT2866" s="23"/>
      <c r="AU2866" s="14" t="str">
        <f>HYPERLINK("http://www.openstreetmap.org/?mlat=36.6391&amp;mlon=42.2389&amp;zoom=12#map=12/36.6391/42.2389","Maplink1")</f>
        <v>Maplink1</v>
      </c>
      <c r="AV2866" s="14" t="str">
        <f>HYPERLINK("https://www.google.iq/maps/search/+36.6391,42.2389/@36.6391,42.2389,14z?hl=en","Maplink2")</f>
        <v>Maplink2</v>
      </c>
      <c r="AW2866" s="14" t="str">
        <f>HYPERLINK("http://www.bing.com/maps/?lvl=14&amp;sty=h&amp;cp=36.6391~42.2389&amp;sp=point.36.6391_42.2389_Albarghlih","Maplink3")</f>
        <v>Maplink3</v>
      </c>
    </row>
    <row r="2867" spans="1:49" ht="15" customHeight="1" x14ac:dyDescent="0.25">
      <c r="A2867" s="21">
        <v>17775</v>
      </c>
      <c r="B2867" s="22" t="s">
        <v>21</v>
      </c>
      <c r="C2867" s="22" t="s">
        <v>5561</v>
      </c>
      <c r="D2867" s="22" t="s">
        <v>5584</v>
      </c>
      <c r="E2867" s="22" t="s">
        <v>5585</v>
      </c>
      <c r="F2867" s="22">
        <v>36.592305000000003</v>
      </c>
      <c r="G2867" s="22">
        <v>42.388168999999998</v>
      </c>
      <c r="H2867" s="21" t="s">
        <v>5198</v>
      </c>
      <c r="I2867" s="21" t="s">
        <v>5563</v>
      </c>
      <c r="J2867" s="21" t="s">
        <v>5586</v>
      </c>
      <c r="K2867" s="24">
        <v>33</v>
      </c>
      <c r="L2867" s="24">
        <v>198</v>
      </c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33</v>
      </c>
      <c r="Z2867" s="23"/>
      <c r="AA2867" s="23"/>
      <c r="AB2867" s="23"/>
      <c r="AC2867" s="23"/>
      <c r="AD2867" s="23"/>
      <c r="AE2867" s="23"/>
      <c r="AF2867" s="23">
        <v>23</v>
      </c>
      <c r="AG2867" s="23"/>
      <c r="AH2867" s="23"/>
      <c r="AI2867" s="23"/>
      <c r="AJ2867" s="23"/>
      <c r="AK2867" s="23"/>
      <c r="AL2867" s="23"/>
      <c r="AM2867" s="23">
        <v>10</v>
      </c>
      <c r="AN2867" s="23"/>
      <c r="AO2867" s="23"/>
      <c r="AP2867" s="23"/>
      <c r="AQ2867" s="23"/>
      <c r="AR2867" s="23">
        <v>10</v>
      </c>
      <c r="AS2867" s="23">
        <v>23</v>
      </c>
      <c r="AT2867" s="23"/>
      <c r="AU2867" s="14" t="str">
        <f>HYPERLINK("http://www.openstreetmap.org/?mlat=36.5923&amp;mlon=42.3882&amp;zoom=12#map=12/36.5923/42.3882","Maplink1")</f>
        <v>Maplink1</v>
      </c>
      <c r="AV2867" s="14" t="str">
        <f>HYPERLINK("https://www.google.iq/maps/search/+36.5923,42.3882/@36.5923,42.3882,14z?hl=en","Maplink2")</f>
        <v>Maplink2</v>
      </c>
      <c r="AW2867" s="14" t="str">
        <f>HYPERLINK("http://www.bing.com/maps/?lvl=14&amp;sty=h&amp;cp=36.5923~42.3882&amp;sp=point.36.5923_42.3882_Albughuh","Maplink3")</f>
        <v>Maplink3</v>
      </c>
    </row>
    <row r="2868" spans="1:49" ht="15" customHeight="1" x14ac:dyDescent="0.25">
      <c r="A2868" s="21">
        <v>28437</v>
      </c>
      <c r="B2868" s="22" t="s">
        <v>21</v>
      </c>
      <c r="C2868" s="22" t="s">
        <v>5561</v>
      </c>
      <c r="D2868" s="22" t="s">
        <v>5587</v>
      </c>
      <c r="E2868" s="22" t="s">
        <v>5588</v>
      </c>
      <c r="F2868" s="22">
        <v>36.625073999999998</v>
      </c>
      <c r="G2868" s="22">
        <v>42.046076999999997</v>
      </c>
      <c r="H2868" s="21" t="s">
        <v>5198</v>
      </c>
      <c r="I2868" s="21" t="s">
        <v>5563</v>
      </c>
      <c r="J2868" s="21"/>
      <c r="K2868" s="24">
        <v>73</v>
      </c>
      <c r="L2868" s="24">
        <v>438</v>
      </c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>
        <v>73</v>
      </c>
      <c r="Z2868" s="23"/>
      <c r="AA2868" s="23"/>
      <c r="AB2868" s="23"/>
      <c r="AC2868" s="23"/>
      <c r="AD2868" s="23"/>
      <c r="AE2868" s="23"/>
      <c r="AF2868" s="23">
        <v>73</v>
      </c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23">
        <v>15</v>
      </c>
      <c r="AS2868" s="23">
        <v>43</v>
      </c>
      <c r="AT2868" s="23">
        <v>15</v>
      </c>
      <c r="AU2868" s="14" t="str">
        <f>HYPERLINK("http://www.openstreetmap.org/?mlat=36.6251&amp;mlon=42.0461&amp;zoom=12#map=12/36.6251/42.0461","Maplink1")</f>
        <v>Maplink1</v>
      </c>
      <c r="AV2868" s="14" t="str">
        <f>HYPERLINK("https://www.google.iq/maps/search/+36.6251,42.0461/@36.6251,42.0461,14z?hl=en","Maplink2")</f>
        <v>Maplink2</v>
      </c>
      <c r="AW2868" s="14" t="str">
        <f>HYPERLINK("http://www.bing.com/maps/?lvl=14&amp;sty=h&amp;cp=36.6251~42.0461&amp;sp=point.36.6251_42.0461_Al Angaa","Maplink3")</f>
        <v>Maplink3</v>
      </c>
    </row>
    <row r="2869" spans="1:49" ht="15" customHeight="1" x14ac:dyDescent="0.25">
      <c r="A2869" s="21">
        <v>29559</v>
      </c>
      <c r="B2869" s="22" t="s">
        <v>21</v>
      </c>
      <c r="C2869" s="22" t="s">
        <v>5561</v>
      </c>
      <c r="D2869" s="22" t="s">
        <v>5589</v>
      </c>
      <c r="E2869" s="22" t="s">
        <v>5590</v>
      </c>
      <c r="F2869" s="22">
        <v>36.764670000000002</v>
      </c>
      <c r="G2869" s="22">
        <v>42.603439999999999</v>
      </c>
      <c r="H2869" s="21" t="s">
        <v>5198</v>
      </c>
      <c r="I2869" s="21" t="s">
        <v>5563</v>
      </c>
      <c r="J2869" s="21"/>
      <c r="K2869" s="24">
        <v>73</v>
      </c>
      <c r="L2869" s="24">
        <v>438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73</v>
      </c>
      <c r="Z2869" s="23"/>
      <c r="AA2869" s="23"/>
      <c r="AB2869" s="23"/>
      <c r="AC2869" s="23"/>
      <c r="AD2869" s="23"/>
      <c r="AE2869" s="23"/>
      <c r="AF2869" s="23"/>
      <c r="AG2869" s="23">
        <v>73</v>
      </c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>
        <v>73</v>
      </c>
      <c r="AS2869" s="23"/>
      <c r="AT2869" s="23"/>
      <c r="AU2869" s="14" t="str">
        <f>HYPERLINK("http://www.openstreetmap.org/?mlat=36.7647&amp;mlon=42.6034&amp;zoom=12#map=12/36.7647/42.6034","Maplink1")</f>
        <v>Maplink1</v>
      </c>
      <c r="AV2869" s="14" t="str">
        <f>HYPERLINK("https://www.google.iq/maps/search/+36.7647,42.6034/@36.7647,42.6034,14z?hl=en","Maplink2")</f>
        <v>Maplink2</v>
      </c>
      <c r="AW2869" s="14" t="str">
        <f>HYPERLINK("http://www.bing.com/maps/?lvl=14&amp;sty=h&amp;cp=36.7647~42.6034&amp;sp=point.36.7647_42.6034","Maplink3")</f>
        <v>Maplink3</v>
      </c>
    </row>
    <row r="2870" spans="1:49" ht="15" customHeight="1" x14ac:dyDescent="0.25">
      <c r="A2870" s="21">
        <v>17637</v>
      </c>
      <c r="B2870" s="22" t="s">
        <v>21</v>
      </c>
      <c r="C2870" s="22" t="s">
        <v>5561</v>
      </c>
      <c r="D2870" s="22" t="s">
        <v>5591</v>
      </c>
      <c r="E2870" s="22" t="s">
        <v>5592</v>
      </c>
      <c r="F2870" s="22">
        <v>36.582664999999999</v>
      </c>
      <c r="G2870" s="22">
        <v>42.319369000000002</v>
      </c>
      <c r="H2870" s="21" t="s">
        <v>5198</v>
      </c>
      <c r="I2870" s="21" t="s">
        <v>5563</v>
      </c>
      <c r="J2870" s="21" t="s">
        <v>5593</v>
      </c>
      <c r="K2870" s="24">
        <v>37</v>
      </c>
      <c r="L2870" s="24">
        <v>222</v>
      </c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37</v>
      </c>
      <c r="Z2870" s="23"/>
      <c r="AA2870" s="23"/>
      <c r="AB2870" s="23"/>
      <c r="AC2870" s="23"/>
      <c r="AD2870" s="23"/>
      <c r="AE2870" s="23"/>
      <c r="AF2870" s="23">
        <v>24</v>
      </c>
      <c r="AG2870" s="23"/>
      <c r="AH2870" s="23"/>
      <c r="AI2870" s="23"/>
      <c r="AJ2870" s="23"/>
      <c r="AK2870" s="23"/>
      <c r="AL2870" s="23"/>
      <c r="AM2870" s="23">
        <v>13</v>
      </c>
      <c r="AN2870" s="23"/>
      <c r="AO2870" s="23"/>
      <c r="AP2870" s="23"/>
      <c r="AQ2870" s="23"/>
      <c r="AR2870" s="23">
        <v>10</v>
      </c>
      <c r="AS2870" s="23">
        <v>27</v>
      </c>
      <c r="AT2870" s="23"/>
      <c r="AU2870" s="14" t="str">
        <f>HYPERLINK("http://www.openstreetmap.org/?mlat=36.5827&amp;mlon=42.3194&amp;zoom=12#map=12/36.5827/42.3194","Maplink1")</f>
        <v>Maplink1</v>
      </c>
      <c r="AV2870" s="14" t="str">
        <f>HYPERLINK("https://www.google.iq/maps/search/+36.5827,42.3194/@36.5827,42.3194,14z?hl=en","Maplink2")</f>
        <v>Maplink2</v>
      </c>
      <c r="AW2870" s="14" t="str">
        <f>HYPERLINK("http://www.bing.com/maps/?lvl=14&amp;sty=h&amp;cp=36.5827~42.3194&amp;sp=point.36.5827_42.3194_am Kahayef ","Maplink3")</f>
        <v>Maplink3</v>
      </c>
    </row>
    <row r="2871" spans="1:49" ht="15" customHeight="1" x14ac:dyDescent="0.25">
      <c r="A2871" s="21">
        <v>17654</v>
      </c>
      <c r="B2871" s="22" t="s">
        <v>21</v>
      </c>
      <c r="C2871" s="22" t="s">
        <v>5561</v>
      </c>
      <c r="D2871" s="22" t="s">
        <v>8998</v>
      </c>
      <c r="E2871" s="22" t="s">
        <v>5600</v>
      </c>
      <c r="F2871" s="22">
        <v>36.642093000000003</v>
      </c>
      <c r="G2871" s="22">
        <v>42.443575000000003</v>
      </c>
      <c r="H2871" s="21" t="s">
        <v>5198</v>
      </c>
      <c r="I2871" s="21" t="s">
        <v>5563</v>
      </c>
      <c r="J2871" s="21" t="s">
        <v>5601</v>
      </c>
      <c r="K2871" s="24">
        <v>363</v>
      </c>
      <c r="L2871" s="24">
        <v>2178</v>
      </c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363</v>
      </c>
      <c r="Z2871" s="23"/>
      <c r="AA2871" s="23"/>
      <c r="AB2871" s="23"/>
      <c r="AC2871" s="23"/>
      <c r="AD2871" s="23"/>
      <c r="AE2871" s="23"/>
      <c r="AF2871" s="23">
        <v>310</v>
      </c>
      <c r="AG2871" s="23"/>
      <c r="AH2871" s="23"/>
      <c r="AI2871" s="23"/>
      <c r="AJ2871" s="23"/>
      <c r="AK2871" s="23"/>
      <c r="AL2871" s="23"/>
      <c r="AM2871" s="23">
        <v>53</v>
      </c>
      <c r="AN2871" s="23"/>
      <c r="AO2871" s="23"/>
      <c r="AP2871" s="23"/>
      <c r="AQ2871" s="23"/>
      <c r="AR2871" s="23"/>
      <c r="AS2871" s="23">
        <v>363</v>
      </c>
      <c r="AT2871" s="23"/>
      <c r="AU2871" s="14" t="str">
        <f>HYPERLINK("http://www.openstreetmap.org/?mlat=36.6421&amp;mlon=42.4436&amp;zoom=12#map=12/36.6421/42.4436","Maplink1")</f>
        <v>Maplink1</v>
      </c>
      <c r="AV2871" s="14" t="str">
        <f>HYPERLINK("https://www.google.iq/maps/search/+36.6421,42.4436/@36.6421,42.4436,14z?hl=en","Maplink2")</f>
        <v>Maplink2</v>
      </c>
      <c r="AW2871" s="14" t="str">
        <f>HYPERLINK("http://www.bing.com/maps/?lvl=14&amp;sty=h&amp;cp=36.6421~42.4436&amp;sp=point.36.6421_42.4436_Eamla","Maplink3")</f>
        <v>Maplink3</v>
      </c>
    </row>
    <row r="2872" spans="1:49" ht="15" customHeight="1" x14ac:dyDescent="0.25">
      <c r="A2872" s="21">
        <v>17762</v>
      </c>
      <c r="B2872" s="22" t="s">
        <v>21</v>
      </c>
      <c r="C2872" s="22" t="s">
        <v>5561</v>
      </c>
      <c r="D2872" s="22" t="s">
        <v>8999</v>
      </c>
      <c r="E2872" s="22" t="s">
        <v>5594</v>
      </c>
      <c r="F2872" s="22">
        <v>36.804526000000003</v>
      </c>
      <c r="G2872" s="22">
        <v>42.460934000000002</v>
      </c>
      <c r="H2872" s="21" t="s">
        <v>5198</v>
      </c>
      <c r="I2872" s="21" t="s">
        <v>5563</v>
      </c>
      <c r="J2872" s="21" t="s">
        <v>5595</v>
      </c>
      <c r="K2872" s="24">
        <v>19</v>
      </c>
      <c r="L2872" s="24">
        <v>114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19</v>
      </c>
      <c r="Z2872" s="23"/>
      <c r="AA2872" s="23"/>
      <c r="AB2872" s="23"/>
      <c r="AC2872" s="23"/>
      <c r="AD2872" s="23"/>
      <c r="AE2872" s="23"/>
      <c r="AF2872" s="23">
        <v>19</v>
      </c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/>
      <c r="AR2872" s="23"/>
      <c r="AS2872" s="23">
        <v>19</v>
      </c>
      <c r="AT2872" s="23"/>
      <c r="AU2872" s="14" t="str">
        <f>HYPERLINK("http://www.openstreetmap.org/?mlat=36.8045&amp;mlon=42.4609&amp;zoom=12#map=12/36.8045/42.4609","Maplink1")</f>
        <v>Maplink1</v>
      </c>
      <c r="AV2872" s="14" t="str">
        <f>HYPERLINK("https://www.google.iq/maps/search/+36.8045,42.4609/@36.8045,42.4609,14z?hl=en","Maplink2")</f>
        <v>Maplink2</v>
      </c>
      <c r="AW2872" s="14" t="str">
        <f>HYPERLINK("http://www.bing.com/maps/?lvl=14&amp;sty=h&amp;cp=36.8045~42.4609&amp;sp=point.36.8045_42.4609_Bardih complex","Maplink3")</f>
        <v>Maplink3</v>
      </c>
    </row>
    <row r="2873" spans="1:49" ht="15" customHeight="1" x14ac:dyDescent="0.25">
      <c r="A2873" s="21">
        <v>18031</v>
      </c>
      <c r="B2873" s="22" t="s">
        <v>21</v>
      </c>
      <c r="C2873" s="22" t="s">
        <v>5561</v>
      </c>
      <c r="D2873" s="22" t="s">
        <v>5596</v>
      </c>
      <c r="E2873" s="22" t="s">
        <v>5597</v>
      </c>
      <c r="F2873" s="22">
        <v>36.551563999999999</v>
      </c>
      <c r="G2873" s="22">
        <v>42.283608999999998</v>
      </c>
      <c r="H2873" s="21" t="s">
        <v>5198</v>
      </c>
      <c r="I2873" s="21" t="s">
        <v>5563</v>
      </c>
      <c r="J2873" s="21" t="s">
        <v>5598</v>
      </c>
      <c r="K2873" s="24">
        <v>100</v>
      </c>
      <c r="L2873" s="24">
        <v>600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100</v>
      </c>
      <c r="Z2873" s="23"/>
      <c r="AA2873" s="23"/>
      <c r="AB2873" s="23"/>
      <c r="AC2873" s="23"/>
      <c r="AD2873" s="23"/>
      <c r="AE2873" s="23"/>
      <c r="AF2873" s="23">
        <v>50</v>
      </c>
      <c r="AG2873" s="23"/>
      <c r="AH2873" s="23"/>
      <c r="AI2873" s="23">
        <v>20</v>
      </c>
      <c r="AJ2873" s="23"/>
      <c r="AK2873" s="23"/>
      <c r="AL2873" s="23"/>
      <c r="AM2873" s="23">
        <v>30</v>
      </c>
      <c r="AN2873" s="23"/>
      <c r="AO2873" s="23"/>
      <c r="AP2873" s="23"/>
      <c r="AQ2873" s="23"/>
      <c r="AR2873" s="23"/>
      <c r="AS2873" s="23">
        <v>100</v>
      </c>
      <c r="AT2873" s="23"/>
      <c r="AU2873" s="14" t="str">
        <f>HYPERLINK("http://www.openstreetmap.org/?mlat=36.5516&amp;mlon=42.2836&amp;zoom=12#map=12/36.5516/42.2836","Maplink1")</f>
        <v>Maplink1</v>
      </c>
      <c r="AV2873" s="14" t="str">
        <f>HYPERLINK("https://www.google.iq/maps/search/+36.5516,42.2836/@36.5516,42.2836,14z?hl=en","Maplink2")</f>
        <v>Maplink2</v>
      </c>
      <c r="AW2873" s="14" t="str">
        <f>HYPERLINK("http://www.bing.com/maps/?lvl=14&amp;sty=h&amp;cp=36.5516~42.2836&amp;sp=point.36.5516_42.2836_Bayr alhulu","Maplink3")</f>
        <v>Maplink3</v>
      </c>
    </row>
    <row r="2874" spans="1:49" ht="15" customHeight="1" x14ac:dyDescent="0.25">
      <c r="A2874" s="21">
        <v>28440</v>
      </c>
      <c r="B2874" s="22" t="s">
        <v>21</v>
      </c>
      <c r="C2874" s="22" t="s">
        <v>5561</v>
      </c>
      <c r="D2874" s="22" t="s">
        <v>9000</v>
      </c>
      <c r="E2874" s="22" t="s">
        <v>5599</v>
      </c>
      <c r="F2874" s="22">
        <v>36.798575999999997</v>
      </c>
      <c r="G2874" s="22">
        <v>42.215418</v>
      </c>
      <c r="H2874" s="21" t="s">
        <v>5198</v>
      </c>
      <c r="I2874" s="21" t="s">
        <v>5563</v>
      </c>
      <c r="J2874" s="21"/>
      <c r="K2874" s="24">
        <v>7</v>
      </c>
      <c r="L2874" s="24">
        <v>42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7</v>
      </c>
      <c r="Z2874" s="23"/>
      <c r="AA2874" s="23"/>
      <c r="AB2874" s="23"/>
      <c r="AC2874" s="23"/>
      <c r="AD2874" s="23"/>
      <c r="AE2874" s="23"/>
      <c r="AF2874" s="23">
        <v>7</v>
      </c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/>
      <c r="AR2874" s="23">
        <v>5</v>
      </c>
      <c r="AS2874" s="23"/>
      <c r="AT2874" s="23">
        <v>2</v>
      </c>
      <c r="AU2874" s="14" t="str">
        <f>HYPERLINK("http://www.openstreetmap.org/?mlat=36.7986&amp;mlon=42.2154&amp;zoom=12#map=12/36.7986/42.2154","Maplink1")</f>
        <v>Maplink1</v>
      </c>
      <c r="AV2874" s="14" t="str">
        <f>HYPERLINK("https://www.google.iq/maps/search/+36.7986,42.2154/@36.7986,42.2154,14z?hl=en","Maplink2")</f>
        <v>Maplink2</v>
      </c>
      <c r="AW2874" s="14" t="str">
        <f>HYPERLINK("http://www.bing.com/maps/?lvl=14&amp;sty=h&amp;cp=36.7986~42.2154&amp;sp=point.36.7986_42.2154_Al Angaa","Maplink3")</f>
        <v>Maplink3</v>
      </c>
    </row>
    <row r="2875" spans="1:49" ht="15" customHeight="1" x14ac:dyDescent="0.25">
      <c r="A2875" s="21">
        <v>25809</v>
      </c>
      <c r="B2875" s="22" t="s">
        <v>21</v>
      </c>
      <c r="C2875" s="22" t="s">
        <v>5561</v>
      </c>
      <c r="D2875" s="22" t="s">
        <v>9001</v>
      </c>
      <c r="E2875" s="22" t="s">
        <v>5642</v>
      </c>
      <c r="F2875" s="22">
        <v>36.710863000000003</v>
      </c>
      <c r="G2875" s="22">
        <v>42.61486</v>
      </c>
      <c r="H2875" s="21" t="s">
        <v>5198</v>
      </c>
      <c r="I2875" s="21" t="s">
        <v>5563</v>
      </c>
      <c r="J2875" s="21"/>
      <c r="K2875" s="24">
        <v>187</v>
      </c>
      <c r="L2875" s="24">
        <v>1122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187</v>
      </c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>
        <v>187</v>
      </c>
      <c r="AL2875" s="23"/>
      <c r="AM2875" s="23"/>
      <c r="AN2875" s="23"/>
      <c r="AO2875" s="23"/>
      <c r="AP2875" s="23"/>
      <c r="AQ2875" s="23"/>
      <c r="AR2875" s="23"/>
      <c r="AS2875" s="23">
        <v>187</v>
      </c>
      <c r="AT2875" s="23"/>
      <c r="AU2875" s="14" t="str">
        <f>HYPERLINK("http://www.openstreetmap.org/?mlat=36.7109&amp;mlon=42.6149&amp;zoom=12#map=12/36.7109/42.6149","Maplink1")</f>
        <v>Maplink1</v>
      </c>
      <c r="AV2875" s="14" t="str">
        <f>HYPERLINK("https://www.google.iq/maps/search/+36.7109,42.6149/@36.7109,42.6149,14z?hl=en","Maplink2")</f>
        <v>Maplink2</v>
      </c>
      <c r="AW2875" s="14" t="str">
        <f>HYPERLINK("http://www.bing.com/maps/?lvl=14&amp;sty=h&amp;cp=36.7109~42.6149&amp;sp=point.36.7109_42.6149_Zummar-domez complex","Maplink3")</f>
        <v>Maplink3</v>
      </c>
    </row>
    <row r="2876" spans="1:49" ht="15" customHeight="1" x14ac:dyDescent="0.25">
      <c r="A2876" s="21">
        <v>28450</v>
      </c>
      <c r="B2876" s="22" t="s">
        <v>21</v>
      </c>
      <c r="C2876" s="22" t="s">
        <v>5561</v>
      </c>
      <c r="D2876" s="22" t="s">
        <v>9002</v>
      </c>
      <c r="E2876" s="22" t="s">
        <v>9003</v>
      </c>
      <c r="F2876" s="22">
        <v>36.678334999999997</v>
      </c>
      <c r="G2876" s="22">
        <v>42.395927</v>
      </c>
      <c r="H2876" s="21" t="s">
        <v>5198</v>
      </c>
      <c r="I2876" s="21" t="s">
        <v>5563</v>
      </c>
      <c r="J2876" s="21"/>
      <c r="K2876" s="24">
        <v>20</v>
      </c>
      <c r="L2876" s="24">
        <v>120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20</v>
      </c>
      <c r="Z2876" s="23"/>
      <c r="AA2876" s="23"/>
      <c r="AB2876" s="23"/>
      <c r="AC2876" s="23"/>
      <c r="AD2876" s="23"/>
      <c r="AE2876" s="23"/>
      <c r="AF2876" s="23">
        <v>20</v>
      </c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/>
      <c r="AR2876" s="23">
        <v>20</v>
      </c>
      <c r="AS2876" s="23"/>
      <c r="AT2876" s="23"/>
      <c r="AU2876" s="14" t="str">
        <f>HYPERLINK("http://www.openstreetmap.org/?mlat=36.6783&amp;mlon=42.3959&amp;zoom=12#map=12/36.6783/42.3959","Maplink1")</f>
        <v>Maplink1</v>
      </c>
      <c r="AV2876" s="14" t="str">
        <f>HYPERLINK("https://www.google.iq/maps/search/+36.6783,42.3959/@36.6783,42.3959,14z?hl=en","Maplink2")</f>
        <v>Maplink2</v>
      </c>
      <c r="AW2876" s="14" t="str">
        <f>HYPERLINK("http://www.bing.com/maps/?lvl=14&amp;sty=h&amp;cp=36.6783~42.3959&amp;sp=point.36.6783_42.3959_Al Angaa","Maplink3")</f>
        <v>Maplink3</v>
      </c>
    </row>
    <row r="2877" spans="1:49" ht="15" customHeight="1" x14ac:dyDescent="0.25">
      <c r="A2877" s="21">
        <v>25980</v>
      </c>
      <c r="B2877" s="22" t="s">
        <v>21</v>
      </c>
      <c r="C2877" s="22" t="s">
        <v>5561</v>
      </c>
      <c r="D2877" s="22" t="s">
        <v>9004</v>
      </c>
      <c r="E2877" s="22" t="s">
        <v>5602</v>
      </c>
      <c r="F2877" s="22">
        <v>36.828603999999999</v>
      </c>
      <c r="G2877" s="22">
        <v>42.13823</v>
      </c>
      <c r="H2877" s="21" t="s">
        <v>5198</v>
      </c>
      <c r="I2877" s="21" t="s">
        <v>5563</v>
      </c>
      <c r="J2877" s="21"/>
      <c r="K2877" s="24">
        <v>73</v>
      </c>
      <c r="L2877" s="24">
        <v>438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73</v>
      </c>
      <c r="Z2877" s="23"/>
      <c r="AA2877" s="23"/>
      <c r="AB2877" s="23"/>
      <c r="AC2877" s="23"/>
      <c r="AD2877" s="23"/>
      <c r="AE2877" s="23"/>
      <c r="AF2877" s="23">
        <v>73</v>
      </c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>
        <v>15</v>
      </c>
      <c r="AS2877" s="23">
        <v>43</v>
      </c>
      <c r="AT2877" s="23">
        <v>15</v>
      </c>
      <c r="AU2877" s="14" t="str">
        <f>HYPERLINK("http://www.openstreetmap.org/?mlat=36.8286&amp;mlon=42.1382&amp;zoom=12#map=12/36.8286/42.1382","Maplink1")</f>
        <v>Maplink1</v>
      </c>
      <c r="AV2877" s="14" t="str">
        <f>HYPERLINK("https://www.google.iq/maps/search/+36.8286,42.1382/@36.8286,42.1382,14z?hl=en","Maplink2")</f>
        <v>Maplink2</v>
      </c>
      <c r="AW2877" s="14" t="str">
        <f>HYPERLINK("http://www.bing.com/maps/?lvl=14&amp;sty=h&amp;cp=36.8286~42.1382&amp;sp=point.36.8286_42.1382_Gilbarat village","Maplink3")</f>
        <v>Maplink3</v>
      </c>
    </row>
    <row r="2878" spans="1:49" ht="15" customHeight="1" x14ac:dyDescent="0.25">
      <c r="A2878" s="21">
        <v>25686</v>
      </c>
      <c r="B2878" s="22" t="s">
        <v>21</v>
      </c>
      <c r="C2878" s="22" t="s">
        <v>5561</v>
      </c>
      <c r="D2878" s="22" t="s">
        <v>9005</v>
      </c>
      <c r="E2878" s="22" t="s">
        <v>190</v>
      </c>
      <c r="F2878" s="22">
        <v>36.802517999999999</v>
      </c>
      <c r="G2878" s="22">
        <v>42.099220000000003</v>
      </c>
      <c r="H2878" s="21" t="s">
        <v>5198</v>
      </c>
      <c r="I2878" s="21" t="s">
        <v>5563</v>
      </c>
      <c r="J2878" s="21"/>
      <c r="K2878" s="24">
        <v>4</v>
      </c>
      <c r="L2878" s="24">
        <v>24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4</v>
      </c>
      <c r="Z2878" s="23"/>
      <c r="AA2878" s="23"/>
      <c r="AB2878" s="23"/>
      <c r="AC2878" s="23"/>
      <c r="AD2878" s="23"/>
      <c r="AE2878" s="23"/>
      <c r="AF2878" s="23">
        <v>4</v>
      </c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23"/>
      <c r="AS2878" s="23">
        <v>4</v>
      </c>
      <c r="AT2878" s="23"/>
      <c r="AU2878" s="14" t="str">
        <f>HYPERLINK("http://www.openstreetmap.org/?mlat=36.8025&amp;mlon=42.0992&amp;zoom=12#map=12/36.8025/42.0992","Maplink1")</f>
        <v>Maplink1</v>
      </c>
      <c r="AV2878" s="14" t="str">
        <f>HYPERLINK("https://www.google.iq/maps/search/+36.8025,42.0992/@36.8025,42.0992,14z?hl=en","Maplink2")</f>
        <v>Maplink2</v>
      </c>
      <c r="AW2878" s="14" t="str">
        <f>HYPERLINK("http://www.bing.com/maps/?lvl=14&amp;sty=h&amp;cp=36.8025~42.0992&amp;sp=point.36.8025_42.0992_Hay Al-Arbaeen","Maplink3")</f>
        <v>Maplink3</v>
      </c>
    </row>
    <row r="2879" spans="1:49" ht="15" customHeight="1" x14ac:dyDescent="0.25">
      <c r="A2879" s="21">
        <v>18308</v>
      </c>
      <c r="B2879" s="22" t="s">
        <v>21</v>
      </c>
      <c r="C2879" s="22" t="s">
        <v>5561</v>
      </c>
      <c r="D2879" s="22" t="s">
        <v>3417</v>
      </c>
      <c r="E2879" s="22" t="s">
        <v>120</v>
      </c>
      <c r="F2879" s="22">
        <v>36.808385000000001</v>
      </c>
      <c r="G2879" s="22">
        <v>42.090713000000001</v>
      </c>
      <c r="H2879" s="21" t="s">
        <v>5198</v>
      </c>
      <c r="I2879" s="21" t="s">
        <v>5563</v>
      </c>
      <c r="J2879" s="21"/>
      <c r="K2879" s="24">
        <v>291</v>
      </c>
      <c r="L2879" s="24">
        <v>1746</v>
      </c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291</v>
      </c>
      <c r="Z2879" s="23"/>
      <c r="AA2879" s="23"/>
      <c r="AB2879" s="23"/>
      <c r="AC2879" s="23"/>
      <c r="AD2879" s="23"/>
      <c r="AE2879" s="23"/>
      <c r="AF2879" s="23">
        <v>136</v>
      </c>
      <c r="AG2879" s="23"/>
      <c r="AH2879" s="23"/>
      <c r="AI2879" s="23"/>
      <c r="AJ2879" s="23"/>
      <c r="AK2879" s="23">
        <v>110</v>
      </c>
      <c r="AL2879" s="23"/>
      <c r="AM2879" s="23">
        <v>45</v>
      </c>
      <c r="AN2879" s="23"/>
      <c r="AO2879" s="23"/>
      <c r="AP2879" s="23"/>
      <c r="AQ2879" s="23"/>
      <c r="AR2879" s="23"/>
      <c r="AS2879" s="23">
        <v>286</v>
      </c>
      <c r="AT2879" s="23">
        <v>5</v>
      </c>
      <c r="AU2879" s="14" t="str">
        <f>HYPERLINK("http://www.openstreetmap.org/?mlat=36.8084&amp;mlon=42.0907&amp;zoom=12#map=12/36.8084/42.0907","Maplink1")</f>
        <v>Maplink1</v>
      </c>
      <c r="AV2879" s="14" t="str">
        <f>HYPERLINK("https://www.google.iq/maps/search/+36.8084,42.0907/@36.8084,42.0907,14z?hl=en","Maplink2")</f>
        <v>Maplink2</v>
      </c>
      <c r="AW2879" s="14" t="str">
        <f>HYPERLINK("http://www.bing.com/maps/?lvl=14&amp;sty=h&amp;cp=36.8084~42.0907&amp;sp=point.36.8084_42.0907_Hay Al-Aaskari","Maplink3")</f>
        <v>Maplink3</v>
      </c>
    </row>
    <row r="2880" spans="1:49" ht="15" customHeight="1" x14ac:dyDescent="0.25">
      <c r="A2880" s="21">
        <v>24701</v>
      </c>
      <c r="B2880" s="22" t="s">
        <v>21</v>
      </c>
      <c r="C2880" s="22" t="s">
        <v>5561</v>
      </c>
      <c r="D2880" s="22" t="s">
        <v>9006</v>
      </c>
      <c r="E2880" s="22" t="s">
        <v>9007</v>
      </c>
      <c r="F2880" s="22">
        <v>36.799892999999997</v>
      </c>
      <c r="G2880" s="22">
        <v>42.101542999999999</v>
      </c>
      <c r="H2880" s="21" t="s">
        <v>5198</v>
      </c>
      <c r="I2880" s="21" t="s">
        <v>5563</v>
      </c>
      <c r="J2880" s="21"/>
      <c r="K2880" s="24">
        <v>5</v>
      </c>
      <c r="L2880" s="24">
        <v>30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5</v>
      </c>
      <c r="Z2880" s="23"/>
      <c r="AA2880" s="23"/>
      <c r="AB2880" s="23"/>
      <c r="AC2880" s="23"/>
      <c r="AD2880" s="23"/>
      <c r="AE2880" s="23"/>
      <c r="AF2880" s="23">
        <v>5</v>
      </c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/>
      <c r="AS2880" s="23">
        <v>5</v>
      </c>
      <c r="AT2880" s="23"/>
      <c r="AU2880" s="14" t="str">
        <f>HYPERLINK("http://www.openstreetmap.org/?mlat=36.7999&amp;mlon=42.1015&amp;zoom=12#map=12/36.7999/42.1015","Maplink1")</f>
        <v>Maplink1</v>
      </c>
      <c r="AV2880" s="14" t="str">
        <f>HYPERLINK("https://www.google.iq/maps/search/+36.7999,42.1015/@36.7999,42.1015,14z?hl=en","Maplink2")</f>
        <v>Maplink2</v>
      </c>
      <c r="AW2880" s="14" t="str">
        <f>HYPERLINK("http://www.bing.com/maps/?lvl=14&amp;sty=h&amp;cp=36.7999~42.1015&amp;sp=point.36.7999_42.1015_Hay Al-Laban","Maplink3")</f>
        <v>Maplink3</v>
      </c>
    </row>
    <row r="2881" spans="1:49" ht="15" customHeight="1" x14ac:dyDescent="0.25">
      <c r="A2881" s="21">
        <v>18305</v>
      </c>
      <c r="B2881" s="22" t="s">
        <v>21</v>
      </c>
      <c r="C2881" s="22" t="s">
        <v>5561</v>
      </c>
      <c r="D2881" s="22" t="s">
        <v>5603</v>
      </c>
      <c r="E2881" s="22" t="s">
        <v>948</v>
      </c>
      <c r="F2881" s="22">
        <v>36.387056999999999</v>
      </c>
      <c r="G2881" s="22">
        <v>42.460937000000001</v>
      </c>
      <c r="H2881" s="21" t="s">
        <v>5198</v>
      </c>
      <c r="I2881" s="21" t="s">
        <v>5563</v>
      </c>
      <c r="J2881" s="21" t="s">
        <v>5604</v>
      </c>
      <c r="K2881" s="24">
        <v>34</v>
      </c>
      <c r="L2881" s="24">
        <v>204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34</v>
      </c>
      <c r="Z2881" s="23"/>
      <c r="AA2881" s="23"/>
      <c r="AB2881" s="23"/>
      <c r="AC2881" s="23"/>
      <c r="AD2881" s="23"/>
      <c r="AE2881" s="23"/>
      <c r="AF2881" s="23">
        <v>10</v>
      </c>
      <c r="AG2881" s="23"/>
      <c r="AH2881" s="23"/>
      <c r="AI2881" s="23"/>
      <c r="AJ2881" s="23"/>
      <c r="AK2881" s="23">
        <v>24</v>
      </c>
      <c r="AL2881" s="23"/>
      <c r="AM2881" s="23"/>
      <c r="AN2881" s="23"/>
      <c r="AO2881" s="23"/>
      <c r="AP2881" s="23"/>
      <c r="AQ2881" s="23"/>
      <c r="AR2881" s="23">
        <v>24</v>
      </c>
      <c r="AS2881" s="23">
        <v>10</v>
      </c>
      <c r="AT2881" s="23"/>
      <c r="AU2881" s="14" t="str">
        <f>HYPERLINK("http://www.openstreetmap.org/?mlat=36.3871&amp;mlon=42.4609&amp;zoom=12#map=12/36.3871/42.4609","Maplink1")</f>
        <v>Maplink1</v>
      </c>
      <c r="AV2881" s="14" t="str">
        <f>HYPERLINK("https://www.google.iq/maps/search/+36.3871,42.4609/@36.3871,42.4609,14z?hl=en","Maplink2")</f>
        <v>Maplink2</v>
      </c>
      <c r="AW2881" s="14" t="str">
        <f>HYPERLINK("http://www.bing.com/maps/?lvl=14&amp;sty=h&amp;cp=36.3871~42.4609&amp;sp=point.36.3871_42.4609_Hay Al Muthana","Maplink3")</f>
        <v>Maplink3</v>
      </c>
    </row>
    <row r="2882" spans="1:49" ht="15" customHeight="1" x14ac:dyDescent="0.25">
      <c r="A2882" s="21">
        <v>25688</v>
      </c>
      <c r="B2882" s="22" t="s">
        <v>21</v>
      </c>
      <c r="C2882" s="22" t="s">
        <v>5561</v>
      </c>
      <c r="D2882" s="22" t="s">
        <v>9008</v>
      </c>
      <c r="E2882" s="22" t="s">
        <v>225</v>
      </c>
      <c r="F2882" s="22">
        <v>36.806666</v>
      </c>
      <c r="G2882" s="22">
        <v>42.099963000000002</v>
      </c>
      <c r="H2882" s="21" t="s">
        <v>5198</v>
      </c>
      <c r="I2882" s="21" t="s">
        <v>5563</v>
      </c>
      <c r="J2882" s="21"/>
      <c r="K2882" s="24">
        <v>30</v>
      </c>
      <c r="L2882" s="24">
        <v>180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30</v>
      </c>
      <c r="Z2882" s="23"/>
      <c r="AA2882" s="23"/>
      <c r="AB2882" s="23"/>
      <c r="AC2882" s="23"/>
      <c r="AD2882" s="23"/>
      <c r="AE2882" s="23"/>
      <c r="AF2882" s="23">
        <v>30</v>
      </c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23"/>
      <c r="AS2882" s="23">
        <v>30</v>
      </c>
      <c r="AT2882" s="23"/>
      <c r="AU2882" s="14" t="str">
        <f>HYPERLINK("http://www.openstreetmap.org/?mlat=36.8067&amp;mlon=42.1&amp;zoom=12#map=12/36.8067/42.1","Maplink1")</f>
        <v>Maplink1</v>
      </c>
      <c r="AV2882" s="14" t="str">
        <f>HYPERLINK("https://www.google.iq/maps/search/+36.8067,42.1/@36.8067,42.1,14z?hl=en","Maplink2")</f>
        <v>Maplink2</v>
      </c>
      <c r="AW2882" s="14" t="str">
        <f>HYPERLINK("http://www.bing.com/maps/?lvl=14&amp;sty=h&amp;cp=36.8067~42.1&amp;sp=point.36.8067_42.1_Hay Al-Qadisya","Maplink3")</f>
        <v>Maplink3</v>
      </c>
    </row>
    <row r="2883" spans="1:49" ht="15" customHeight="1" x14ac:dyDescent="0.25">
      <c r="A2883" s="21">
        <v>25687</v>
      </c>
      <c r="B2883" s="22" t="s">
        <v>21</v>
      </c>
      <c r="C2883" s="22" t="s">
        <v>5561</v>
      </c>
      <c r="D2883" s="22" t="s">
        <v>9009</v>
      </c>
      <c r="E2883" s="22" t="s">
        <v>114</v>
      </c>
      <c r="F2883" s="22">
        <v>36.800964</v>
      </c>
      <c r="G2883" s="22">
        <v>42.089575000000004</v>
      </c>
      <c r="H2883" s="21" t="s">
        <v>5198</v>
      </c>
      <c r="I2883" s="21" t="s">
        <v>5563</v>
      </c>
      <c r="J2883" s="21"/>
      <c r="K2883" s="24">
        <v>20</v>
      </c>
      <c r="L2883" s="24">
        <v>120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20</v>
      </c>
      <c r="Z2883" s="23"/>
      <c r="AA2883" s="23"/>
      <c r="AB2883" s="23"/>
      <c r="AC2883" s="23"/>
      <c r="AD2883" s="23"/>
      <c r="AE2883" s="23"/>
      <c r="AF2883" s="23">
        <v>10</v>
      </c>
      <c r="AG2883" s="23"/>
      <c r="AH2883" s="23"/>
      <c r="AI2883" s="23"/>
      <c r="AJ2883" s="23"/>
      <c r="AK2883" s="23"/>
      <c r="AL2883" s="23"/>
      <c r="AM2883" s="23">
        <v>10</v>
      </c>
      <c r="AN2883" s="23"/>
      <c r="AO2883" s="23"/>
      <c r="AP2883" s="23"/>
      <c r="AQ2883" s="23"/>
      <c r="AR2883" s="23"/>
      <c r="AS2883" s="23">
        <v>20</v>
      </c>
      <c r="AT2883" s="23"/>
      <c r="AU2883" s="14" t="str">
        <f>HYPERLINK("http://www.openstreetmap.org/?mlat=36.801&amp;mlon=42.0896&amp;zoom=12#map=12/36.801/42.0896","Maplink1")</f>
        <v>Maplink1</v>
      </c>
      <c r="AV2883" s="14" t="str">
        <f>HYPERLINK("https://www.google.iq/maps/search/+36.801,42.0896/@36.801,42.0896,14z?hl=en","Maplink2")</f>
        <v>Maplink2</v>
      </c>
      <c r="AW2883" s="14" t="str">
        <f>HYPERLINK("http://www.bing.com/maps/?lvl=14&amp;sty=h&amp;cp=36.801~42.0896&amp;sp=point.36.801_42.0896_Hay Al-Sikak","Maplink3")</f>
        <v>Maplink3</v>
      </c>
    </row>
    <row r="2884" spans="1:49" ht="15" customHeight="1" x14ac:dyDescent="0.25">
      <c r="A2884" s="21">
        <v>18309</v>
      </c>
      <c r="B2884" s="22" t="s">
        <v>21</v>
      </c>
      <c r="C2884" s="22" t="s">
        <v>5561</v>
      </c>
      <c r="D2884" s="22" t="s">
        <v>5605</v>
      </c>
      <c r="E2884" s="22" t="s">
        <v>2190</v>
      </c>
      <c r="F2884" s="22">
        <v>36.382618000000001</v>
      </c>
      <c r="G2884" s="22">
        <v>42.465124000000003</v>
      </c>
      <c r="H2884" s="21" t="s">
        <v>5198</v>
      </c>
      <c r="I2884" s="21" t="s">
        <v>5563</v>
      </c>
      <c r="J2884" s="21"/>
      <c r="K2884" s="24">
        <v>59</v>
      </c>
      <c r="L2884" s="24">
        <v>354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59</v>
      </c>
      <c r="Z2884" s="23"/>
      <c r="AA2884" s="23"/>
      <c r="AB2884" s="23"/>
      <c r="AC2884" s="23"/>
      <c r="AD2884" s="23"/>
      <c r="AE2884" s="23"/>
      <c r="AF2884" s="23">
        <v>23</v>
      </c>
      <c r="AG2884" s="23"/>
      <c r="AH2884" s="23"/>
      <c r="AI2884" s="23"/>
      <c r="AJ2884" s="23"/>
      <c r="AK2884" s="23">
        <v>36</v>
      </c>
      <c r="AL2884" s="23"/>
      <c r="AM2884" s="23"/>
      <c r="AN2884" s="23"/>
      <c r="AO2884" s="23"/>
      <c r="AP2884" s="23"/>
      <c r="AQ2884" s="23"/>
      <c r="AR2884" s="23">
        <v>36</v>
      </c>
      <c r="AS2884" s="23">
        <v>23</v>
      </c>
      <c r="AT2884" s="23"/>
      <c r="AU2884" s="14" t="str">
        <f>HYPERLINK("http://www.openstreetmap.org/?mlat=36.3869&amp;mlon=42.4672&amp;zoom=12#map=12/36.3869/42.4672","Maplink1")</f>
        <v>Maplink1</v>
      </c>
      <c r="AV2884" s="14" t="str">
        <f>HYPERLINK("https://www.google.iq/maps/search/+36.3869,42.4672/@36.3869,42.4672,14z?hl=en","Maplink2")</f>
        <v>Maplink2</v>
      </c>
      <c r="AW2884" s="14" t="str">
        <f>HYPERLINK("http://www.bing.com/maps/?lvl=14&amp;sty=h&amp;cp=36.3869~42.4672&amp;sp=point.36.3869_42.4672_Hay Al Uroba","Maplink3")</f>
        <v>Maplink3</v>
      </c>
    </row>
    <row r="2885" spans="1:49" ht="15" customHeight="1" x14ac:dyDescent="0.25">
      <c r="A2885" s="21">
        <v>25819</v>
      </c>
      <c r="B2885" s="22" t="s">
        <v>21</v>
      </c>
      <c r="C2885" s="22" t="s">
        <v>5561</v>
      </c>
      <c r="D2885" s="22" t="s">
        <v>892</v>
      </c>
      <c r="E2885" s="22" t="s">
        <v>893</v>
      </c>
      <c r="F2885" s="22">
        <v>36.373448000000003</v>
      </c>
      <c r="G2885" s="22">
        <v>42.465091999999999</v>
      </c>
      <c r="H2885" s="21" t="s">
        <v>5198</v>
      </c>
      <c r="I2885" s="21" t="s">
        <v>5563</v>
      </c>
      <c r="J2885" s="21"/>
      <c r="K2885" s="24">
        <v>11</v>
      </c>
      <c r="L2885" s="24">
        <v>66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11</v>
      </c>
      <c r="Z2885" s="23"/>
      <c r="AA2885" s="23"/>
      <c r="AB2885" s="23"/>
      <c r="AC2885" s="23"/>
      <c r="AD2885" s="23"/>
      <c r="AE2885" s="23"/>
      <c r="AF2885" s="23">
        <v>11</v>
      </c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/>
      <c r="AR2885" s="23"/>
      <c r="AS2885" s="23">
        <v>11</v>
      </c>
      <c r="AT2885" s="23"/>
      <c r="AU2885" s="14" t="str">
        <f>HYPERLINK("http://www.openstreetmap.org/?mlat=36.3869&amp;mlon=42.4672&amp;zoom=12#map=12/36.3869/42.4672","Maplink1")</f>
        <v>Maplink1</v>
      </c>
      <c r="AV2885" s="14" t="str">
        <f>HYPERLINK("https://www.google.iq/maps/search/+36.3869,42.4672/@36.3869,42.4672,14z?hl=en","Maplink2")</f>
        <v>Maplink2</v>
      </c>
      <c r="AW2885" s="14" t="str">
        <f>HYPERLINK("http://www.bing.com/maps/?lvl=14&amp;sty=h&amp;cp=36.3869~42.4672&amp;sp=point.36.3869_42.4672_Telafar-Al Noor","Maplink3")</f>
        <v>Maplink3</v>
      </c>
    </row>
    <row r="2886" spans="1:49" ht="15" customHeight="1" x14ac:dyDescent="0.25">
      <c r="A2886" s="21">
        <v>25808</v>
      </c>
      <c r="B2886" s="22" t="s">
        <v>21</v>
      </c>
      <c r="C2886" s="22" t="s">
        <v>5561</v>
      </c>
      <c r="D2886" s="22" t="s">
        <v>9010</v>
      </c>
      <c r="E2886" s="22" t="s">
        <v>1516</v>
      </c>
      <c r="F2886" s="22">
        <v>36.807965000000003</v>
      </c>
      <c r="G2886" s="22">
        <v>42.096708</v>
      </c>
      <c r="H2886" s="21" t="s">
        <v>5198</v>
      </c>
      <c r="I2886" s="21" t="s">
        <v>5563</v>
      </c>
      <c r="J2886" s="21"/>
      <c r="K2886" s="24">
        <v>80</v>
      </c>
      <c r="L2886" s="24">
        <v>480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80</v>
      </c>
      <c r="Z2886" s="23"/>
      <c r="AA2886" s="23"/>
      <c r="AB2886" s="23"/>
      <c r="AC2886" s="23"/>
      <c r="AD2886" s="23"/>
      <c r="AE2886" s="23"/>
      <c r="AF2886" s="23">
        <v>40</v>
      </c>
      <c r="AG2886" s="23"/>
      <c r="AH2886" s="23"/>
      <c r="AI2886" s="23"/>
      <c r="AJ2886" s="23"/>
      <c r="AK2886" s="23">
        <v>40</v>
      </c>
      <c r="AL2886" s="23"/>
      <c r="AM2886" s="23"/>
      <c r="AN2886" s="23"/>
      <c r="AO2886" s="23"/>
      <c r="AP2886" s="23"/>
      <c r="AQ2886" s="23"/>
      <c r="AR2886" s="23"/>
      <c r="AS2886" s="23">
        <v>80</v>
      </c>
      <c r="AT2886" s="23"/>
      <c r="AU2886" s="14" t="str">
        <f>HYPERLINK("http://www.openstreetmap.org/?mlat=36.808&amp;mlon=42.0967&amp;zoom=12#map=12/36.808/42.0967","Maplink1")</f>
        <v>Maplink1</v>
      </c>
      <c r="AV2886" s="14" t="str">
        <f>HYPERLINK("https://www.google.iq/maps/search/+36.808,42.0967/@36.808,42.0967,14z?hl=en","Maplink2")</f>
        <v>Maplink2</v>
      </c>
      <c r="AW2886" s="14" t="str">
        <f>HYPERLINK("http://www.bing.com/maps/?lvl=14&amp;sty=h&amp;cp=36.808~42.0967&amp;sp=point.36.808_42.0967_Hay Al-Asreya","Maplink3")</f>
        <v>Maplink3</v>
      </c>
    </row>
    <row r="2887" spans="1:49" ht="15" customHeight="1" x14ac:dyDescent="0.25">
      <c r="A2887" s="21">
        <v>25807</v>
      </c>
      <c r="B2887" s="22" t="s">
        <v>21</v>
      </c>
      <c r="C2887" s="22" t="s">
        <v>5561</v>
      </c>
      <c r="D2887" s="22" t="s">
        <v>9011</v>
      </c>
      <c r="E2887" s="22" t="s">
        <v>9012</v>
      </c>
      <c r="F2887" s="22">
        <v>36.805712999999997</v>
      </c>
      <c r="G2887" s="22">
        <v>42.090367999999998</v>
      </c>
      <c r="H2887" s="21" t="s">
        <v>5198</v>
      </c>
      <c r="I2887" s="21" t="s">
        <v>5563</v>
      </c>
      <c r="J2887" s="21"/>
      <c r="K2887" s="24">
        <v>25</v>
      </c>
      <c r="L2887" s="24">
        <v>150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25</v>
      </c>
      <c r="Z2887" s="23"/>
      <c r="AA2887" s="23"/>
      <c r="AB2887" s="23"/>
      <c r="AC2887" s="23"/>
      <c r="AD2887" s="23"/>
      <c r="AE2887" s="23"/>
      <c r="AF2887" s="23">
        <v>25</v>
      </c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23"/>
      <c r="AS2887" s="23">
        <v>25</v>
      </c>
      <c r="AT2887" s="23"/>
      <c r="AU2887" s="14" t="str">
        <f>HYPERLINK("http://www.openstreetmap.org/?mlat=36.8057&amp;mlon=42.0904&amp;zoom=12#map=12/36.8057/42.0904","Maplink1")</f>
        <v>Maplink1</v>
      </c>
      <c r="AV2887" s="14" t="str">
        <f>HYPERLINK("https://www.google.iq/maps/search/+36.8057,42.0904/@36.8057,42.0904,14z?hl=en","Maplink2")</f>
        <v>Maplink2</v>
      </c>
      <c r="AW2887" s="14" t="str">
        <f>HYPERLINK("http://www.bing.com/maps/?lvl=14&amp;sty=h&amp;cp=36.8057~42.0904&amp;sp=point.36.8057_42.0904_Hay Al-dhahabe","Maplink3")</f>
        <v>Maplink3</v>
      </c>
    </row>
    <row r="2888" spans="1:49" ht="15" customHeight="1" x14ac:dyDescent="0.25">
      <c r="A2888" s="21">
        <v>22648</v>
      </c>
      <c r="B2888" s="22" t="s">
        <v>21</v>
      </c>
      <c r="C2888" s="22" t="s">
        <v>5561</v>
      </c>
      <c r="D2888" s="22" t="s">
        <v>5606</v>
      </c>
      <c r="E2888" s="22" t="s">
        <v>5607</v>
      </c>
      <c r="F2888" s="22">
        <v>36.532316999999999</v>
      </c>
      <c r="G2888" s="22">
        <v>42.705795999999999</v>
      </c>
      <c r="H2888" s="21" t="s">
        <v>5198</v>
      </c>
      <c r="I2888" s="21" t="s">
        <v>5563</v>
      </c>
      <c r="J2888" s="21" t="s">
        <v>5608</v>
      </c>
      <c r="K2888" s="24">
        <v>275</v>
      </c>
      <c r="L2888" s="24">
        <v>1650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275</v>
      </c>
      <c r="Z2888" s="23"/>
      <c r="AA2888" s="23"/>
      <c r="AB2888" s="23"/>
      <c r="AC2888" s="23"/>
      <c r="AD2888" s="23"/>
      <c r="AE2888" s="23"/>
      <c r="AF2888" s="23">
        <v>275</v>
      </c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/>
      <c r="AR2888" s="23"/>
      <c r="AS2888" s="23">
        <v>275</v>
      </c>
      <c r="AT2888" s="23"/>
      <c r="AU2888" s="14" t="str">
        <f>HYPERLINK("http://www.openstreetmap.org/?mlat=36.5323&amp;mlon=42.7058&amp;zoom=12#map=12/36.5323/42.7058","Maplink1")</f>
        <v>Maplink1</v>
      </c>
      <c r="AV2888" s="14" t="str">
        <f>HYPERLINK("https://www.google.iq/maps/search/+36.5323,42.7058/@36.5323,42.7058,14z?hl=en","Maplink2")</f>
        <v>Maplink2</v>
      </c>
      <c r="AW2888" s="14" t="str">
        <f>HYPERLINK("http://www.bing.com/maps/?lvl=14&amp;sty=h&amp;cp=36.5323~42.7058&amp;sp=point.36.5323_42.7058_Al Angaa","Maplink3")</f>
        <v>Maplink3</v>
      </c>
    </row>
    <row r="2889" spans="1:49" ht="15" customHeight="1" x14ac:dyDescent="0.25">
      <c r="A2889" s="21">
        <v>22923</v>
      </c>
      <c r="B2889" s="22" t="s">
        <v>21</v>
      </c>
      <c r="C2889" s="22" t="s">
        <v>5561</v>
      </c>
      <c r="D2889" s="22" t="s">
        <v>5609</v>
      </c>
      <c r="E2889" s="22" t="s">
        <v>5610</v>
      </c>
      <c r="F2889" s="22">
        <v>36.555441000000002</v>
      </c>
      <c r="G2889" s="22">
        <v>42.348306999999998</v>
      </c>
      <c r="H2889" s="21" t="s">
        <v>5198</v>
      </c>
      <c r="I2889" s="21" t="s">
        <v>5563</v>
      </c>
      <c r="J2889" s="21" t="s">
        <v>5611</v>
      </c>
      <c r="K2889" s="24">
        <v>93</v>
      </c>
      <c r="L2889" s="24">
        <v>558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93</v>
      </c>
      <c r="Z2889" s="23"/>
      <c r="AA2889" s="23"/>
      <c r="AB2889" s="23"/>
      <c r="AC2889" s="23"/>
      <c r="AD2889" s="23"/>
      <c r="AE2889" s="23"/>
      <c r="AF2889" s="23">
        <v>48</v>
      </c>
      <c r="AG2889" s="23"/>
      <c r="AH2889" s="23"/>
      <c r="AI2889" s="23">
        <v>5</v>
      </c>
      <c r="AJ2889" s="23"/>
      <c r="AK2889" s="23"/>
      <c r="AL2889" s="23"/>
      <c r="AM2889" s="23">
        <v>40</v>
      </c>
      <c r="AN2889" s="23"/>
      <c r="AO2889" s="23"/>
      <c r="AP2889" s="23"/>
      <c r="AQ2889" s="23"/>
      <c r="AR2889" s="23">
        <v>93</v>
      </c>
      <c r="AS2889" s="23"/>
      <c r="AT2889" s="23"/>
      <c r="AU2889" s="14" t="str">
        <f>HYPERLINK("http://www.openstreetmap.org/?mlat=36.5554&amp;mlon=42.3483&amp;zoom=12#map=12/36.5554/42.3483","Maplink1")</f>
        <v>Maplink1</v>
      </c>
      <c r="AV2889" s="14" t="str">
        <f>HYPERLINK("https://www.google.iq/maps/search/+36.5554,42.3483/@36.5554,42.3483,14z?hl=en","Maplink2")</f>
        <v>Maplink2</v>
      </c>
      <c r="AW2889" s="14" t="str">
        <f>HYPERLINK("http://www.bing.com/maps/?lvl=14&amp;sty=h&amp;cp=36.5554~42.3483&amp;sp=point.36.5554_42.3483_Kakhirta","Maplink3")</f>
        <v>Maplink3</v>
      </c>
    </row>
    <row r="2890" spans="1:49" ht="15" customHeight="1" x14ac:dyDescent="0.25">
      <c r="A2890" s="21">
        <v>28451</v>
      </c>
      <c r="B2890" s="22" t="s">
        <v>21</v>
      </c>
      <c r="C2890" s="22" t="s">
        <v>5561</v>
      </c>
      <c r="D2890" s="22" t="s">
        <v>7473</v>
      </c>
      <c r="E2890" s="22" t="s">
        <v>5565</v>
      </c>
      <c r="F2890" s="22">
        <v>36.729982</v>
      </c>
      <c r="G2890" s="22">
        <v>42.389882</v>
      </c>
      <c r="H2890" s="21" t="s">
        <v>5198</v>
      </c>
      <c r="I2890" s="21" t="s">
        <v>5563</v>
      </c>
      <c r="J2890" s="21"/>
      <c r="K2890" s="24">
        <v>80</v>
      </c>
      <c r="L2890" s="24">
        <v>480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80</v>
      </c>
      <c r="Z2890" s="23"/>
      <c r="AA2890" s="23"/>
      <c r="AB2890" s="23"/>
      <c r="AC2890" s="23"/>
      <c r="AD2890" s="23"/>
      <c r="AE2890" s="23"/>
      <c r="AF2890" s="23">
        <v>80</v>
      </c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23">
        <v>63</v>
      </c>
      <c r="AS2890" s="23">
        <v>11</v>
      </c>
      <c r="AT2890" s="23">
        <v>6</v>
      </c>
      <c r="AU2890" s="14" t="str">
        <f>HYPERLINK("http://www.openstreetmap.org/?mlat=36.73&amp;mlon=42.3899&amp;zoom=12#map=12/36.73/42.3899","Maplink1")</f>
        <v>Maplink1</v>
      </c>
      <c r="AV2890" s="14" t="str">
        <f>HYPERLINK("https://www.google.iq/maps/search/+36.73,42.3899/@36.73,42.3899,14z?hl=en","Maplink2")</f>
        <v>Maplink2</v>
      </c>
      <c r="AW2890" s="14" t="str">
        <f>HYPERLINK("http://www.bing.com/maps/?lvl=14&amp;sty=h&amp;cp=36.73~42.3899&amp;sp=point.36.73_42.3899_Al Angaa","Maplink3")</f>
        <v>Maplink3</v>
      </c>
    </row>
    <row r="2891" spans="1:49" ht="15" customHeight="1" x14ac:dyDescent="0.25">
      <c r="A2891" s="21">
        <v>27304</v>
      </c>
      <c r="B2891" s="22" t="s">
        <v>21</v>
      </c>
      <c r="C2891" s="22" t="s">
        <v>5561</v>
      </c>
      <c r="D2891" s="22" t="s">
        <v>5612</v>
      </c>
      <c r="E2891" s="22" t="s">
        <v>5613</v>
      </c>
      <c r="F2891" s="22">
        <v>36.759332999999998</v>
      </c>
      <c r="G2891" s="22">
        <v>42.455733000000002</v>
      </c>
      <c r="H2891" s="21"/>
      <c r="I2891" s="21"/>
      <c r="J2891" s="21"/>
      <c r="K2891" s="24">
        <v>170</v>
      </c>
      <c r="L2891" s="24">
        <v>1020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170</v>
      </c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/>
      <c r="AK2891" s="23"/>
      <c r="AL2891" s="23"/>
      <c r="AM2891" s="23">
        <v>170</v>
      </c>
      <c r="AN2891" s="23"/>
      <c r="AO2891" s="23"/>
      <c r="AP2891" s="23"/>
      <c r="AQ2891" s="23"/>
      <c r="AR2891" s="23"/>
      <c r="AS2891" s="23">
        <v>170</v>
      </c>
      <c r="AT2891" s="23"/>
      <c r="AU2891" s="14" t="str">
        <f>HYPERLINK("http://www.openstreetmap.org/?mlat=36.7593&amp;mlon=42.4557&amp;zoom=12#map=12/36.7593/42.4557","Maplink1")</f>
        <v>Maplink1</v>
      </c>
      <c r="AV2891" s="14" t="str">
        <f>HYPERLINK("https://www.google.iq/maps/search/+36.7593,42.4557/@36.7593,42.4557,14z?hl=en","Maplink2")</f>
        <v>Maplink2</v>
      </c>
      <c r="AW2891" s="14" t="str">
        <f>HYPERLINK("http://www.bing.com/maps/?lvl=14&amp;sty=h&amp;cp=36.7593~42.4557&amp;sp=point.36.7593_42.4557_Kharabat Ashiq","Maplink3")</f>
        <v>Maplink3</v>
      </c>
    </row>
    <row r="2892" spans="1:49" ht="15" customHeight="1" x14ac:dyDescent="0.25">
      <c r="A2892" s="21">
        <v>17655</v>
      </c>
      <c r="B2892" s="22" t="s">
        <v>21</v>
      </c>
      <c r="C2892" s="22" t="s">
        <v>5561</v>
      </c>
      <c r="D2892" s="22" t="s">
        <v>5614</v>
      </c>
      <c r="E2892" s="22" t="s">
        <v>5615</v>
      </c>
      <c r="F2892" s="22">
        <v>36.620711</v>
      </c>
      <c r="G2892" s="22">
        <v>42.382499000000003</v>
      </c>
      <c r="H2892" s="21" t="s">
        <v>5198</v>
      </c>
      <c r="I2892" s="21" t="s">
        <v>5563</v>
      </c>
      <c r="J2892" s="21" t="s">
        <v>5616</v>
      </c>
      <c r="K2892" s="24">
        <v>125</v>
      </c>
      <c r="L2892" s="24">
        <v>750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125</v>
      </c>
      <c r="Z2892" s="23"/>
      <c r="AA2892" s="23"/>
      <c r="AB2892" s="23"/>
      <c r="AC2892" s="23"/>
      <c r="AD2892" s="23"/>
      <c r="AE2892" s="23"/>
      <c r="AF2892" s="23">
        <v>75</v>
      </c>
      <c r="AG2892" s="23"/>
      <c r="AH2892" s="23"/>
      <c r="AI2892" s="23"/>
      <c r="AJ2892" s="23"/>
      <c r="AK2892" s="23"/>
      <c r="AL2892" s="23"/>
      <c r="AM2892" s="23">
        <v>50</v>
      </c>
      <c r="AN2892" s="23"/>
      <c r="AO2892" s="23"/>
      <c r="AP2892" s="23"/>
      <c r="AQ2892" s="23"/>
      <c r="AR2892" s="23">
        <v>120</v>
      </c>
      <c r="AS2892" s="23">
        <v>5</v>
      </c>
      <c r="AT2892" s="23"/>
      <c r="AU2892" s="14" t="str">
        <f>HYPERLINK("http://www.openstreetmap.org/?mlat=36.6207&amp;mlon=42.3825&amp;zoom=12#map=12/36.6207/42.3825","Maplink1")</f>
        <v>Maplink1</v>
      </c>
      <c r="AV2892" s="14" t="str">
        <f>HYPERLINK("https://www.google.iq/maps/search/+36.6207,42.3825/@36.6207,42.3825,14z?hl=en","Maplink2")</f>
        <v>Maplink2</v>
      </c>
      <c r="AW2892" s="14" t="str">
        <f>HYPERLINK("http://www.bing.com/maps/?lvl=14&amp;sty=h&amp;cp=36.6207~42.3825&amp;sp=point.36.6207_42.3825_Khrmer","Maplink3")</f>
        <v>Maplink3</v>
      </c>
    </row>
    <row r="2893" spans="1:49" ht="15" customHeight="1" x14ac:dyDescent="0.25">
      <c r="A2893" s="21">
        <v>25695</v>
      </c>
      <c r="B2893" s="22" t="s">
        <v>21</v>
      </c>
      <c r="C2893" s="22" t="s">
        <v>5561</v>
      </c>
      <c r="D2893" s="22" t="s">
        <v>9013</v>
      </c>
      <c r="E2893" s="22" t="s">
        <v>9014</v>
      </c>
      <c r="F2893" s="22">
        <v>36.903126999999998</v>
      </c>
      <c r="G2893" s="22">
        <v>42.393847999999998</v>
      </c>
      <c r="H2893" s="21" t="s">
        <v>5198</v>
      </c>
      <c r="I2893" s="21" t="s">
        <v>5563</v>
      </c>
      <c r="J2893" s="21"/>
      <c r="K2893" s="24">
        <v>10</v>
      </c>
      <c r="L2893" s="24">
        <v>60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10</v>
      </c>
      <c r="Z2893" s="23"/>
      <c r="AA2893" s="23"/>
      <c r="AB2893" s="23"/>
      <c r="AC2893" s="23"/>
      <c r="AD2893" s="23"/>
      <c r="AE2893" s="23"/>
      <c r="AF2893" s="23">
        <v>10</v>
      </c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>
        <v>10</v>
      </c>
      <c r="AR2893" s="23"/>
      <c r="AS2893" s="23"/>
      <c r="AT2893" s="23"/>
      <c r="AU2893" s="14" t="str">
        <f>HYPERLINK("http://www.openstreetmap.org/?mlat=36.9031&amp;mlon=42.3938&amp;zoom=12#map=12/36.9031/42.3938","Maplink1")</f>
        <v>Maplink1</v>
      </c>
      <c r="AV2893" s="14" t="str">
        <f>HYPERLINK("https://www.google.iq/maps/search/+36.9031,42.3938/@36.9031,42.3938,14z?hl=en","Maplink2")</f>
        <v>Maplink2</v>
      </c>
      <c r="AW2893" s="14" t="str">
        <f>HYPERLINK("http://www.bing.com/maps/?lvl=14&amp;sty=h&amp;cp=36.9031~42.3938&amp;sp=point.36.9031_42.3938_Kirfir","Maplink3")</f>
        <v>Maplink3</v>
      </c>
    </row>
    <row r="2894" spans="1:49" ht="15" customHeight="1" x14ac:dyDescent="0.25">
      <c r="A2894" s="21">
        <v>17951</v>
      </c>
      <c r="B2894" s="22" t="s">
        <v>21</v>
      </c>
      <c r="C2894" s="22" t="s">
        <v>5561</v>
      </c>
      <c r="D2894" s="22" t="s">
        <v>5617</v>
      </c>
      <c r="E2894" s="22" t="s">
        <v>5618</v>
      </c>
      <c r="F2894" s="22">
        <v>36.374955</v>
      </c>
      <c r="G2894" s="22">
        <v>42.450339</v>
      </c>
      <c r="H2894" s="21" t="s">
        <v>5198</v>
      </c>
      <c r="I2894" s="21" t="s">
        <v>5563</v>
      </c>
      <c r="J2894" s="21" t="s">
        <v>5619</v>
      </c>
      <c r="K2894" s="24">
        <v>250</v>
      </c>
      <c r="L2894" s="24">
        <v>1500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250</v>
      </c>
      <c r="Z2894" s="23"/>
      <c r="AA2894" s="23"/>
      <c r="AB2894" s="23"/>
      <c r="AC2894" s="23"/>
      <c r="AD2894" s="23"/>
      <c r="AE2894" s="23"/>
      <c r="AF2894" s="23">
        <v>95</v>
      </c>
      <c r="AG2894" s="23"/>
      <c r="AH2894" s="23"/>
      <c r="AI2894" s="23"/>
      <c r="AJ2894" s="23"/>
      <c r="AK2894" s="23"/>
      <c r="AL2894" s="23"/>
      <c r="AM2894" s="23">
        <v>55</v>
      </c>
      <c r="AN2894" s="23">
        <v>100</v>
      </c>
      <c r="AO2894" s="23"/>
      <c r="AP2894" s="23"/>
      <c r="AQ2894" s="23"/>
      <c r="AR2894" s="23"/>
      <c r="AS2894" s="23">
        <v>250</v>
      </c>
      <c r="AT2894" s="23"/>
      <c r="AU2894" s="14" t="str">
        <f>HYPERLINK("http://www.openstreetmap.org/?mlat=36.375&amp;mlon=42.4503&amp;zoom=12#map=12/36.375/42.4503","Maplink1")</f>
        <v>Maplink1</v>
      </c>
      <c r="AV2894" s="14" t="str">
        <f>HYPERLINK("https://www.google.iq/maps/search/+36.375,42.4503/@36.375,42.4503,14z?hl=en","Maplink2")</f>
        <v>Maplink2</v>
      </c>
      <c r="AW2894" s="14" t="str">
        <f>HYPERLINK("http://www.bing.com/maps/?lvl=14&amp;sty=h&amp;cp=36.375~42.4503&amp;sp=point.36.375_42.4503_Markaz Talafar","Maplink3")</f>
        <v>Maplink3</v>
      </c>
    </row>
    <row r="2895" spans="1:49" ht="15" customHeight="1" x14ac:dyDescent="0.25">
      <c r="A2895" s="21">
        <v>28442</v>
      </c>
      <c r="B2895" s="22" t="s">
        <v>21</v>
      </c>
      <c r="C2895" s="22" t="s">
        <v>5561</v>
      </c>
      <c r="D2895" s="22" t="s">
        <v>7474</v>
      </c>
      <c r="E2895" s="22" t="s">
        <v>5566</v>
      </c>
      <c r="F2895" s="22">
        <v>36.717669999999998</v>
      </c>
      <c r="G2895" s="22">
        <v>42.328175000000002</v>
      </c>
      <c r="H2895" s="21" t="s">
        <v>5198</v>
      </c>
      <c r="I2895" s="21" t="s">
        <v>5563</v>
      </c>
      <c r="J2895" s="21"/>
      <c r="K2895" s="24">
        <v>80</v>
      </c>
      <c r="L2895" s="24">
        <v>480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80</v>
      </c>
      <c r="Z2895" s="23"/>
      <c r="AA2895" s="23"/>
      <c r="AB2895" s="23"/>
      <c r="AC2895" s="23"/>
      <c r="AD2895" s="23"/>
      <c r="AE2895" s="23"/>
      <c r="AF2895" s="23">
        <v>80</v>
      </c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/>
      <c r="AR2895" s="23">
        <v>52</v>
      </c>
      <c r="AS2895" s="23">
        <v>22</v>
      </c>
      <c r="AT2895" s="23">
        <v>6</v>
      </c>
      <c r="AU2895" s="14" t="str">
        <f>HYPERLINK("http://www.openstreetmap.org/?mlat=36.7177&amp;mlon=42.3282&amp;zoom=12#map=12/36.7177/42.3282","Maplink1")</f>
        <v>Maplink1</v>
      </c>
      <c r="AV2895" s="14" t="str">
        <f>HYPERLINK("https://www.google.iq/maps/search/+36.7177,42.3282/@36.7177,42.3282,14z?hl=en","Maplink2")</f>
        <v>Maplink2</v>
      </c>
      <c r="AW2895" s="14" t="str">
        <f>HYPERLINK("http://www.bing.com/maps/?lvl=14&amp;sty=h&amp;cp=36.7177~42.3282&amp;sp=point.36.7177_42.3282_Al Angaa","Maplink3")</f>
        <v>Maplink3</v>
      </c>
    </row>
    <row r="2896" spans="1:49" ht="15" customHeight="1" x14ac:dyDescent="0.25">
      <c r="A2896" s="21">
        <v>25944</v>
      </c>
      <c r="B2896" s="22" t="s">
        <v>21</v>
      </c>
      <c r="C2896" s="22" t="s">
        <v>5561</v>
      </c>
      <c r="D2896" s="22" t="s">
        <v>9015</v>
      </c>
      <c r="E2896" s="22" t="s">
        <v>9016</v>
      </c>
      <c r="F2896" s="22">
        <v>36.656371999999998</v>
      </c>
      <c r="G2896" s="22">
        <v>42.601913000000003</v>
      </c>
      <c r="H2896" s="21" t="s">
        <v>5198</v>
      </c>
      <c r="I2896" s="21" t="s">
        <v>5563</v>
      </c>
      <c r="J2896" s="21"/>
      <c r="K2896" s="24">
        <v>1505</v>
      </c>
      <c r="L2896" s="24">
        <v>9030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1505</v>
      </c>
      <c r="Z2896" s="23"/>
      <c r="AA2896" s="23"/>
      <c r="AB2896" s="23"/>
      <c r="AC2896" s="23"/>
      <c r="AD2896" s="23"/>
      <c r="AE2896" s="23"/>
      <c r="AF2896" s="23">
        <v>500</v>
      </c>
      <c r="AG2896" s="23"/>
      <c r="AH2896" s="23"/>
      <c r="AI2896" s="23"/>
      <c r="AJ2896" s="23"/>
      <c r="AK2896" s="23">
        <v>1005</v>
      </c>
      <c r="AL2896" s="23"/>
      <c r="AM2896" s="23"/>
      <c r="AN2896" s="23"/>
      <c r="AO2896" s="23"/>
      <c r="AP2896" s="23"/>
      <c r="AQ2896" s="23"/>
      <c r="AR2896" s="23"/>
      <c r="AS2896" s="23">
        <v>1500</v>
      </c>
      <c r="AT2896" s="23">
        <v>5</v>
      </c>
      <c r="AU2896" s="14" t="str">
        <f>HYPERLINK("http://www.openstreetmap.org/?mlat=36.6564&amp;mlon=42.6019&amp;zoom=12#map=12/36.6564/42.6019","Maplink1")</f>
        <v>Maplink1</v>
      </c>
      <c r="AV2896" s="14" t="str">
        <f>HYPERLINK("https://www.google.iq/maps/search/+36.6564,42.6019/@36.6564,42.6019,14z?hl=en","Maplink2")</f>
        <v>Maplink2</v>
      </c>
      <c r="AW2896" s="14" t="str">
        <f>HYPERLINK("http://www.bing.com/maps/?lvl=14&amp;sty=h&amp;cp=36.6564~42.6019&amp;sp=point.36.6564_42.6019_Qasaba Al Zummar","Maplink3")</f>
        <v>Maplink3</v>
      </c>
    </row>
    <row r="2897" spans="1:49" ht="15" customHeight="1" x14ac:dyDescent="0.25">
      <c r="A2897" s="21">
        <v>28441</v>
      </c>
      <c r="B2897" s="22" t="s">
        <v>21</v>
      </c>
      <c r="C2897" s="22" t="s">
        <v>5561</v>
      </c>
      <c r="D2897" s="22" t="s">
        <v>7475</v>
      </c>
      <c r="E2897" s="22" t="s">
        <v>5567</v>
      </c>
      <c r="F2897" s="22">
        <v>36.716928000000003</v>
      </c>
      <c r="G2897" s="22">
        <v>42.077748</v>
      </c>
      <c r="H2897" s="21" t="s">
        <v>5198</v>
      </c>
      <c r="I2897" s="21" t="s">
        <v>5563</v>
      </c>
      <c r="J2897" s="21"/>
      <c r="K2897" s="24">
        <v>12</v>
      </c>
      <c r="L2897" s="24">
        <v>72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12</v>
      </c>
      <c r="Z2897" s="23"/>
      <c r="AA2897" s="23"/>
      <c r="AB2897" s="23"/>
      <c r="AC2897" s="23"/>
      <c r="AD2897" s="23"/>
      <c r="AE2897" s="23"/>
      <c r="AF2897" s="23">
        <v>12</v>
      </c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/>
      <c r="AR2897" s="23">
        <v>11</v>
      </c>
      <c r="AS2897" s="23"/>
      <c r="AT2897" s="23">
        <v>1</v>
      </c>
      <c r="AU2897" s="14" t="str">
        <f>HYPERLINK("http://www.openstreetmap.org/?mlat=36.7169&amp;mlon=42.0777&amp;zoom=12#map=12/36.7169/42.0777","Maplink1")</f>
        <v>Maplink1</v>
      </c>
      <c r="AV2897" s="14" t="str">
        <f>HYPERLINK("https://www.google.iq/maps/search/+36.7169,42.0777/@36.7169,42.0777,14z?hl=en","Maplink2")</f>
        <v>Maplink2</v>
      </c>
      <c r="AW2897" s="14" t="str">
        <f>HYPERLINK("http://www.bing.com/maps/?lvl=14&amp;sty=h&amp;cp=36.7169~42.0777&amp;sp=point.36.7169_42.0777_Al Angaa","Maplink3")</f>
        <v>Maplink3</v>
      </c>
    </row>
    <row r="2898" spans="1:49" ht="15" customHeight="1" x14ac:dyDescent="0.25">
      <c r="A2898" s="21">
        <v>18238</v>
      </c>
      <c r="B2898" s="22" t="s">
        <v>21</v>
      </c>
      <c r="C2898" s="22" t="s">
        <v>5561</v>
      </c>
      <c r="D2898" s="22" t="s">
        <v>5620</v>
      </c>
      <c r="E2898" s="22" t="s">
        <v>5621</v>
      </c>
      <c r="F2898" s="22">
        <v>36.577086999999999</v>
      </c>
      <c r="G2898" s="22">
        <v>42.381328000000003</v>
      </c>
      <c r="H2898" s="21" t="s">
        <v>5198</v>
      </c>
      <c r="I2898" s="21" t="s">
        <v>5563</v>
      </c>
      <c r="J2898" s="21" t="s">
        <v>5622</v>
      </c>
      <c r="K2898" s="24">
        <v>50</v>
      </c>
      <c r="L2898" s="24">
        <v>300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50</v>
      </c>
      <c r="Z2898" s="23"/>
      <c r="AA2898" s="23"/>
      <c r="AB2898" s="23"/>
      <c r="AC2898" s="23"/>
      <c r="AD2898" s="23"/>
      <c r="AE2898" s="23"/>
      <c r="AF2898" s="23">
        <v>50</v>
      </c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/>
      <c r="AR2898" s="23">
        <v>20</v>
      </c>
      <c r="AS2898" s="23">
        <v>30</v>
      </c>
      <c r="AT2898" s="23"/>
      <c r="AU2898" s="14" t="str">
        <f>HYPERLINK("http://www.openstreetmap.org/?mlat=36.5771&amp;mlon=42.3813&amp;zoom=12#map=12/36.5771/42.3813","Maplink1")</f>
        <v>Maplink1</v>
      </c>
      <c r="AV2898" s="14" t="str">
        <f>HYPERLINK("https://www.google.iq/maps/search/+36.5771,42.3813/@36.5771,42.3813,14z?hl=en","Maplink2")</f>
        <v>Maplink2</v>
      </c>
      <c r="AW2898" s="14" t="str">
        <f>HYPERLINK("http://www.bing.com/maps/?lvl=14&amp;sty=h&amp;cp=36.5771~42.3813&amp;sp=point.36.5771_42.3813_Sahal albawghuh","Maplink3")</f>
        <v>Maplink3</v>
      </c>
    </row>
    <row r="2899" spans="1:49" ht="15" customHeight="1" x14ac:dyDescent="0.25">
      <c r="A2899" s="21">
        <v>25689</v>
      </c>
      <c r="B2899" s="22" t="s">
        <v>21</v>
      </c>
      <c r="C2899" s="22" t="s">
        <v>5561</v>
      </c>
      <c r="D2899" s="22" t="s">
        <v>7344</v>
      </c>
      <c r="E2899" s="22" t="s">
        <v>5623</v>
      </c>
      <c r="F2899" s="22">
        <v>36.816029</v>
      </c>
      <c r="G2899" s="22">
        <v>42.421132999999998</v>
      </c>
      <c r="H2899" s="21" t="s">
        <v>5198</v>
      </c>
      <c r="I2899" s="21" t="s">
        <v>5563</v>
      </c>
      <c r="J2899" s="21"/>
      <c r="K2899" s="24">
        <v>5</v>
      </c>
      <c r="L2899" s="24">
        <v>30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5</v>
      </c>
      <c r="Z2899" s="23"/>
      <c r="AA2899" s="23"/>
      <c r="AB2899" s="23"/>
      <c r="AC2899" s="23"/>
      <c r="AD2899" s="23"/>
      <c r="AE2899" s="23"/>
      <c r="AF2899" s="23">
        <v>5</v>
      </c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>
        <v>5</v>
      </c>
      <c r="AR2899" s="23"/>
      <c r="AS2899" s="23"/>
      <c r="AT2899" s="23"/>
      <c r="AU2899" s="14" t="str">
        <f>HYPERLINK("http://www.openstreetmap.org/?mlat=36.816&amp;mlon=42.4211&amp;zoom=12#map=12/36.816/42.4211","Maplink1")</f>
        <v>Maplink1</v>
      </c>
      <c r="AV2899" s="14" t="str">
        <f>HYPERLINK("https://www.google.iq/maps/search/+36.816,42.4211/@36.816,42.4211,14z?hl=en","Maplink2")</f>
        <v>Maplink2</v>
      </c>
      <c r="AW2899" s="14" t="str">
        <f>HYPERLINK("http://www.bing.com/maps/?lvl=14&amp;sty=h&amp;cp=36.816~42.4211&amp;sp=point.36.816_42.4211_Sahel hamad","Maplink3")</f>
        <v>Maplink3</v>
      </c>
    </row>
    <row r="2900" spans="1:49" ht="15" customHeight="1" x14ac:dyDescent="0.25">
      <c r="A2900" s="21">
        <v>17932</v>
      </c>
      <c r="B2900" s="22" t="s">
        <v>21</v>
      </c>
      <c r="C2900" s="22" t="s">
        <v>5561</v>
      </c>
      <c r="D2900" s="22" t="s">
        <v>5624</v>
      </c>
      <c r="E2900" s="22" t="s">
        <v>5625</v>
      </c>
      <c r="F2900" s="22">
        <v>36.540534999999998</v>
      </c>
      <c r="G2900" s="22">
        <v>42.746631999999998</v>
      </c>
      <c r="H2900" s="21" t="s">
        <v>5198</v>
      </c>
      <c r="I2900" s="21" t="s">
        <v>5563</v>
      </c>
      <c r="J2900" s="21" t="s">
        <v>5626</v>
      </c>
      <c r="K2900" s="24">
        <v>460</v>
      </c>
      <c r="L2900" s="24">
        <v>2760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460</v>
      </c>
      <c r="Z2900" s="23"/>
      <c r="AA2900" s="23"/>
      <c r="AB2900" s="23"/>
      <c r="AC2900" s="23"/>
      <c r="AD2900" s="23"/>
      <c r="AE2900" s="23"/>
      <c r="AF2900" s="23">
        <v>460</v>
      </c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23"/>
      <c r="AS2900" s="23">
        <v>460</v>
      </c>
      <c r="AT2900" s="23"/>
      <c r="AU2900" s="14" t="str">
        <f>HYPERLINK("http://www.openstreetmap.org/?mlat=36.5405&amp;mlon=42.7466&amp;zoom=12#map=12/36.5405/42.7466","Maplink1")</f>
        <v>Maplink1</v>
      </c>
      <c r="AV2900" s="14" t="str">
        <f>HYPERLINK("https://www.google.iq/maps/search/+36.5405,42.7466/@36.5405,42.7466,14z?hl=en","Maplink2")</f>
        <v>Maplink2</v>
      </c>
      <c r="AW2900" s="14" t="str">
        <f>HYPERLINK("http://www.bing.com/maps/?lvl=14&amp;sty=h&amp;cp=36.5405~42.7466&amp;sp=point.36.5405_42.7466_Al Angaa","Maplink3")</f>
        <v>Maplink3</v>
      </c>
    </row>
    <row r="2901" spans="1:49" ht="15" customHeight="1" x14ac:dyDescent="0.25">
      <c r="A2901" s="21">
        <v>17814</v>
      </c>
      <c r="B2901" s="22" t="s">
        <v>21</v>
      </c>
      <c r="C2901" s="22" t="s">
        <v>5561</v>
      </c>
      <c r="D2901" s="22" t="s">
        <v>5627</v>
      </c>
      <c r="E2901" s="22" t="s">
        <v>9017</v>
      </c>
      <c r="F2901" s="22">
        <v>36.748497999999998</v>
      </c>
      <c r="G2901" s="22">
        <v>42.305275999999999</v>
      </c>
      <c r="H2901" s="21" t="s">
        <v>5198</v>
      </c>
      <c r="I2901" s="21" t="s">
        <v>5563</v>
      </c>
      <c r="J2901" s="21" t="s">
        <v>5628</v>
      </c>
      <c r="K2901" s="24">
        <v>7</v>
      </c>
      <c r="L2901" s="24">
        <v>42</v>
      </c>
      <c r="M2901" s="23"/>
      <c r="N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>
        <v>7</v>
      </c>
      <c r="Z2901" s="23"/>
      <c r="AA2901" s="23"/>
      <c r="AB2901" s="23"/>
      <c r="AC2901" s="23"/>
      <c r="AD2901" s="23"/>
      <c r="AE2901" s="23"/>
      <c r="AF2901" s="23">
        <v>7</v>
      </c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23">
        <v>7</v>
      </c>
      <c r="AS2901" s="23"/>
      <c r="AT2901" s="23"/>
      <c r="AU2901" s="14" t="str">
        <f>HYPERLINK("http://www.openstreetmap.org/?mlat=36.7485&amp;mlon=42.3053&amp;zoom=12#map=12/36.7485/42.3053","Maplink1")</f>
        <v>Maplink1</v>
      </c>
      <c r="AV2901" s="14" t="str">
        <f>HYPERLINK("https://www.google.iq/maps/search/+36.7485,42.3053/@36.7485,42.3053,14z?hl=en","Maplink2")</f>
        <v>Maplink2</v>
      </c>
      <c r="AW2901" s="14" t="str">
        <f>HYPERLINK("http://www.bing.com/maps/?lvl=14&amp;sty=h&amp;cp=36.7485~42.3053&amp;sp=point.36.7485_42.3053_Tal alhuaa","Maplink3")</f>
        <v>Maplink3</v>
      </c>
    </row>
    <row r="2902" spans="1:49" ht="15" customHeight="1" x14ac:dyDescent="0.25">
      <c r="A2902" s="21">
        <v>28433</v>
      </c>
      <c r="B2902" s="22" t="s">
        <v>21</v>
      </c>
      <c r="C2902" s="22" t="s">
        <v>5561</v>
      </c>
      <c r="D2902" s="22" t="s">
        <v>5629</v>
      </c>
      <c r="E2902" s="22" t="s">
        <v>5630</v>
      </c>
      <c r="F2902" s="22">
        <v>36.426577999999999</v>
      </c>
      <c r="G2902" s="22">
        <v>42.675339000000001</v>
      </c>
      <c r="H2902" s="21" t="s">
        <v>5198</v>
      </c>
      <c r="I2902" s="21" t="s">
        <v>5563</v>
      </c>
      <c r="J2902" s="21"/>
      <c r="K2902" s="24">
        <v>50</v>
      </c>
      <c r="L2902" s="24">
        <v>300</v>
      </c>
      <c r="M2902" s="23"/>
      <c r="N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>
        <v>50</v>
      </c>
      <c r="Z2902" s="23"/>
      <c r="AA2902" s="23"/>
      <c r="AB2902" s="23"/>
      <c r="AC2902" s="23"/>
      <c r="AD2902" s="23"/>
      <c r="AE2902" s="23"/>
      <c r="AF2902" s="23">
        <v>50</v>
      </c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/>
      <c r="AR2902" s="23"/>
      <c r="AS2902" s="23">
        <v>50</v>
      </c>
      <c r="AT2902" s="23"/>
      <c r="AU2902" s="14" t="str">
        <f>HYPERLINK("http://www.openstreetmap.org/?mlat=36.4266&amp;mlon=42.6753&amp;zoom=12#map=12/36.4266/42.6753","Maplink1")</f>
        <v>Maplink1</v>
      </c>
      <c r="AV2902" s="14" t="str">
        <f>HYPERLINK("https://www.google.iq/maps/search/+36.4266,42.6753/@36.4266,42.6753,14z?hl=en","Maplink2")</f>
        <v>Maplink2</v>
      </c>
      <c r="AW2902" s="14" t="str">
        <f>HYPERLINK("http://www.bing.com/maps/?lvl=14&amp;sty=h&amp;cp=36.4266~42.6753&amp;sp=point.36.4266_42.6753_Al Angaa","Maplink3")</f>
        <v>Maplink3</v>
      </c>
    </row>
    <row r="2903" spans="1:49" ht="15" customHeight="1" x14ac:dyDescent="0.25">
      <c r="A2903" s="21">
        <v>28438</v>
      </c>
      <c r="B2903" s="22" t="s">
        <v>21</v>
      </c>
      <c r="C2903" s="22" t="s">
        <v>5561</v>
      </c>
      <c r="D2903" s="22" t="s">
        <v>8302</v>
      </c>
      <c r="E2903" s="22" t="s">
        <v>5631</v>
      </c>
      <c r="F2903" s="22">
        <v>36.793627000000001</v>
      </c>
      <c r="G2903" s="22">
        <v>42.175499000000002</v>
      </c>
      <c r="H2903" s="21" t="s">
        <v>5198</v>
      </c>
      <c r="I2903" s="21" t="s">
        <v>5563</v>
      </c>
      <c r="J2903" s="21"/>
      <c r="K2903" s="24">
        <v>40</v>
      </c>
      <c r="L2903" s="24">
        <v>240</v>
      </c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>
        <v>40</v>
      </c>
      <c r="Z2903" s="23"/>
      <c r="AA2903" s="23"/>
      <c r="AB2903" s="23"/>
      <c r="AC2903" s="23"/>
      <c r="AD2903" s="23"/>
      <c r="AE2903" s="23"/>
      <c r="AF2903" s="23">
        <v>40</v>
      </c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/>
      <c r="AR2903" s="23">
        <v>40</v>
      </c>
      <c r="AS2903" s="23"/>
      <c r="AT2903" s="23"/>
      <c r="AU2903" s="14" t="str">
        <f>HYPERLINK("http://www.openstreetmap.org/?mlat=36.7936&amp;mlon=42.1755&amp;zoom=12#map=12/36.7936/42.1755","Maplink1")</f>
        <v>Maplink1</v>
      </c>
      <c r="AV2903" s="14" t="str">
        <f>HYPERLINK("https://www.google.iq/maps/search/+36.7936,42.1755/@36.7936,42.1755,14z?hl=en","Maplink2")</f>
        <v>Maplink2</v>
      </c>
      <c r="AW2903" s="14" t="str">
        <f>HYPERLINK("http://www.bing.com/maps/?lvl=14&amp;sty=h&amp;cp=36.7936~42.1755&amp;sp=point.36.7936_42.1755_Al Angaa","Maplink3")</f>
        <v>Maplink3</v>
      </c>
    </row>
    <row r="2904" spans="1:49" ht="15" customHeight="1" x14ac:dyDescent="0.25">
      <c r="A2904" s="21">
        <v>17614</v>
      </c>
      <c r="B2904" s="22" t="s">
        <v>21</v>
      </c>
      <c r="C2904" s="22" t="s">
        <v>5561</v>
      </c>
      <c r="D2904" s="22" t="s">
        <v>7345</v>
      </c>
      <c r="E2904" s="22" t="s">
        <v>9018</v>
      </c>
      <c r="F2904" s="22">
        <v>36.727243999999999</v>
      </c>
      <c r="G2904" s="22">
        <v>42.257334</v>
      </c>
      <c r="H2904" s="21" t="s">
        <v>5198</v>
      </c>
      <c r="I2904" s="21" t="s">
        <v>5563</v>
      </c>
      <c r="J2904" s="21" t="s">
        <v>5632</v>
      </c>
      <c r="K2904" s="24">
        <v>75</v>
      </c>
      <c r="L2904" s="24">
        <v>450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75</v>
      </c>
      <c r="Z2904" s="23"/>
      <c r="AA2904" s="23"/>
      <c r="AB2904" s="23"/>
      <c r="AC2904" s="23"/>
      <c r="AD2904" s="23"/>
      <c r="AE2904" s="23"/>
      <c r="AF2904" s="23">
        <v>75</v>
      </c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>
        <v>45</v>
      </c>
      <c r="AS2904" s="23">
        <v>26</v>
      </c>
      <c r="AT2904" s="23">
        <v>4</v>
      </c>
      <c r="AU2904" s="14" t="str">
        <f>HYPERLINK("http://www.openstreetmap.org/?mlat=36.7272&amp;mlon=42.2573&amp;zoom=12#map=12/36.7272/42.2573","Maplink1")</f>
        <v>Maplink1</v>
      </c>
      <c r="AV2904" s="14" t="str">
        <f>HYPERLINK("https://www.google.iq/maps/search/+36.7272,42.2573/@36.7272,42.2573,14z?hl=en","Maplink2")</f>
        <v>Maplink2</v>
      </c>
      <c r="AW2904" s="14" t="str">
        <f>HYPERLINK("http://www.bing.com/maps/?lvl=14&amp;sty=h&amp;cp=36.7272~42.2573&amp;sp=point.36.7272_42.2573_Tal Ismair village","Maplink3")</f>
        <v>Maplink3</v>
      </c>
    </row>
    <row r="2905" spans="1:49" ht="15" customHeight="1" x14ac:dyDescent="0.25">
      <c r="A2905" s="21">
        <v>17942</v>
      </c>
      <c r="B2905" s="22" t="s">
        <v>21</v>
      </c>
      <c r="C2905" s="22" t="s">
        <v>5561</v>
      </c>
      <c r="D2905" s="22" t="s">
        <v>5633</v>
      </c>
      <c r="E2905" s="22" t="s">
        <v>5634</v>
      </c>
      <c r="F2905" s="22">
        <v>36.54</v>
      </c>
      <c r="G2905" s="22">
        <v>42.65</v>
      </c>
      <c r="H2905" s="21" t="s">
        <v>5198</v>
      </c>
      <c r="I2905" s="21" t="s">
        <v>5563</v>
      </c>
      <c r="J2905" s="21" t="s">
        <v>5635</v>
      </c>
      <c r="K2905" s="24">
        <v>25</v>
      </c>
      <c r="L2905" s="24">
        <v>150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25</v>
      </c>
      <c r="Z2905" s="23"/>
      <c r="AA2905" s="23"/>
      <c r="AB2905" s="23"/>
      <c r="AC2905" s="23"/>
      <c r="AD2905" s="23"/>
      <c r="AE2905" s="23"/>
      <c r="AF2905" s="23">
        <v>25</v>
      </c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/>
      <c r="AR2905" s="23">
        <v>25</v>
      </c>
      <c r="AS2905" s="23"/>
      <c r="AT2905" s="23"/>
      <c r="AU2905" s="14" t="str">
        <f>HYPERLINK("http://www.openstreetmap.org/?mlat=36.54&amp;mlon=42.65&amp;zoom=12#map=12/36.54/42.65","Maplink1")</f>
        <v>Maplink1</v>
      </c>
      <c r="AV2905" s="14" t="str">
        <f>HYPERLINK("https://www.google.iq/maps/search/+36.54,42.65/@36.54,42.65,14z?hl=en","Maplink2")</f>
        <v>Maplink2</v>
      </c>
      <c r="AW2905" s="14" t="str">
        <f>HYPERLINK("http://www.bing.com/maps/?lvl=14&amp;sty=h&amp;cp=36.54~42.65&amp;sp=point.36.54_42.65_Tal Khidr","Maplink3")</f>
        <v>Maplink3</v>
      </c>
    </row>
    <row r="2906" spans="1:49" ht="15" customHeight="1" x14ac:dyDescent="0.25">
      <c r="A2906" s="21">
        <v>28439</v>
      </c>
      <c r="B2906" s="22" t="s">
        <v>21</v>
      </c>
      <c r="C2906" s="22" t="s">
        <v>5561</v>
      </c>
      <c r="D2906" s="22" t="s">
        <v>8303</v>
      </c>
      <c r="E2906" s="22" t="s">
        <v>5636</v>
      </c>
      <c r="F2906" s="22">
        <v>36.744999999999997</v>
      </c>
      <c r="G2906" s="22">
        <v>42.201110999999997</v>
      </c>
      <c r="H2906" s="21" t="s">
        <v>5198</v>
      </c>
      <c r="I2906" s="21" t="s">
        <v>5563</v>
      </c>
      <c r="J2906" s="21"/>
      <c r="K2906" s="24">
        <v>24</v>
      </c>
      <c r="L2906" s="24">
        <v>144</v>
      </c>
      <c r="M2906" s="23"/>
      <c r="N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>
        <v>24</v>
      </c>
      <c r="Z2906" s="23"/>
      <c r="AA2906" s="23"/>
      <c r="AB2906" s="23"/>
      <c r="AC2906" s="23"/>
      <c r="AD2906" s="23"/>
      <c r="AE2906" s="23"/>
      <c r="AF2906" s="23">
        <v>24</v>
      </c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>
        <v>22</v>
      </c>
      <c r="AS2906" s="23"/>
      <c r="AT2906" s="23">
        <v>2</v>
      </c>
      <c r="AU2906" s="14" t="str">
        <f>HYPERLINK("http://www.openstreetmap.org/?mlat=36.745&amp;mlon=42.2011&amp;zoom=12#map=12/36.745/42.2011","Maplink1")</f>
        <v>Maplink1</v>
      </c>
      <c r="AV2906" s="14" t="str">
        <f>HYPERLINK("https://www.google.iq/maps/search/+36.745,42.2011/@36.745,42.2011,14z?hl=en","Maplink2")</f>
        <v>Maplink2</v>
      </c>
      <c r="AW2906" s="14" t="str">
        <f>HYPERLINK("http://www.bing.com/maps/?lvl=14&amp;sty=h&amp;cp=36.745~42.2011&amp;sp=point.36.745_42.2011_Al Angaa","Maplink3")</f>
        <v>Maplink3</v>
      </c>
    </row>
    <row r="2907" spans="1:49" ht="15" customHeight="1" x14ac:dyDescent="0.25">
      <c r="A2907" s="21">
        <v>28444</v>
      </c>
      <c r="B2907" s="22" t="s">
        <v>21</v>
      </c>
      <c r="C2907" s="22" t="s">
        <v>5561</v>
      </c>
      <c r="D2907" s="22" t="s">
        <v>9019</v>
      </c>
      <c r="E2907" s="22" t="s">
        <v>5637</v>
      </c>
      <c r="F2907" s="22">
        <v>36.717768999999997</v>
      </c>
      <c r="G2907" s="22">
        <v>42.353532999999999</v>
      </c>
      <c r="H2907" s="21" t="s">
        <v>5198</v>
      </c>
      <c r="I2907" s="21" t="s">
        <v>5563</v>
      </c>
      <c r="J2907" s="21"/>
      <c r="K2907" s="24">
        <v>15</v>
      </c>
      <c r="L2907" s="24">
        <v>90</v>
      </c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15</v>
      </c>
      <c r="Z2907" s="23"/>
      <c r="AA2907" s="23"/>
      <c r="AB2907" s="23"/>
      <c r="AC2907" s="23"/>
      <c r="AD2907" s="23"/>
      <c r="AE2907" s="23"/>
      <c r="AF2907" s="23">
        <v>15</v>
      </c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/>
      <c r="AR2907" s="23">
        <v>12</v>
      </c>
      <c r="AS2907" s="23">
        <v>1</v>
      </c>
      <c r="AT2907" s="23">
        <v>2</v>
      </c>
      <c r="AU2907" s="14" t="str">
        <f>HYPERLINK("http://www.openstreetmap.org/?mlat=36.7178&amp;mlon=42.3535&amp;zoom=12#map=12/36.7178/42.3535","Maplink1")</f>
        <v>Maplink1</v>
      </c>
      <c r="AV2907" s="14" t="str">
        <f>HYPERLINK("https://www.google.iq/maps/search/+36.7178,42.3535/@36.7178,42.3535,14z?hl=en","Maplink2")</f>
        <v>Maplink2</v>
      </c>
      <c r="AW2907" s="14" t="str">
        <f>HYPERLINK("http://www.bing.com/maps/?lvl=14&amp;sty=h&amp;cp=36.7178~42.3535&amp;sp=point.36.7178_42.3535_Al Angaa","Maplink3")</f>
        <v>Maplink3</v>
      </c>
    </row>
    <row r="2908" spans="1:49" ht="15" customHeight="1" x14ac:dyDescent="0.25">
      <c r="A2908" s="21">
        <v>17933</v>
      </c>
      <c r="B2908" s="22" t="s">
        <v>21</v>
      </c>
      <c r="C2908" s="22" t="s">
        <v>5561</v>
      </c>
      <c r="D2908" s="22" t="s">
        <v>8233</v>
      </c>
      <c r="E2908" s="22" t="s">
        <v>8234</v>
      </c>
      <c r="F2908" s="22">
        <v>36.509771000000001</v>
      </c>
      <c r="G2908" s="22">
        <v>42.671863000000002</v>
      </c>
      <c r="H2908" s="21" t="s">
        <v>5198</v>
      </c>
      <c r="I2908" s="21" t="s">
        <v>5563</v>
      </c>
      <c r="J2908" s="21" t="s">
        <v>8235</v>
      </c>
      <c r="K2908" s="24">
        <v>20</v>
      </c>
      <c r="L2908" s="24">
        <v>120</v>
      </c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20</v>
      </c>
      <c r="Z2908" s="23"/>
      <c r="AA2908" s="23"/>
      <c r="AB2908" s="23"/>
      <c r="AC2908" s="23"/>
      <c r="AD2908" s="23"/>
      <c r="AE2908" s="23"/>
      <c r="AF2908" s="23">
        <v>20</v>
      </c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23"/>
      <c r="AS2908" s="23">
        <v>20</v>
      </c>
      <c r="AT2908" s="23"/>
      <c r="AU2908" s="14" t="str">
        <f>HYPERLINK("http://www.openstreetmap.org/?mlat=36.5098&amp;mlon=42.6719&amp;zoom=12#map=12/36.5098/42.6719","Maplink1")</f>
        <v>Maplink1</v>
      </c>
      <c r="AV2908" s="14" t="str">
        <f>HYPERLINK("https://www.google.iq/maps/search/+36.5098,42.6719/@36.5098,42.6719,14z?hl=en","Maplink2")</f>
        <v>Maplink2</v>
      </c>
      <c r="AW2908" s="14" t="str">
        <f>HYPERLINK("http://www.bing.com/maps/?lvl=14&amp;sty=h&amp;cp=36.5098~42.6719&amp;sp=point.36.5098_42.6719","Maplink3")</f>
        <v>Maplink3</v>
      </c>
    </row>
    <row r="2909" spans="1:49" ht="15" customHeight="1" x14ac:dyDescent="0.25">
      <c r="A2909" s="21">
        <v>25856</v>
      </c>
      <c r="B2909" s="22" t="s">
        <v>21</v>
      </c>
      <c r="C2909" s="22" t="s">
        <v>5561</v>
      </c>
      <c r="D2909" s="22" t="s">
        <v>5638</v>
      </c>
      <c r="E2909" s="22" t="s">
        <v>150</v>
      </c>
      <c r="F2909" s="22">
        <v>36.388554999999997</v>
      </c>
      <c r="G2909" s="22">
        <v>42.463985999999998</v>
      </c>
      <c r="H2909" s="21" t="s">
        <v>5198</v>
      </c>
      <c r="I2909" s="21" t="s">
        <v>5563</v>
      </c>
      <c r="J2909" s="21"/>
      <c r="K2909" s="24">
        <v>20</v>
      </c>
      <c r="L2909" s="24">
        <v>120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20</v>
      </c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/>
      <c r="AK2909" s="23">
        <v>20</v>
      </c>
      <c r="AL2909" s="23"/>
      <c r="AM2909" s="23"/>
      <c r="AN2909" s="23"/>
      <c r="AO2909" s="23"/>
      <c r="AP2909" s="23"/>
      <c r="AQ2909" s="23"/>
      <c r="AR2909" s="23">
        <v>20</v>
      </c>
      <c r="AS2909" s="23"/>
      <c r="AT2909" s="23"/>
      <c r="AU2909" s="14" t="str">
        <f>HYPERLINK("http://www.openstreetmap.org/?mlat=36.3886&amp;mlon=42.464&amp;zoom=12#map=12/36.3886/42.464","Maplink1")</f>
        <v>Maplink1</v>
      </c>
      <c r="AV2909" s="14" t="str">
        <f>HYPERLINK("https://www.google.iq/maps/search/+36.3886,42.464/@36.3886,42.464,14z?hl=en","Maplink2")</f>
        <v>Maplink2</v>
      </c>
      <c r="AW2909" s="14" t="str">
        <f>HYPERLINK("http://www.bing.com/maps/?lvl=14&amp;sty=h&amp;cp=36.3886~42.464&amp;sp=point.36.3886_42.464_Telafar-Hay Al Salam","Maplink3")</f>
        <v>Maplink3</v>
      </c>
    </row>
    <row r="2910" spans="1:49" ht="15" customHeight="1" x14ac:dyDescent="0.25">
      <c r="A2910" s="21">
        <v>25740</v>
      </c>
      <c r="B2910" s="22" t="s">
        <v>21</v>
      </c>
      <c r="C2910" s="22" t="s">
        <v>5561</v>
      </c>
      <c r="D2910" s="22" t="s">
        <v>5639</v>
      </c>
      <c r="E2910" s="22" t="s">
        <v>5640</v>
      </c>
      <c r="F2910" s="22">
        <v>36.362786999999997</v>
      </c>
      <c r="G2910" s="22">
        <v>42.691398</v>
      </c>
      <c r="H2910" s="21" t="s">
        <v>5198</v>
      </c>
      <c r="I2910" s="21" t="s">
        <v>5563</v>
      </c>
      <c r="J2910" s="21"/>
      <c r="K2910" s="24">
        <v>80</v>
      </c>
      <c r="L2910" s="24">
        <v>480</v>
      </c>
      <c r="M2910" s="23"/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80</v>
      </c>
      <c r="Z2910" s="23"/>
      <c r="AA2910" s="23"/>
      <c r="AB2910" s="23"/>
      <c r="AC2910" s="23"/>
      <c r="AD2910" s="23"/>
      <c r="AE2910" s="23"/>
      <c r="AF2910" s="23">
        <v>33</v>
      </c>
      <c r="AG2910" s="23"/>
      <c r="AH2910" s="23"/>
      <c r="AI2910" s="23"/>
      <c r="AJ2910" s="23"/>
      <c r="AK2910" s="23"/>
      <c r="AL2910" s="23">
        <v>15</v>
      </c>
      <c r="AM2910" s="23">
        <v>15</v>
      </c>
      <c r="AN2910" s="23">
        <v>17</v>
      </c>
      <c r="AO2910" s="23"/>
      <c r="AP2910" s="23"/>
      <c r="AQ2910" s="23"/>
      <c r="AR2910" s="23">
        <v>80</v>
      </c>
      <c r="AS2910" s="23"/>
      <c r="AT2910" s="23"/>
      <c r="AU2910" s="14" t="str">
        <f>HYPERLINK("http://www.openstreetmap.org/?mlat=36.3628&amp;mlon=42.6914&amp;zoom=12#map=12/36.3628/42.6914","Maplink1")</f>
        <v>Maplink1</v>
      </c>
      <c r="AV2910" s="14" t="str">
        <f>HYPERLINK("https://www.google.iq/maps/search/+36.3628,42.6914/@36.3628,42.6914,14z?hl=en","Maplink2")</f>
        <v>Maplink2</v>
      </c>
      <c r="AW2910" s="14" t="str">
        <f>HYPERLINK("http://www.bing.com/maps/?lvl=14&amp;sty=h&amp;cp=36.3628~42.6914&amp;sp=point.36.3628_42.6914_Twayem","Maplink3")</f>
        <v>Maplink3</v>
      </c>
    </row>
    <row r="2911" spans="1:49" ht="15" customHeight="1" x14ac:dyDescent="0.25">
      <c r="A2911" s="21">
        <v>17590</v>
      </c>
      <c r="B2911" s="22" t="s">
        <v>21</v>
      </c>
      <c r="C2911" s="22" t="s">
        <v>5643</v>
      </c>
      <c r="D2911" s="22" t="s">
        <v>9020</v>
      </c>
      <c r="E2911" s="22" t="s">
        <v>5644</v>
      </c>
      <c r="F2911" s="22">
        <v>36.67</v>
      </c>
      <c r="G2911" s="22">
        <v>43.19</v>
      </c>
      <c r="H2911" s="21" t="s">
        <v>5198</v>
      </c>
      <c r="I2911" s="21" t="s">
        <v>5645</v>
      </c>
      <c r="J2911" s="21" t="s">
        <v>5646</v>
      </c>
      <c r="K2911" s="24">
        <v>25</v>
      </c>
      <c r="L2911" s="24">
        <v>150</v>
      </c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>
        <v>25</v>
      </c>
      <c r="Z2911" s="23"/>
      <c r="AA2911" s="23"/>
      <c r="AB2911" s="23"/>
      <c r="AC2911" s="23"/>
      <c r="AD2911" s="23"/>
      <c r="AE2911" s="23"/>
      <c r="AF2911" s="23">
        <v>25</v>
      </c>
      <c r="AG2911" s="23"/>
      <c r="AH2911" s="23"/>
      <c r="AI2911" s="23"/>
      <c r="AJ2911" s="23"/>
      <c r="AK2911" s="23"/>
      <c r="AL2911" s="23"/>
      <c r="AM2911" s="23"/>
      <c r="AN2911" s="23"/>
      <c r="AO2911" s="23"/>
      <c r="AP2911" s="23"/>
      <c r="AQ2911" s="23">
        <v>25</v>
      </c>
      <c r="AR2911" s="23"/>
      <c r="AS2911" s="23"/>
      <c r="AT2911" s="23"/>
      <c r="AU2911" s="14" t="str">
        <f>HYPERLINK("http://www.openstreetmap.org/?mlat=36.67&amp;mlon=43.19&amp;zoom=12#map=12/36.67/43.19","Maplink1")</f>
        <v>Maplink1</v>
      </c>
      <c r="AV2911" s="14" t="str">
        <f>HYPERLINK("https://www.google.iq/maps/search/+36.67,43.19/@36.67,43.19,14z?hl=en","Maplink2")</f>
        <v>Maplink2</v>
      </c>
      <c r="AW2911" s="14" t="str">
        <f>HYPERLINK("http://www.bing.com/maps/?lvl=14&amp;sty=h&amp;cp=36.67~43.19&amp;sp=point.36.67_43.19_Ain Baqara Shekhan","Maplink3")</f>
        <v>Maplink3</v>
      </c>
    </row>
    <row r="2912" spans="1:49" ht="15" customHeight="1" x14ac:dyDescent="0.25">
      <c r="A2912" s="21">
        <v>24600</v>
      </c>
      <c r="B2912" s="22" t="s">
        <v>21</v>
      </c>
      <c r="C2912" s="22" t="s">
        <v>5643</v>
      </c>
      <c r="D2912" s="22" t="s">
        <v>5647</v>
      </c>
      <c r="E2912" s="22" t="s">
        <v>5648</v>
      </c>
      <c r="F2912" s="22">
        <v>36.446542000000001</v>
      </c>
      <c r="G2912" s="22">
        <v>43.102502999999999</v>
      </c>
      <c r="H2912" s="21" t="s">
        <v>5198</v>
      </c>
      <c r="I2912" s="21" t="s">
        <v>5645</v>
      </c>
      <c r="J2912" s="21"/>
      <c r="K2912" s="24">
        <v>28</v>
      </c>
      <c r="L2912" s="24">
        <v>168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28</v>
      </c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/>
      <c r="AL2912" s="23">
        <v>13</v>
      </c>
      <c r="AM2912" s="23">
        <v>15</v>
      </c>
      <c r="AN2912" s="23"/>
      <c r="AO2912" s="23"/>
      <c r="AP2912" s="23"/>
      <c r="AQ2912" s="23"/>
      <c r="AR2912" s="23">
        <v>28</v>
      </c>
      <c r="AS2912" s="23"/>
      <c r="AT2912" s="23"/>
      <c r="AU2912" s="14" t="str">
        <f>HYPERLINK("http://www.openstreetmap.org/?mlat=36.4465&amp;mlon=43.1025&amp;zoom=12#map=12/36.4465/43.1025","Maplink1")</f>
        <v>Maplink1</v>
      </c>
      <c r="AV2912" s="14" t="str">
        <f>HYPERLINK("https://www.google.iq/maps/search/+36.4465,43.1025/@36.4465,43.1025,14z?hl=en","Maplink2")</f>
        <v>Maplink2</v>
      </c>
      <c r="AW2912" s="14" t="str">
        <f>HYPERLINK("http://www.bing.com/maps/?lvl=14&amp;sty=h&amp;cp=36.4465~43.1025&amp;sp=point.36.4465_43.1025_Al Qawsiyat","Maplink3")</f>
        <v>Maplink3</v>
      </c>
    </row>
    <row r="2913" spans="1:49" ht="15" customHeight="1" x14ac:dyDescent="0.25">
      <c r="A2913" s="21">
        <v>24682</v>
      </c>
      <c r="B2913" s="22" t="s">
        <v>21</v>
      </c>
      <c r="C2913" s="22" t="s">
        <v>5643</v>
      </c>
      <c r="D2913" s="22" t="s">
        <v>5649</v>
      </c>
      <c r="E2913" s="22" t="s">
        <v>5650</v>
      </c>
      <c r="F2913" s="22">
        <v>36.401285000000001</v>
      </c>
      <c r="G2913" s="22">
        <v>43.044269</v>
      </c>
      <c r="H2913" s="21" t="s">
        <v>5198</v>
      </c>
      <c r="I2913" s="21" t="s">
        <v>5645</v>
      </c>
      <c r="J2913" s="21"/>
      <c r="K2913" s="24">
        <v>251</v>
      </c>
      <c r="L2913" s="24">
        <v>1506</v>
      </c>
      <c r="M2913" s="23"/>
      <c r="N2913" s="23"/>
      <c r="O2913" s="23"/>
      <c r="P2913" s="23"/>
      <c r="Q2913" s="23"/>
      <c r="R2913" s="23"/>
      <c r="S2913" s="23"/>
      <c r="T2913" s="23"/>
      <c r="U2913" s="23">
        <v>12</v>
      </c>
      <c r="V2913" s="23"/>
      <c r="W2913" s="23"/>
      <c r="X2913" s="23"/>
      <c r="Y2913" s="23">
        <v>140</v>
      </c>
      <c r="Z2913" s="23"/>
      <c r="AA2913" s="23">
        <v>99</v>
      </c>
      <c r="AB2913" s="23"/>
      <c r="AC2913" s="23"/>
      <c r="AD2913" s="23"/>
      <c r="AE2913" s="23"/>
      <c r="AF2913" s="23">
        <v>23</v>
      </c>
      <c r="AG2913" s="23"/>
      <c r="AH2913" s="23"/>
      <c r="AI2913" s="23"/>
      <c r="AJ2913" s="23">
        <v>10</v>
      </c>
      <c r="AK2913" s="23"/>
      <c r="AL2913" s="23">
        <v>15</v>
      </c>
      <c r="AM2913" s="23">
        <v>142</v>
      </c>
      <c r="AN2913" s="23">
        <v>61</v>
      </c>
      <c r="AO2913" s="23"/>
      <c r="AP2913" s="23"/>
      <c r="AQ2913" s="23">
        <v>45</v>
      </c>
      <c r="AR2913" s="23">
        <v>30</v>
      </c>
      <c r="AS2913" s="23">
        <v>157</v>
      </c>
      <c r="AT2913" s="23">
        <v>19</v>
      </c>
      <c r="AU2913" s="14" t="str">
        <f>HYPERLINK("http://www.openstreetmap.org/?mlat=36.4013&amp;mlon=43.0443&amp;zoom=12#map=12/36.4013/43.0443","Maplink1")</f>
        <v>Maplink1</v>
      </c>
      <c r="AV2913" s="14" t="str">
        <f>HYPERLINK("https://www.google.iq/maps/search/+36.4013,43.0443/@36.4013,43.0443,14z?hl=en","Maplink2")</f>
        <v>Maplink2</v>
      </c>
      <c r="AW2913" s="14" t="str">
        <f>HYPERLINK("http://www.bing.com/maps/?lvl=14&amp;sty=h&amp;cp=36.4013~43.0443&amp;sp=point.36.4013_43.0443_Al Quba","Maplink3")</f>
        <v>Maplink3</v>
      </c>
    </row>
    <row r="2914" spans="1:49" ht="15" customHeight="1" x14ac:dyDescent="0.25">
      <c r="A2914" s="21">
        <v>17134</v>
      </c>
      <c r="B2914" s="22" t="s">
        <v>21</v>
      </c>
      <c r="C2914" s="22" t="s">
        <v>5643</v>
      </c>
      <c r="D2914" s="22" t="s">
        <v>5651</v>
      </c>
      <c r="E2914" s="22" t="s">
        <v>5652</v>
      </c>
      <c r="F2914" s="22">
        <v>36.729999999999997</v>
      </c>
      <c r="G2914" s="22">
        <v>43.09</v>
      </c>
      <c r="H2914" s="21" t="s">
        <v>5198</v>
      </c>
      <c r="I2914" s="21" t="s">
        <v>5645</v>
      </c>
      <c r="J2914" s="21" t="s">
        <v>5653</v>
      </c>
      <c r="K2914" s="24">
        <v>485</v>
      </c>
      <c r="L2914" s="24">
        <v>2910</v>
      </c>
      <c r="M2914" s="23"/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485</v>
      </c>
      <c r="Z2914" s="23"/>
      <c r="AA2914" s="23"/>
      <c r="AB2914" s="23"/>
      <c r="AC2914" s="23"/>
      <c r="AD2914" s="23"/>
      <c r="AE2914" s="23"/>
      <c r="AF2914" s="23">
        <v>35</v>
      </c>
      <c r="AG2914" s="23"/>
      <c r="AH2914" s="23"/>
      <c r="AI2914" s="23"/>
      <c r="AJ2914" s="23">
        <v>14</v>
      </c>
      <c r="AK2914" s="23">
        <v>361</v>
      </c>
      <c r="AL2914" s="23"/>
      <c r="AM2914" s="23">
        <v>75</v>
      </c>
      <c r="AN2914" s="23"/>
      <c r="AO2914" s="23"/>
      <c r="AP2914" s="23">
        <v>65</v>
      </c>
      <c r="AQ2914" s="23">
        <v>420</v>
      </c>
      <c r="AR2914" s="23"/>
      <c r="AS2914" s="23"/>
      <c r="AT2914" s="23"/>
      <c r="AU2914" s="14" t="str">
        <f>HYPERLINK("http://www.openstreetmap.org/?mlat=36.73&amp;mlon=43.09&amp;zoom=12#map=12/36.73/43.09","Maplink1")</f>
        <v>Maplink1</v>
      </c>
      <c r="AV2914" s="14" t="str">
        <f>HYPERLINK("https://www.google.iq/maps/search/+36.73,43.09/@36.73,43.09,14z?hl=en","Maplink2")</f>
        <v>Maplink2</v>
      </c>
      <c r="AW2914" s="14" t="str">
        <f>HYPERLINK("http://www.bing.com/maps/?lvl=14&amp;sty=h&amp;cp=36.73~43.09&amp;sp=point.36.73_43.09_Alqosh","Maplink3")</f>
        <v>Maplink3</v>
      </c>
    </row>
    <row r="2915" spans="1:49" ht="15" customHeight="1" x14ac:dyDescent="0.25">
      <c r="A2915" s="21">
        <v>21603</v>
      </c>
      <c r="B2915" s="22" t="s">
        <v>21</v>
      </c>
      <c r="C2915" s="22" t="s">
        <v>5643</v>
      </c>
      <c r="D2915" s="22" t="s">
        <v>9021</v>
      </c>
      <c r="E2915" s="22" t="s">
        <v>5665</v>
      </c>
      <c r="F2915" s="22">
        <v>36.430374999999998</v>
      </c>
      <c r="G2915" s="22">
        <v>43.157958999999998</v>
      </c>
      <c r="H2915" s="21" t="s">
        <v>5198</v>
      </c>
      <c r="I2915" s="21" t="s">
        <v>5645</v>
      </c>
      <c r="J2915" s="21" t="s">
        <v>5666</v>
      </c>
      <c r="K2915" s="24">
        <v>204</v>
      </c>
      <c r="L2915" s="24">
        <v>1224</v>
      </c>
      <c r="M2915" s="23"/>
      <c r="N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>
        <v>60</v>
      </c>
      <c r="Z2915" s="23"/>
      <c r="AA2915" s="23">
        <v>144</v>
      </c>
      <c r="AB2915" s="23"/>
      <c r="AC2915" s="23"/>
      <c r="AD2915" s="23"/>
      <c r="AE2915" s="23"/>
      <c r="AF2915" s="23">
        <v>10</v>
      </c>
      <c r="AG2915" s="23"/>
      <c r="AH2915" s="23">
        <v>5</v>
      </c>
      <c r="AI2915" s="23"/>
      <c r="AJ2915" s="23"/>
      <c r="AK2915" s="23"/>
      <c r="AL2915" s="23">
        <v>21</v>
      </c>
      <c r="AM2915" s="23">
        <v>131</v>
      </c>
      <c r="AN2915" s="23">
        <v>37</v>
      </c>
      <c r="AO2915" s="23"/>
      <c r="AP2915" s="23"/>
      <c r="AQ2915" s="23"/>
      <c r="AR2915" s="23">
        <v>33</v>
      </c>
      <c r="AS2915" s="23">
        <v>171</v>
      </c>
      <c r="AT2915" s="23"/>
      <c r="AU2915" s="14" t="str">
        <f>HYPERLINK("http://www.openstreetmap.org/?mlat=36.4304&amp;mlon=43.158&amp;zoom=12#map=12/36.4304/43.158","Maplink1")</f>
        <v>Maplink1</v>
      </c>
      <c r="AV2915" s="14" t="str">
        <f>HYPERLINK("https://www.google.iq/maps/search/+36.4304,43.158/@36.4304,43.158,14z?hl=en","Maplink2")</f>
        <v>Maplink2</v>
      </c>
      <c r="AW2915" s="14" t="str">
        <f>HYPERLINK("http://www.bing.com/maps/?lvl=14&amp;sty=h&amp;cp=36.4304~43.158&amp;sp=point.36.4304_43.158_Biwiza","Maplink3")</f>
        <v>Maplink3</v>
      </c>
    </row>
    <row r="2916" spans="1:49" ht="15" customHeight="1" x14ac:dyDescent="0.25">
      <c r="A2916" s="21">
        <v>17077</v>
      </c>
      <c r="B2916" s="22" t="s">
        <v>21</v>
      </c>
      <c r="C2916" s="22" t="s">
        <v>5643</v>
      </c>
      <c r="D2916" s="22" t="s">
        <v>5658</v>
      </c>
      <c r="E2916" s="22" t="s">
        <v>5659</v>
      </c>
      <c r="F2916" s="22">
        <v>36.729999999999997</v>
      </c>
      <c r="G2916" s="22">
        <v>43.03</v>
      </c>
      <c r="H2916" s="21" t="s">
        <v>5198</v>
      </c>
      <c r="I2916" s="21" t="s">
        <v>5645</v>
      </c>
      <c r="J2916" s="21" t="s">
        <v>5660</v>
      </c>
      <c r="K2916" s="24">
        <v>53</v>
      </c>
      <c r="L2916" s="24">
        <v>318</v>
      </c>
      <c r="M2916" s="23"/>
      <c r="N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>
        <v>53</v>
      </c>
      <c r="Z2916" s="23"/>
      <c r="AA2916" s="23"/>
      <c r="AB2916" s="23"/>
      <c r="AC2916" s="23"/>
      <c r="AD2916" s="23"/>
      <c r="AE2916" s="23"/>
      <c r="AF2916" s="23">
        <v>45</v>
      </c>
      <c r="AG2916" s="23"/>
      <c r="AH2916" s="23"/>
      <c r="AI2916" s="23">
        <v>8</v>
      </c>
      <c r="AJ2916" s="23"/>
      <c r="AK2916" s="23"/>
      <c r="AL2916" s="23"/>
      <c r="AM2916" s="23"/>
      <c r="AN2916" s="23"/>
      <c r="AO2916" s="23"/>
      <c r="AP2916" s="23">
        <v>9</v>
      </c>
      <c r="AQ2916" s="23">
        <v>44</v>
      </c>
      <c r="AR2916" s="23"/>
      <c r="AS2916" s="23"/>
      <c r="AT2916" s="23"/>
      <c r="AU2916" s="14" t="str">
        <f>HYPERLINK("http://www.openstreetmap.org/?mlat=36.73&amp;mlon=43.03&amp;zoom=12#map=12/36.73/43.03","Maplink1")</f>
        <v>Maplink1</v>
      </c>
      <c r="AV2916" s="14" t="str">
        <f>HYPERLINK("https://www.google.iq/maps/search/+36.73,43.03/@36.73,43.03,14z?hl=en","Maplink2")</f>
        <v>Maplink2</v>
      </c>
      <c r="AW2916" s="14" t="str">
        <f>HYPERLINK("http://www.bing.com/maps/?lvl=14&amp;sty=h&amp;cp=36.73~43.03&amp;sp=point.36.73_43.03_Bahindawa","Maplink3")</f>
        <v>Maplink3</v>
      </c>
    </row>
    <row r="2917" spans="1:49" ht="15" customHeight="1" x14ac:dyDescent="0.25">
      <c r="A2917" s="21">
        <v>17569</v>
      </c>
      <c r="B2917" s="22" t="s">
        <v>21</v>
      </c>
      <c r="C2917" s="22" t="s">
        <v>5643</v>
      </c>
      <c r="D2917" s="22" t="s">
        <v>5661</v>
      </c>
      <c r="E2917" s="22" t="s">
        <v>5662</v>
      </c>
      <c r="F2917" s="22">
        <v>36.69</v>
      </c>
      <c r="G2917" s="22">
        <v>43.15</v>
      </c>
      <c r="H2917" s="21" t="s">
        <v>5198</v>
      </c>
      <c r="I2917" s="21" t="s">
        <v>5645</v>
      </c>
      <c r="J2917" s="21" t="s">
        <v>5663</v>
      </c>
      <c r="K2917" s="24">
        <v>170</v>
      </c>
      <c r="L2917" s="24">
        <v>1020</v>
      </c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170</v>
      </c>
      <c r="Z2917" s="23"/>
      <c r="AA2917" s="23"/>
      <c r="AB2917" s="23"/>
      <c r="AC2917" s="23"/>
      <c r="AD2917" s="23"/>
      <c r="AE2917" s="23"/>
      <c r="AF2917" s="23">
        <v>96</v>
      </c>
      <c r="AG2917" s="23"/>
      <c r="AH2917" s="23"/>
      <c r="AI2917" s="23">
        <v>7</v>
      </c>
      <c r="AJ2917" s="23">
        <v>2</v>
      </c>
      <c r="AK2917" s="23"/>
      <c r="AL2917" s="23"/>
      <c r="AM2917" s="23">
        <v>65</v>
      </c>
      <c r="AN2917" s="23"/>
      <c r="AO2917" s="23"/>
      <c r="AP2917" s="23"/>
      <c r="AQ2917" s="23">
        <v>170</v>
      </c>
      <c r="AR2917" s="23"/>
      <c r="AS2917" s="23"/>
      <c r="AT2917" s="23"/>
      <c r="AU2917" s="14" t="str">
        <f>HYPERLINK("http://www.openstreetmap.org/?mlat=36.69&amp;mlon=43.15&amp;zoom=12#map=12/36.69/43.15","Maplink1")</f>
        <v>Maplink1</v>
      </c>
      <c r="AV2917" s="14" t="str">
        <f>HYPERLINK("https://www.google.iq/maps/search/+36.69,43.15/@36.69,43.15,14z?hl=en","Maplink2")</f>
        <v>Maplink2</v>
      </c>
      <c r="AW2917" s="14" t="str">
        <f>HYPERLINK("http://www.bing.com/maps/?lvl=14&amp;sty=h&amp;cp=36.69~43.15&amp;sp=point.36.69_43.15_Beban","Maplink3")</f>
        <v>Maplink3</v>
      </c>
    </row>
    <row r="2918" spans="1:49" ht="15" customHeight="1" x14ac:dyDescent="0.25">
      <c r="A2918" s="21">
        <v>24684</v>
      </c>
      <c r="B2918" s="22" t="s">
        <v>21</v>
      </c>
      <c r="C2918" s="22" t="s">
        <v>5643</v>
      </c>
      <c r="D2918" s="22" t="s">
        <v>9022</v>
      </c>
      <c r="E2918" s="22" t="s">
        <v>5664</v>
      </c>
      <c r="F2918" s="22">
        <v>36.660601999999997</v>
      </c>
      <c r="G2918" s="22">
        <v>43.240582000000003</v>
      </c>
      <c r="H2918" s="21" t="s">
        <v>5198</v>
      </c>
      <c r="I2918" s="21" t="s">
        <v>5645</v>
      </c>
      <c r="J2918" s="21"/>
      <c r="K2918" s="24">
        <v>35</v>
      </c>
      <c r="L2918" s="24">
        <v>210</v>
      </c>
      <c r="M2918" s="23"/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35</v>
      </c>
      <c r="Z2918" s="23"/>
      <c r="AA2918" s="23"/>
      <c r="AB2918" s="23"/>
      <c r="AC2918" s="23"/>
      <c r="AD2918" s="23"/>
      <c r="AE2918" s="23"/>
      <c r="AF2918" s="23">
        <v>34</v>
      </c>
      <c r="AG2918" s="23"/>
      <c r="AH2918" s="23"/>
      <c r="AI2918" s="23"/>
      <c r="AJ2918" s="23">
        <v>1</v>
      </c>
      <c r="AK2918" s="23"/>
      <c r="AL2918" s="23"/>
      <c r="AM2918" s="23"/>
      <c r="AN2918" s="23"/>
      <c r="AO2918" s="23"/>
      <c r="AP2918" s="23">
        <v>10</v>
      </c>
      <c r="AQ2918" s="23">
        <v>25</v>
      </c>
      <c r="AR2918" s="23"/>
      <c r="AS2918" s="23"/>
      <c r="AT2918" s="23"/>
      <c r="AU2918" s="14" t="str">
        <f>HYPERLINK("http://www.openstreetmap.org/?mlat=36.6606&amp;mlon=43.2406&amp;zoom=12#map=12/36.6606/43.2406","Maplink1")</f>
        <v>Maplink1</v>
      </c>
      <c r="AV2918" s="14" t="str">
        <f>HYPERLINK("https://www.google.iq/maps/search/+36.6606,43.2406/@36.6606,43.2406,14z?hl=en","Maplink2")</f>
        <v>Maplink2</v>
      </c>
      <c r="AW2918" s="14" t="str">
        <f>HYPERLINK("http://www.bing.com/maps/?lvl=14&amp;sty=h&amp;cp=36.6606~43.2406&amp;sp=point.36.6606_43.2406_Beerzwat","Maplink3")</f>
        <v>Maplink3</v>
      </c>
    </row>
    <row r="2919" spans="1:49" ht="15" customHeight="1" x14ac:dyDescent="0.25">
      <c r="A2919" s="21">
        <v>17570</v>
      </c>
      <c r="B2919" s="22" t="s">
        <v>21</v>
      </c>
      <c r="C2919" s="22" t="s">
        <v>5643</v>
      </c>
      <c r="D2919" s="22" t="s">
        <v>5667</v>
      </c>
      <c r="E2919" s="22" t="s">
        <v>5668</v>
      </c>
      <c r="F2919" s="22">
        <v>36.729999999999997</v>
      </c>
      <c r="G2919" s="22">
        <v>43.13</v>
      </c>
      <c r="H2919" s="21" t="s">
        <v>5198</v>
      </c>
      <c r="I2919" s="21" t="s">
        <v>5645</v>
      </c>
      <c r="J2919" s="21" t="s">
        <v>5669</v>
      </c>
      <c r="K2919" s="24">
        <v>462</v>
      </c>
      <c r="L2919" s="24">
        <v>2772</v>
      </c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462</v>
      </c>
      <c r="Z2919" s="23"/>
      <c r="AA2919" s="23"/>
      <c r="AB2919" s="23"/>
      <c r="AC2919" s="23"/>
      <c r="AD2919" s="23"/>
      <c r="AE2919" s="23"/>
      <c r="AF2919" s="23">
        <v>270</v>
      </c>
      <c r="AG2919" s="23"/>
      <c r="AH2919" s="23"/>
      <c r="AI2919" s="23"/>
      <c r="AJ2919" s="23">
        <v>9</v>
      </c>
      <c r="AK2919" s="23"/>
      <c r="AL2919" s="23">
        <v>4</v>
      </c>
      <c r="AM2919" s="23">
        <v>179</v>
      </c>
      <c r="AN2919" s="23"/>
      <c r="AO2919" s="23"/>
      <c r="AP2919" s="23"/>
      <c r="AQ2919" s="23">
        <v>462</v>
      </c>
      <c r="AR2919" s="23"/>
      <c r="AS2919" s="23"/>
      <c r="AT2919" s="23"/>
      <c r="AU2919" s="14" t="str">
        <f>HYPERLINK("http://www.openstreetmap.org/?mlat=36.73&amp;mlon=43.13&amp;zoom=12#map=12/36.73/43.13","Maplink1")</f>
        <v>Maplink1</v>
      </c>
      <c r="AV2919" s="14" t="str">
        <f>HYPERLINK("https://www.google.iq/maps/search/+36.73,43.13/@36.73,43.13,14z?hl=en","Maplink2")</f>
        <v>Maplink2</v>
      </c>
      <c r="AW2919" s="14" t="str">
        <f>HYPERLINK("http://www.bing.com/maps/?lvl=14&amp;sty=h&amp;cp=36.73~43.13&amp;sp=point.36.73_43.13_Bozan","Maplink3")</f>
        <v>Maplink3</v>
      </c>
    </row>
    <row r="2920" spans="1:49" ht="15" customHeight="1" x14ac:dyDescent="0.25">
      <c r="A2920" s="21">
        <v>17080</v>
      </c>
      <c r="B2920" s="22" t="s">
        <v>21</v>
      </c>
      <c r="C2920" s="22" t="s">
        <v>5643</v>
      </c>
      <c r="D2920" s="22" t="s">
        <v>5670</v>
      </c>
      <c r="E2920" s="22" t="s">
        <v>5671</v>
      </c>
      <c r="F2920" s="22">
        <v>36.74</v>
      </c>
      <c r="G2920" s="22">
        <v>43</v>
      </c>
      <c r="H2920" s="21" t="s">
        <v>5198</v>
      </c>
      <c r="I2920" s="21" t="s">
        <v>5645</v>
      </c>
      <c r="J2920" s="21" t="s">
        <v>5672</v>
      </c>
      <c r="K2920" s="24">
        <v>45</v>
      </c>
      <c r="L2920" s="24">
        <v>270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45</v>
      </c>
      <c r="Z2920" s="23"/>
      <c r="AA2920" s="23"/>
      <c r="AB2920" s="23"/>
      <c r="AC2920" s="23"/>
      <c r="AD2920" s="23"/>
      <c r="AE2920" s="23"/>
      <c r="AF2920" s="23">
        <v>7</v>
      </c>
      <c r="AG2920" s="23"/>
      <c r="AH2920" s="23">
        <v>18</v>
      </c>
      <c r="AI2920" s="23"/>
      <c r="AJ2920" s="23"/>
      <c r="AK2920" s="23"/>
      <c r="AL2920" s="23"/>
      <c r="AM2920" s="23">
        <v>20</v>
      </c>
      <c r="AN2920" s="23"/>
      <c r="AO2920" s="23"/>
      <c r="AP2920" s="23"/>
      <c r="AQ2920" s="23">
        <v>45</v>
      </c>
      <c r="AR2920" s="23"/>
      <c r="AS2920" s="23"/>
      <c r="AT2920" s="23"/>
      <c r="AU2920" s="14" t="str">
        <f>HYPERLINK("http://www.openstreetmap.org/?mlat=36.74&amp;mlon=43&amp;zoom=12#map=12/36.74/43","Maplink1")</f>
        <v>Maplink1</v>
      </c>
      <c r="AV2920" s="14" t="str">
        <f>HYPERLINK("https://www.google.iq/maps/search/+36.74,43/@36.74,43,14z?hl=en","Maplink2")</f>
        <v>Maplink2</v>
      </c>
      <c r="AW2920" s="14" t="str">
        <f>HYPERLINK("http://www.bing.com/maps/?lvl=14&amp;sty=h&amp;cp=36.74~43&amp;sp=point.36.74_43_Dahkan","Maplink3")</f>
        <v>Maplink3</v>
      </c>
    </row>
    <row r="2921" spans="1:49" ht="15" customHeight="1" x14ac:dyDescent="0.25">
      <c r="A2921" s="21">
        <v>25500</v>
      </c>
      <c r="B2921" s="22" t="s">
        <v>21</v>
      </c>
      <c r="C2921" s="22" t="s">
        <v>5643</v>
      </c>
      <c r="D2921" s="22" t="s">
        <v>5673</v>
      </c>
      <c r="E2921" s="22" t="s">
        <v>5674</v>
      </c>
      <c r="F2921" s="22">
        <v>36.741554999999998</v>
      </c>
      <c r="G2921" s="22">
        <v>42.955404000000001</v>
      </c>
      <c r="H2921" s="21" t="s">
        <v>5198</v>
      </c>
      <c r="I2921" s="21" t="s">
        <v>5645</v>
      </c>
      <c r="J2921" s="21"/>
      <c r="K2921" s="24">
        <v>16</v>
      </c>
      <c r="L2921" s="24">
        <v>96</v>
      </c>
      <c r="M2921" s="23"/>
      <c r="N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>
        <v>16</v>
      </c>
      <c r="Z2921" s="23"/>
      <c r="AA2921" s="23"/>
      <c r="AB2921" s="23"/>
      <c r="AC2921" s="23"/>
      <c r="AD2921" s="23"/>
      <c r="AE2921" s="23"/>
      <c r="AF2921" s="23">
        <v>9</v>
      </c>
      <c r="AG2921" s="23"/>
      <c r="AH2921" s="23"/>
      <c r="AI2921" s="23"/>
      <c r="AJ2921" s="23"/>
      <c r="AK2921" s="23"/>
      <c r="AL2921" s="23"/>
      <c r="AM2921" s="23">
        <v>7</v>
      </c>
      <c r="AN2921" s="23"/>
      <c r="AO2921" s="23"/>
      <c r="AP2921" s="23"/>
      <c r="AQ2921" s="23">
        <v>16</v>
      </c>
      <c r="AR2921" s="23"/>
      <c r="AS2921" s="23"/>
      <c r="AT2921" s="23"/>
      <c r="AU2921" s="14" t="str">
        <f>HYPERLINK("http://www.openstreetmap.org/?mlat=36.7416&amp;mlon=42.9554&amp;zoom=12#map=12/36.7416/42.9554","Maplink1")</f>
        <v>Maplink1</v>
      </c>
      <c r="AV2921" s="14" t="str">
        <f>HYPERLINK("https://www.google.iq/maps/search/+36.7416,42.9554/@36.7416,42.9554,14z?hl=en","Maplink2")</f>
        <v>Maplink2</v>
      </c>
      <c r="AW2921" s="14" t="str">
        <f>HYPERLINK("http://www.bing.com/maps/?lvl=14&amp;sty=h&amp;cp=36.7416~42.9554&amp;sp=point.36.7416_42.9554_Dahkan Sageer","Maplink3")</f>
        <v>Maplink3</v>
      </c>
    </row>
    <row r="2922" spans="1:49" ht="15" customHeight="1" x14ac:dyDescent="0.25">
      <c r="A2922" s="21">
        <v>24683</v>
      </c>
      <c r="B2922" s="22" t="s">
        <v>21</v>
      </c>
      <c r="C2922" s="22" t="s">
        <v>5643</v>
      </c>
      <c r="D2922" s="22" t="s">
        <v>5675</v>
      </c>
      <c r="E2922" s="22" t="s">
        <v>5676</v>
      </c>
      <c r="F2922" s="22">
        <v>36.656877000000001</v>
      </c>
      <c r="G2922" s="22">
        <v>43.216113999999997</v>
      </c>
      <c r="H2922" s="21" t="s">
        <v>5198</v>
      </c>
      <c r="I2922" s="21" t="s">
        <v>5645</v>
      </c>
      <c r="J2922" s="21"/>
      <c r="K2922" s="24">
        <v>18</v>
      </c>
      <c r="L2922" s="24">
        <v>108</v>
      </c>
      <c r="M2922" s="23"/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18</v>
      </c>
      <c r="Z2922" s="23"/>
      <c r="AA2922" s="23"/>
      <c r="AB2922" s="23"/>
      <c r="AC2922" s="23"/>
      <c r="AD2922" s="23"/>
      <c r="AE2922" s="23"/>
      <c r="AF2922" s="23">
        <v>18</v>
      </c>
      <c r="AG2922" s="23"/>
      <c r="AH2922" s="23"/>
      <c r="AI2922" s="23"/>
      <c r="AJ2922" s="23"/>
      <c r="AK2922" s="23"/>
      <c r="AL2922" s="23"/>
      <c r="AM2922" s="23"/>
      <c r="AN2922" s="23"/>
      <c r="AO2922" s="23"/>
      <c r="AP2922" s="23"/>
      <c r="AQ2922" s="23">
        <v>18</v>
      </c>
      <c r="AR2922" s="23"/>
      <c r="AS2922" s="23"/>
      <c r="AT2922" s="23"/>
      <c r="AU2922" s="14" t="str">
        <f>HYPERLINK("http://www.openstreetmap.org/?mlat=36.6569&amp;mlon=43.2161&amp;zoom=12#map=12/36.6569/43.2161","Maplink1")</f>
        <v>Maplink1</v>
      </c>
      <c r="AV2922" s="14" t="str">
        <f>HYPERLINK("https://www.google.iq/maps/search/+36.6569,43.2161/@36.6569,43.2161,14z?hl=en","Maplink2")</f>
        <v>Maplink2</v>
      </c>
      <c r="AW2922" s="14" t="str">
        <f>HYPERLINK("http://www.bing.com/maps/?lvl=14&amp;sty=h&amp;cp=36.6569~43.2161&amp;sp=point.36.6569_43.2161_Dashqutan","Maplink3")</f>
        <v>Maplink3</v>
      </c>
    </row>
    <row r="2923" spans="1:49" ht="15" customHeight="1" x14ac:dyDescent="0.25">
      <c r="A2923" s="21">
        <v>17949</v>
      </c>
      <c r="B2923" s="22" t="s">
        <v>21</v>
      </c>
      <c r="C2923" s="22" t="s">
        <v>5643</v>
      </c>
      <c r="D2923" s="22" t="s">
        <v>8304</v>
      </c>
      <c r="E2923" s="22" t="s">
        <v>5654</v>
      </c>
      <c r="F2923" s="22">
        <v>36.679113000000001</v>
      </c>
      <c r="G2923" s="22">
        <v>43.014702999999997</v>
      </c>
      <c r="H2923" s="21" t="s">
        <v>5198</v>
      </c>
      <c r="I2923" s="21" t="s">
        <v>5645</v>
      </c>
      <c r="J2923" s="21" t="s">
        <v>5655</v>
      </c>
      <c r="K2923" s="24">
        <v>92</v>
      </c>
      <c r="L2923" s="24">
        <v>552</v>
      </c>
      <c r="M2923" s="23"/>
      <c r="N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>
        <v>92</v>
      </c>
      <c r="Z2923" s="23"/>
      <c r="AA2923" s="23"/>
      <c r="AB2923" s="23"/>
      <c r="AC2923" s="23"/>
      <c r="AD2923" s="23"/>
      <c r="AE2923" s="23"/>
      <c r="AF2923" s="23">
        <v>30</v>
      </c>
      <c r="AG2923" s="23"/>
      <c r="AH2923" s="23"/>
      <c r="AI2923" s="23"/>
      <c r="AJ2923" s="23"/>
      <c r="AK2923" s="23"/>
      <c r="AL2923" s="23">
        <v>15</v>
      </c>
      <c r="AM2923" s="23">
        <v>47</v>
      </c>
      <c r="AN2923" s="23"/>
      <c r="AO2923" s="23"/>
      <c r="AP2923" s="23"/>
      <c r="AQ2923" s="23">
        <v>92</v>
      </c>
      <c r="AR2923" s="23"/>
      <c r="AS2923" s="23"/>
      <c r="AT2923" s="23"/>
      <c r="AU2923" s="14" t="str">
        <f>HYPERLINK("http://www.openstreetmap.org/?mlat=36.6791&amp;mlon=43.0147&amp;zoom=12#map=12/36.6791/43.0147","Maplink1")</f>
        <v>Maplink1</v>
      </c>
      <c r="AV2923" s="14" t="str">
        <f>HYPERLINK("https://www.google.iq/maps/search/+36.6791,43.0147/@36.6791,43.0147,14z?hl=en","Maplink2")</f>
        <v>Maplink2</v>
      </c>
      <c r="AW2923" s="14" t="str">
        <f>HYPERLINK("http://www.bing.com/maps/?lvl=14&amp;sty=h&amp;cp=36.6791~43.0147&amp;sp=point.36.6791_43.0147_Alqosh-Derston","Maplink3")</f>
        <v>Maplink3</v>
      </c>
    </row>
    <row r="2924" spans="1:49" ht="15" customHeight="1" x14ac:dyDescent="0.25">
      <c r="A2924" s="21">
        <v>21604</v>
      </c>
      <c r="B2924" s="22" t="s">
        <v>21</v>
      </c>
      <c r="C2924" s="22" t="s">
        <v>5643</v>
      </c>
      <c r="D2924" s="22" t="s">
        <v>7502</v>
      </c>
      <c r="E2924" s="22" t="s">
        <v>7503</v>
      </c>
      <c r="F2924" s="22">
        <v>36.643420999999996</v>
      </c>
      <c r="G2924" s="22">
        <v>43.116231999999997</v>
      </c>
      <c r="H2924" s="21" t="s">
        <v>5198</v>
      </c>
      <c r="I2924" s="21" t="s">
        <v>5645</v>
      </c>
      <c r="J2924" s="21" t="s">
        <v>7504</v>
      </c>
      <c r="K2924" s="24">
        <v>21</v>
      </c>
      <c r="L2924" s="24">
        <v>126</v>
      </c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21</v>
      </c>
      <c r="Z2924" s="23"/>
      <c r="AA2924" s="23"/>
      <c r="AB2924" s="23"/>
      <c r="AC2924" s="23"/>
      <c r="AD2924" s="23"/>
      <c r="AE2924" s="23"/>
      <c r="AF2924" s="23">
        <v>21</v>
      </c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>
        <v>21</v>
      </c>
      <c r="AR2924" s="23"/>
      <c r="AS2924" s="23"/>
      <c r="AT2924" s="23"/>
      <c r="AU2924" s="14" t="str">
        <f>HYPERLINK("http://www.openstreetmap.org/?mlat=36.6434&amp;mlon=43.1162&amp;zoom=12#map=12/36.6434/43.1162","Maplink1")</f>
        <v>Maplink1</v>
      </c>
      <c r="AV2924" s="14" t="str">
        <f>HYPERLINK("https://www.google.iq/maps/search/+36.6434,43.1162/@36.6434,43.1162,14z?hl=en","Maplink2")</f>
        <v>Maplink2</v>
      </c>
      <c r="AW2924" s="14" t="str">
        <f>HYPERLINK("http://www.bing.com/maps/?lvl=14&amp;sty=h&amp;cp=36.6434~43.1162&amp;sp=point.36.6434_43.1162_Doghat","Maplink3")</f>
        <v>Maplink3</v>
      </c>
    </row>
    <row r="2925" spans="1:49" ht="15" customHeight="1" x14ac:dyDescent="0.25">
      <c r="A2925" s="21">
        <v>24797</v>
      </c>
      <c r="B2925" s="22" t="s">
        <v>21</v>
      </c>
      <c r="C2925" s="22" t="s">
        <v>5643</v>
      </c>
      <c r="D2925" s="22" t="s">
        <v>5677</v>
      </c>
      <c r="E2925" s="22" t="s">
        <v>5678</v>
      </c>
      <c r="F2925" s="22">
        <v>36.645555999999999</v>
      </c>
      <c r="G2925" s="22">
        <v>43.236944000000001</v>
      </c>
      <c r="H2925" s="21" t="s">
        <v>5198</v>
      </c>
      <c r="I2925" s="21" t="s">
        <v>5645</v>
      </c>
      <c r="J2925" s="21"/>
      <c r="K2925" s="24">
        <v>1229</v>
      </c>
      <c r="L2925" s="24">
        <v>7374</v>
      </c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>
        <v>1229</v>
      </c>
      <c r="Z2925" s="23"/>
      <c r="AA2925" s="23"/>
      <c r="AB2925" s="23"/>
      <c r="AC2925" s="23"/>
      <c r="AD2925" s="23"/>
      <c r="AE2925" s="23">
        <v>1229</v>
      </c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23"/>
      <c r="AP2925" s="23"/>
      <c r="AQ2925" s="23">
        <v>83</v>
      </c>
      <c r="AR2925" s="23"/>
      <c r="AS2925" s="23">
        <v>885</v>
      </c>
      <c r="AT2925" s="23">
        <v>261</v>
      </c>
      <c r="AU2925" s="14" t="str">
        <f>HYPERLINK("http://www.openstreetmap.org/?mlat=36.6456&amp;mlon=43.2369&amp;zoom=12#map=12/36.6456/43.2369","Maplink1")</f>
        <v>Maplink1</v>
      </c>
      <c r="AV2925" s="14" t="str">
        <f>HYPERLINK("https://www.google.iq/maps/search/+36.6456,43.2369/@36.6456,43.2369,14z?hl=en","Maplink2")</f>
        <v>Maplink2</v>
      </c>
      <c r="AW2925" s="14" t="str">
        <f>HYPERLINK("http://www.bing.com/maps/?lvl=14&amp;sty=h&amp;cp=36.6456~43.2369&amp;sp=point.36.6456_43.2369_Garmawa Camp","Maplink3")</f>
        <v>Maplink3</v>
      </c>
    </row>
    <row r="2926" spans="1:49" ht="15" customHeight="1" x14ac:dyDescent="0.25">
      <c r="A2926" s="21">
        <v>18055</v>
      </c>
      <c r="B2926" s="22" t="s">
        <v>21</v>
      </c>
      <c r="C2926" s="22" t="s">
        <v>5643</v>
      </c>
      <c r="D2926" s="22" t="s">
        <v>9023</v>
      </c>
      <c r="E2926" s="22" t="s">
        <v>9024</v>
      </c>
      <c r="F2926" s="22">
        <v>36.660330000000002</v>
      </c>
      <c r="G2926" s="22">
        <v>43.043610999999999</v>
      </c>
      <c r="H2926" s="21" t="s">
        <v>5198</v>
      </c>
      <c r="I2926" s="21" t="s">
        <v>5645</v>
      </c>
      <c r="J2926" s="21" t="s">
        <v>5706</v>
      </c>
      <c r="K2926" s="24">
        <v>157</v>
      </c>
      <c r="L2926" s="24">
        <v>942</v>
      </c>
      <c r="M2926" s="23"/>
      <c r="N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>
        <v>157</v>
      </c>
      <c r="Z2926" s="23"/>
      <c r="AA2926" s="23"/>
      <c r="AB2926" s="23"/>
      <c r="AC2926" s="23"/>
      <c r="AD2926" s="23"/>
      <c r="AE2926" s="23"/>
      <c r="AF2926" s="23">
        <v>75</v>
      </c>
      <c r="AG2926" s="23"/>
      <c r="AH2926" s="23"/>
      <c r="AI2926" s="23"/>
      <c r="AJ2926" s="23"/>
      <c r="AK2926" s="23"/>
      <c r="AL2926" s="23"/>
      <c r="AM2926" s="23">
        <v>82</v>
      </c>
      <c r="AN2926" s="23"/>
      <c r="AO2926" s="23"/>
      <c r="AP2926" s="23"/>
      <c r="AQ2926" s="23">
        <v>157</v>
      </c>
      <c r="AR2926" s="23"/>
      <c r="AS2926" s="23"/>
      <c r="AT2926" s="23"/>
      <c r="AU2926" s="14" t="str">
        <f>HYPERLINK("http://www.openstreetmap.org/?mlat=36.6603&amp;mlon=43.0436&amp;zoom=12#map=12/36.6603/43.0436","Maplink1")</f>
        <v>Maplink1</v>
      </c>
      <c r="AV2926" s="14" t="str">
        <f>HYPERLINK("https://www.google.iq/maps/search/+36.6603,43.0436/@36.6603,43.0436,14z?hl=en","Maplink2")</f>
        <v>Maplink2</v>
      </c>
      <c r="AW2926" s="14" t="str">
        <f>HYPERLINK("http://www.bing.com/maps/?lvl=14&amp;sty=h&amp;cp=36.6603~43.0436&amp;sp=point.36.6603_43.0436_Qaryat Al-Hatara","Maplink3")</f>
        <v>Maplink3</v>
      </c>
    </row>
    <row r="2927" spans="1:49" ht="15" customHeight="1" x14ac:dyDescent="0.25">
      <c r="A2927" s="21">
        <v>23606</v>
      </c>
      <c r="B2927" s="22" t="s">
        <v>21</v>
      </c>
      <c r="C2927" s="22" t="s">
        <v>5643</v>
      </c>
      <c r="D2927" s="22" t="s">
        <v>9025</v>
      </c>
      <c r="E2927" s="22" t="s">
        <v>9026</v>
      </c>
      <c r="F2927" s="22">
        <v>36.460661000000002</v>
      </c>
      <c r="G2927" s="22">
        <v>42.985284999999998</v>
      </c>
      <c r="H2927" s="21" t="s">
        <v>5198</v>
      </c>
      <c r="I2927" s="21" t="s">
        <v>5645</v>
      </c>
      <c r="J2927" s="21" t="s">
        <v>5679</v>
      </c>
      <c r="K2927" s="24">
        <v>95</v>
      </c>
      <c r="L2927" s="24">
        <v>570</v>
      </c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>
        <v>95</v>
      </c>
      <c r="Z2927" s="23"/>
      <c r="AA2927" s="23"/>
      <c r="AB2927" s="23"/>
      <c r="AC2927" s="23"/>
      <c r="AD2927" s="23"/>
      <c r="AE2927" s="23"/>
      <c r="AF2927" s="23"/>
      <c r="AG2927" s="23"/>
      <c r="AH2927" s="23"/>
      <c r="AI2927" s="23"/>
      <c r="AJ2927" s="23"/>
      <c r="AK2927" s="23"/>
      <c r="AL2927" s="23"/>
      <c r="AM2927" s="23">
        <v>95</v>
      </c>
      <c r="AN2927" s="23"/>
      <c r="AO2927" s="23"/>
      <c r="AP2927" s="23"/>
      <c r="AQ2927" s="23"/>
      <c r="AR2927" s="23">
        <v>95</v>
      </c>
      <c r="AS2927" s="23"/>
      <c r="AT2927" s="23"/>
      <c r="AU2927" s="14" t="str">
        <f>HYPERLINK("http://www.openstreetmap.org/?mlat=36.4607&amp;mlon=42.9853&amp;zoom=12#map=12/36.4607/42.9853","Maplink1")</f>
        <v>Maplink1</v>
      </c>
      <c r="AV2927" s="14" t="str">
        <f>HYPERLINK("https://www.google.iq/maps/search/+36.4607,42.9853/@36.4607,42.9853,14z?hl=en","Maplink2")</f>
        <v>Maplink2</v>
      </c>
      <c r="AW2927" s="14" t="str">
        <f>HYPERLINK("http://www.bing.com/maps/?lvl=14&amp;sty=h&amp;cp=36.4607~42.9853&amp;sp=point.36.4607_42.9853_Jabir Ben Hayan collective","Maplink3")</f>
        <v>Maplink3</v>
      </c>
    </row>
    <row r="2928" spans="1:49" ht="15" customHeight="1" x14ac:dyDescent="0.25">
      <c r="A2928" s="21">
        <v>24703</v>
      </c>
      <c r="B2928" s="22" t="s">
        <v>21</v>
      </c>
      <c r="C2928" s="22" t="s">
        <v>5643</v>
      </c>
      <c r="D2928" s="22" t="s">
        <v>5680</v>
      </c>
      <c r="E2928" s="22" t="s">
        <v>5681</v>
      </c>
      <c r="F2928" s="22">
        <v>36.714055000000002</v>
      </c>
      <c r="G2928" s="22">
        <v>42.953980999999999</v>
      </c>
      <c r="H2928" s="21" t="s">
        <v>5198</v>
      </c>
      <c r="I2928" s="21" t="s">
        <v>5645</v>
      </c>
      <c r="J2928" s="21"/>
      <c r="K2928" s="24">
        <v>90</v>
      </c>
      <c r="L2928" s="24">
        <v>540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90</v>
      </c>
      <c r="Z2928" s="23"/>
      <c r="AA2928" s="23"/>
      <c r="AB2928" s="23"/>
      <c r="AC2928" s="23"/>
      <c r="AD2928" s="23"/>
      <c r="AE2928" s="23"/>
      <c r="AF2928" s="23">
        <v>75</v>
      </c>
      <c r="AG2928" s="23"/>
      <c r="AH2928" s="23"/>
      <c r="AI2928" s="23"/>
      <c r="AJ2928" s="23"/>
      <c r="AK2928" s="23">
        <v>10</v>
      </c>
      <c r="AL2928" s="23"/>
      <c r="AM2928" s="23">
        <v>5</v>
      </c>
      <c r="AN2928" s="23"/>
      <c r="AO2928" s="23"/>
      <c r="AP2928" s="23">
        <v>5</v>
      </c>
      <c r="AQ2928" s="23">
        <v>85</v>
      </c>
      <c r="AR2928" s="23"/>
      <c r="AS2928" s="23"/>
      <c r="AT2928" s="23"/>
      <c r="AU2928" s="14" t="str">
        <f>HYPERLINK("http://www.openstreetmap.org/?mlat=36.7141&amp;mlon=42.954&amp;zoom=12#map=12/36.7141/42.954","Maplink1")</f>
        <v>Maplink1</v>
      </c>
      <c r="AV2928" s="14" t="str">
        <f>HYPERLINK("https://www.google.iq/maps/search/+36.7141,42.954/@36.7141,42.954,14z?hl=en","Maplink2")</f>
        <v>Maplink2</v>
      </c>
      <c r="AW2928" s="14" t="str">
        <f>HYPERLINK("http://www.bing.com/maps/?lvl=14&amp;sty=h&amp;cp=36.7141~42.954&amp;sp=point.36.7141_42.954_Jambour Village","Maplink3")</f>
        <v>Maplink3</v>
      </c>
    </row>
    <row r="2929" spans="1:49" ht="15" customHeight="1" x14ac:dyDescent="0.25">
      <c r="A2929" s="21">
        <v>17830</v>
      </c>
      <c r="B2929" s="22" t="s">
        <v>21</v>
      </c>
      <c r="C2929" s="22" t="s">
        <v>5643</v>
      </c>
      <c r="D2929" s="22" t="s">
        <v>5682</v>
      </c>
      <c r="E2929" s="22" t="s">
        <v>5683</v>
      </c>
      <c r="F2929" s="22">
        <v>36.700000000000003</v>
      </c>
      <c r="G2929" s="22">
        <v>43.21</v>
      </c>
      <c r="H2929" s="21" t="s">
        <v>5198</v>
      </c>
      <c r="I2929" s="21" t="s">
        <v>5645</v>
      </c>
      <c r="J2929" s="21" t="s">
        <v>5684</v>
      </c>
      <c r="K2929" s="24">
        <v>33</v>
      </c>
      <c r="L2929" s="24">
        <v>198</v>
      </c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33</v>
      </c>
      <c r="Z2929" s="23"/>
      <c r="AA2929" s="23"/>
      <c r="AB2929" s="23"/>
      <c r="AC2929" s="23"/>
      <c r="AD2929" s="23"/>
      <c r="AE2929" s="23"/>
      <c r="AF2929" s="23">
        <v>27</v>
      </c>
      <c r="AG2929" s="23"/>
      <c r="AH2929" s="23"/>
      <c r="AI2929" s="23"/>
      <c r="AJ2929" s="23"/>
      <c r="AK2929" s="23"/>
      <c r="AL2929" s="23"/>
      <c r="AM2929" s="23">
        <v>6</v>
      </c>
      <c r="AN2929" s="23"/>
      <c r="AO2929" s="23"/>
      <c r="AP2929" s="23"/>
      <c r="AQ2929" s="23">
        <v>33</v>
      </c>
      <c r="AR2929" s="23"/>
      <c r="AS2929" s="23"/>
      <c r="AT2929" s="23"/>
      <c r="AU2929" s="14" t="str">
        <f>HYPERLINK("http://www.openstreetmap.org/?mlat=36.7&amp;mlon=43.21&amp;zoom=12#map=12/36.7/43.21","Maplink1")</f>
        <v>Maplink1</v>
      </c>
      <c r="AV2929" s="14" t="str">
        <f>HYPERLINK("https://www.google.iq/maps/search/+36.7,43.21/@36.7,43.21,14z?hl=en","Maplink2")</f>
        <v>Maplink2</v>
      </c>
      <c r="AW2929" s="14" t="str">
        <f>HYPERLINK("http://www.bing.com/maps/?lvl=14&amp;sty=h&amp;cp=36.7~43.21&amp;sp=point.36.7_43.21_Jarahiya","Maplink3")</f>
        <v>Maplink3</v>
      </c>
    </row>
    <row r="2930" spans="1:49" ht="15" customHeight="1" x14ac:dyDescent="0.25">
      <c r="A2930" s="21">
        <v>26019</v>
      </c>
      <c r="B2930" s="22" t="s">
        <v>21</v>
      </c>
      <c r="C2930" s="22" t="s">
        <v>5643</v>
      </c>
      <c r="D2930" s="22" t="s">
        <v>5685</v>
      </c>
      <c r="E2930" s="22" t="s">
        <v>5686</v>
      </c>
      <c r="F2930" s="22">
        <v>36.6325</v>
      </c>
      <c r="G2930" s="22">
        <v>43.253610999999999</v>
      </c>
      <c r="H2930" s="21" t="s">
        <v>5198</v>
      </c>
      <c r="I2930" s="21" t="s">
        <v>5645</v>
      </c>
      <c r="J2930" s="21"/>
      <c r="K2930" s="24">
        <v>67</v>
      </c>
      <c r="L2930" s="24">
        <v>402</v>
      </c>
      <c r="M2930" s="23"/>
      <c r="N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>
        <v>67</v>
      </c>
      <c r="Z2930" s="23"/>
      <c r="AA2930" s="23"/>
      <c r="AB2930" s="23"/>
      <c r="AC2930" s="23"/>
      <c r="AD2930" s="23"/>
      <c r="AE2930" s="23"/>
      <c r="AF2930" s="23">
        <v>27</v>
      </c>
      <c r="AG2930" s="23"/>
      <c r="AH2930" s="23"/>
      <c r="AI2930" s="23"/>
      <c r="AJ2930" s="23"/>
      <c r="AK2930" s="23"/>
      <c r="AL2930" s="23"/>
      <c r="AM2930" s="23">
        <v>40</v>
      </c>
      <c r="AN2930" s="23"/>
      <c r="AO2930" s="23"/>
      <c r="AP2930" s="23"/>
      <c r="AQ2930" s="23">
        <v>33</v>
      </c>
      <c r="AR2930" s="23"/>
      <c r="AS2930" s="23">
        <v>34</v>
      </c>
      <c r="AT2930" s="23"/>
      <c r="AU2930" s="14" t="str">
        <f>HYPERLINK("http://www.openstreetmap.org/?mlat=36.6325&amp;mlon=43.2536&amp;zoom=12#map=12/36.6325/43.2536","Maplink1")</f>
        <v>Maplink1</v>
      </c>
      <c r="AV2930" s="14" t="str">
        <f>HYPERLINK("https://www.google.iq/maps/search/+36.6325,43.2536/@36.6325,43.2536,14z?hl=en","Maplink2")</f>
        <v>Maplink2</v>
      </c>
      <c r="AW2930" s="14" t="str">
        <f>HYPERLINK("http://www.bing.com/maps/?lvl=14&amp;sty=h&amp;cp=36.6325~43.2536&amp;sp=point.36.6325_43.2536_Jarghan","Maplink3")</f>
        <v>Maplink3</v>
      </c>
    </row>
    <row r="2931" spans="1:49" ht="15" customHeight="1" x14ac:dyDescent="0.25">
      <c r="A2931" s="21">
        <v>25278</v>
      </c>
      <c r="B2931" s="22" t="s">
        <v>21</v>
      </c>
      <c r="C2931" s="22" t="s">
        <v>5643</v>
      </c>
      <c r="D2931" s="22" t="s">
        <v>5687</v>
      </c>
      <c r="E2931" s="22" t="s">
        <v>5688</v>
      </c>
      <c r="F2931" s="22">
        <v>36.734465999999998</v>
      </c>
      <c r="G2931" s="22">
        <v>43.224156999999998</v>
      </c>
      <c r="H2931" s="21" t="s">
        <v>5198</v>
      </c>
      <c r="I2931" s="21" t="s">
        <v>5645</v>
      </c>
      <c r="J2931" s="21"/>
      <c r="K2931" s="24">
        <v>15</v>
      </c>
      <c r="L2931" s="24">
        <v>90</v>
      </c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15</v>
      </c>
      <c r="Z2931" s="23"/>
      <c r="AA2931" s="23"/>
      <c r="AB2931" s="23"/>
      <c r="AC2931" s="23"/>
      <c r="AD2931" s="23"/>
      <c r="AE2931" s="23"/>
      <c r="AF2931" s="23">
        <v>12</v>
      </c>
      <c r="AG2931" s="23"/>
      <c r="AH2931" s="23"/>
      <c r="AI2931" s="23"/>
      <c r="AJ2931" s="23"/>
      <c r="AK2931" s="23"/>
      <c r="AL2931" s="23"/>
      <c r="AM2931" s="23">
        <v>3</v>
      </c>
      <c r="AN2931" s="23"/>
      <c r="AO2931" s="23"/>
      <c r="AP2931" s="23"/>
      <c r="AQ2931" s="23">
        <v>15</v>
      </c>
      <c r="AR2931" s="23"/>
      <c r="AS2931" s="23"/>
      <c r="AT2931" s="23"/>
      <c r="AU2931" s="14" t="str">
        <f>HYPERLINK("http://www.openstreetmap.org/?mlat=36.7345&amp;mlon=43.2242&amp;zoom=12#map=12/36.7345/43.2242","Maplink1")</f>
        <v>Maplink1</v>
      </c>
      <c r="AV2931" s="14" t="str">
        <f>HYPERLINK("https://www.google.iq/maps/search/+36.7345,43.2242/@36.7345,43.2242,14z?hl=en","Maplink2")</f>
        <v>Maplink2</v>
      </c>
      <c r="AW2931" s="14" t="str">
        <f>HYPERLINK("http://www.bing.com/maps/?lvl=14&amp;sty=h&amp;cp=36.7345~43.2242&amp;sp=point.36.7345_43.2242_Kabara","Maplink3")</f>
        <v>Maplink3</v>
      </c>
    </row>
    <row r="2932" spans="1:49" ht="15" customHeight="1" x14ac:dyDescent="0.25">
      <c r="A2932" s="21">
        <v>24637</v>
      </c>
      <c r="B2932" s="22" t="s">
        <v>21</v>
      </c>
      <c r="C2932" s="22" t="s">
        <v>5643</v>
      </c>
      <c r="D2932" s="22" t="s">
        <v>5689</v>
      </c>
      <c r="E2932" s="22" t="s">
        <v>5690</v>
      </c>
      <c r="F2932" s="22">
        <v>36.596910999999999</v>
      </c>
      <c r="G2932" s="22">
        <v>43.209265000000002</v>
      </c>
      <c r="H2932" s="21" t="s">
        <v>5198</v>
      </c>
      <c r="I2932" s="21" t="s">
        <v>5645</v>
      </c>
      <c r="J2932" s="21"/>
      <c r="K2932" s="24">
        <v>201</v>
      </c>
      <c r="L2932" s="24">
        <v>1206</v>
      </c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>
        <v>201</v>
      </c>
      <c r="Z2932" s="23"/>
      <c r="AA2932" s="23"/>
      <c r="AB2932" s="23"/>
      <c r="AC2932" s="23"/>
      <c r="AD2932" s="23"/>
      <c r="AE2932" s="23"/>
      <c r="AF2932" s="23">
        <v>148</v>
      </c>
      <c r="AG2932" s="23"/>
      <c r="AH2932" s="23"/>
      <c r="AI2932" s="23"/>
      <c r="AJ2932" s="23"/>
      <c r="AK2932" s="23"/>
      <c r="AL2932" s="23"/>
      <c r="AM2932" s="23">
        <v>53</v>
      </c>
      <c r="AN2932" s="23"/>
      <c r="AO2932" s="23"/>
      <c r="AP2932" s="23"/>
      <c r="AQ2932" s="23">
        <v>60</v>
      </c>
      <c r="AR2932" s="23">
        <v>80</v>
      </c>
      <c r="AS2932" s="23">
        <v>61</v>
      </c>
      <c r="AT2932" s="23"/>
      <c r="AU2932" s="14" t="str">
        <f>HYPERLINK("http://www.openstreetmap.org/?mlat=36.5969&amp;mlon=43.2093&amp;zoom=12#map=12/36.5969/43.2093","Maplink1")</f>
        <v>Maplink1</v>
      </c>
      <c r="AV2932" s="14" t="str">
        <f>HYPERLINK("https://www.google.iq/maps/search/+36.5969,43.2093/@36.5969,43.2093,14z?hl=en","Maplink2")</f>
        <v>Maplink2</v>
      </c>
      <c r="AW2932" s="14" t="str">
        <f>HYPERLINK("http://www.bing.com/maps/?lvl=14&amp;sty=h&amp;cp=36.5969~43.2093&amp;sp=point.36.5969_43.2093_Kalata Farhan village","Maplink3")</f>
        <v>Maplink3</v>
      </c>
    </row>
    <row r="2933" spans="1:49" ht="15" customHeight="1" x14ac:dyDescent="0.25">
      <c r="A2933" s="21">
        <v>17602</v>
      </c>
      <c r="B2933" s="22" t="s">
        <v>21</v>
      </c>
      <c r="C2933" s="22" t="s">
        <v>5643</v>
      </c>
      <c r="D2933" s="22" t="s">
        <v>5691</v>
      </c>
      <c r="E2933" s="22" t="s">
        <v>5692</v>
      </c>
      <c r="F2933" s="22">
        <v>36.696660000000001</v>
      </c>
      <c r="G2933" s="22">
        <v>43.015559000000003</v>
      </c>
      <c r="H2933" s="21" t="s">
        <v>5198</v>
      </c>
      <c r="I2933" s="21" t="s">
        <v>5645</v>
      </c>
      <c r="J2933" s="21" t="s">
        <v>5693</v>
      </c>
      <c r="K2933" s="24">
        <v>26</v>
      </c>
      <c r="L2933" s="24">
        <v>156</v>
      </c>
      <c r="M2933" s="23"/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26</v>
      </c>
      <c r="Z2933" s="23"/>
      <c r="AA2933" s="23"/>
      <c r="AB2933" s="23"/>
      <c r="AC2933" s="23"/>
      <c r="AD2933" s="23"/>
      <c r="AE2933" s="23"/>
      <c r="AF2933" s="23">
        <v>26</v>
      </c>
      <c r="AG2933" s="23"/>
      <c r="AH2933" s="23"/>
      <c r="AI2933" s="23"/>
      <c r="AJ2933" s="23"/>
      <c r="AK2933" s="23"/>
      <c r="AL2933" s="23"/>
      <c r="AM2933" s="23"/>
      <c r="AN2933" s="23"/>
      <c r="AO2933" s="23"/>
      <c r="AP2933" s="23">
        <v>15</v>
      </c>
      <c r="AQ2933" s="23">
        <v>11</v>
      </c>
      <c r="AR2933" s="23"/>
      <c r="AS2933" s="23"/>
      <c r="AT2933" s="23"/>
      <c r="AU2933" s="14" t="str">
        <f>HYPERLINK("http://www.openstreetmap.org/?mlat=36.56&amp;mlon=43.03&amp;zoom=12#map=12/36.56/43.03","Maplink1")</f>
        <v>Maplink1</v>
      </c>
      <c r="AV2933" s="14" t="str">
        <f>HYPERLINK("https://www.google.iq/maps/search/+36.56,43.03/@36.56,43.03,14z?hl=en","Maplink2")</f>
        <v>Maplink2</v>
      </c>
      <c r="AW2933" s="14" t="str">
        <f>HYPERLINK("http://www.bing.com/maps/?lvl=14&amp;sty=h&amp;cp=36.56~43.03&amp;sp=point.36.56_43.03_Kani Shirin","Maplink3")</f>
        <v>Maplink3</v>
      </c>
    </row>
    <row r="2934" spans="1:49" ht="15" customHeight="1" x14ac:dyDescent="0.25">
      <c r="A2934" s="21">
        <v>18379</v>
      </c>
      <c r="B2934" s="22" t="s">
        <v>21</v>
      </c>
      <c r="C2934" s="22" t="s">
        <v>5643</v>
      </c>
      <c r="D2934" s="22" t="s">
        <v>5694</v>
      </c>
      <c r="E2934" s="22" t="s">
        <v>5695</v>
      </c>
      <c r="F2934" s="22">
        <v>36.673116</v>
      </c>
      <c r="G2934" s="22">
        <v>43.216721</v>
      </c>
      <c r="H2934" s="21" t="s">
        <v>5198</v>
      </c>
      <c r="I2934" s="21" t="s">
        <v>5645</v>
      </c>
      <c r="J2934" s="21" t="s">
        <v>5696</v>
      </c>
      <c r="K2934" s="24">
        <v>7</v>
      </c>
      <c r="L2934" s="24">
        <v>42</v>
      </c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>
        <v>7</v>
      </c>
      <c r="Z2934" s="23"/>
      <c r="AA2934" s="23"/>
      <c r="AB2934" s="23"/>
      <c r="AC2934" s="23"/>
      <c r="AD2934" s="23"/>
      <c r="AE2934" s="23"/>
      <c r="AF2934" s="23">
        <v>7</v>
      </c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>
        <v>7</v>
      </c>
      <c r="AR2934" s="23"/>
      <c r="AS2934" s="23"/>
      <c r="AT2934" s="23"/>
      <c r="AU2934" s="14" t="str">
        <f>HYPERLINK("http://www.openstreetmap.org/?mlat=36.6731&amp;mlon=43.2167&amp;zoom=12#map=12/36.6731/43.2167","Maplink1")</f>
        <v>Maplink1</v>
      </c>
      <c r="AV2934" s="14" t="str">
        <f>HYPERLINK("https://www.google.iq/maps/search/+36.6731,43.2167/@36.6731,43.2167,14z?hl=en","Maplink2")</f>
        <v>Maplink2</v>
      </c>
      <c r="AW2934" s="14" t="str">
        <f>HYPERLINK("http://www.bing.com/maps/?lvl=14&amp;sty=h&amp;cp=36.6731~43.2167&amp;sp=point.36.6731_43.2167_Karanjik","Maplink3")</f>
        <v>Maplink3</v>
      </c>
    </row>
    <row r="2935" spans="1:49" ht="15" customHeight="1" x14ac:dyDescent="0.25">
      <c r="A2935" s="21">
        <v>24685</v>
      </c>
      <c r="B2935" s="22" t="s">
        <v>21</v>
      </c>
      <c r="C2935" s="22" t="s">
        <v>5643</v>
      </c>
      <c r="D2935" s="22" t="s">
        <v>5697</v>
      </c>
      <c r="E2935" s="22" t="s">
        <v>5698</v>
      </c>
      <c r="F2935" s="22">
        <v>36.624594999999999</v>
      </c>
      <c r="G2935" s="22">
        <v>43.221274999999999</v>
      </c>
      <c r="H2935" s="21" t="s">
        <v>5198</v>
      </c>
      <c r="I2935" s="21" t="s">
        <v>5645</v>
      </c>
      <c r="J2935" s="21"/>
      <c r="K2935" s="24">
        <v>13</v>
      </c>
      <c r="L2935" s="24">
        <v>78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13</v>
      </c>
      <c r="Z2935" s="23"/>
      <c r="AA2935" s="23"/>
      <c r="AB2935" s="23"/>
      <c r="AC2935" s="23"/>
      <c r="AD2935" s="23"/>
      <c r="AE2935" s="23"/>
      <c r="AF2935" s="23">
        <v>12</v>
      </c>
      <c r="AG2935" s="23"/>
      <c r="AH2935" s="23"/>
      <c r="AI2935" s="23"/>
      <c r="AJ2935" s="23"/>
      <c r="AK2935" s="23">
        <v>1</v>
      </c>
      <c r="AL2935" s="23"/>
      <c r="AM2935" s="23"/>
      <c r="AN2935" s="23"/>
      <c r="AO2935" s="23"/>
      <c r="AP2935" s="23"/>
      <c r="AQ2935" s="23">
        <v>13</v>
      </c>
      <c r="AR2935" s="23"/>
      <c r="AS2935" s="23"/>
      <c r="AT2935" s="23"/>
      <c r="AU2935" s="14" t="str">
        <f>HYPERLINK("http://www.openstreetmap.org/?mlat=36.6246&amp;mlon=43.2213&amp;zoom=12#map=12/36.6246/43.2213","Maplink1")</f>
        <v>Maplink1</v>
      </c>
      <c r="AV2935" s="14" t="str">
        <f>HYPERLINK("https://www.google.iq/maps/search/+36.6246,43.2213/@36.6246,43.2213,14z?hl=en","Maplink2")</f>
        <v>Maplink2</v>
      </c>
      <c r="AW2935" s="14" t="str">
        <f>HYPERLINK("http://www.bing.com/maps/?lvl=14&amp;sty=h&amp;cp=36.6246~43.2213&amp;sp=point.36.6246_43.2213_Karmawa","Maplink3")</f>
        <v>Maplink3</v>
      </c>
    </row>
    <row r="2936" spans="1:49" ht="15" customHeight="1" x14ac:dyDescent="0.25">
      <c r="A2936" s="21">
        <v>17564</v>
      </c>
      <c r="B2936" s="22" t="s">
        <v>21</v>
      </c>
      <c r="C2936" s="22" t="s">
        <v>5643</v>
      </c>
      <c r="D2936" s="22" t="s">
        <v>5699</v>
      </c>
      <c r="E2936" s="22" t="s">
        <v>5700</v>
      </c>
      <c r="F2936" s="22">
        <v>36.739842000000003</v>
      </c>
      <c r="G2936" s="22">
        <v>43.171726</v>
      </c>
      <c r="H2936" s="21" t="s">
        <v>5198</v>
      </c>
      <c r="I2936" s="21" t="s">
        <v>5645</v>
      </c>
      <c r="J2936" s="21" t="s">
        <v>5701</v>
      </c>
      <c r="K2936" s="24">
        <v>9</v>
      </c>
      <c r="L2936" s="24">
        <v>54</v>
      </c>
      <c r="M2936" s="23"/>
      <c r="N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>
        <v>9</v>
      </c>
      <c r="Z2936" s="23"/>
      <c r="AA2936" s="23"/>
      <c r="AB2936" s="23"/>
      <c r="AC2936" s="23"/>
      <c r="AD2936" s="23"/>
      <c r="AE2936" s="23"/>
      <c r="AF2936" s="23">
        <v>9</v>
      </c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>
        <v>9</v>
      </c>
      <c r="AR2936" s="23"/>
      <c r="AS2936" s="23"/>
      <c r="AT2936" s="23"/>
      <c r="AU2936" s="14" t="str">
        <f>HYPERLINK("http://www.openstreetmap.org/?mlat=36.7398&amp;mlon=43.1717&amp;zoom=12#map=12/36.7398/43.1717","Maplink1")</f>
        <v>Maplink1</v>
      </c>
      <c r="AV2936" s="14" t="str">
        <f>HYPERLINK("https://www.google.iq/maps/search/+36.7398,43.1717/@36.7398,43.1717,14z?hl=en","Maplink2")</f>
        <v>Maplink2</v>
      </c>
      <c r="AW2936" s="14" t="str">
        <f>HYPERLINK("http://www.bing.com/maps/?lvl=14&amp;sty=h&amp;cp=36.7398~43.1717&amp;sp=point.36.7398_43.1717_Khorazan","Maplink3")</f>
        <v>Maplink3</v>
      </c>
    </row>
    <row r="2937" spans="1:49" ht="15" customHeight="1" x14ac:dyDescent="0.25">
      <c r="A2937" s="21">
        <v>18046</v>
      </c>
      <c r="B2937" s="22" t="s">
        <v>21</v>
      </c>
      <c r="C2937" s="22" t="s">
        <v>5643</v>
      </c>
      <c r="D2937" s="22" t="s">
        <v>3616</v>
      </c>
      <c r="E2937" s="22" t="s">
        <v>5720</v>
      </c>
      <c r="F2937" s="22">
        <v>36.623544000000003</v>
      </c>
      <c r="G2937" s="22">
        <v>42.982211999999997</v>
      </c>
      <c r="H2937" s="21" t="s">
        <v>5198</v>
      </c>
      <c r="I2937" s="21" t="s">
        <v>5645</v>
      </c>
      <c r="J2937" s="21" t="s">
        <v>5721</v>
      </c>
      <c r="K2937" s="24">
        <v>140</v>
      </c>
      <c r="L2937" s="24">
        <v>840</v>
      </c>
      <c r="M2937" s="23"/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140</v>
      </c>
      <c r="Z2937" s="23"/>
      <c r="AA2937" s="23"/>
      <c r="AB2937" s="23"/>
      <c r="AC2937" s="23"/>
      <c r="AD2937" s="23"/>
      <c r="AE2937" s="23"/>
      <c r="AF2937" s="23">
        <v>115</v>
      </c>
      <c r="AG2937" s="23"/>
      <c r="AH2937" s="23"/>
      <c r="AI2937" s="23"/>
      <c r="AJ2937" s="23"/>
      <c r="AK2937" s="23">
        <v>10</v>
      </c>
      <c r="AL2937" s="23"/>
      <c r="AM2937" s="23">
        <v>15</v>
      </c>
      <c r="AN2937" s="23"/>
      <c r="AO2937" s="23"/>
      <c r="AP2937" s="23"/>
      <c r="AQ2937" s="23">
        <v>140</v>
      </c>
      <c r="AR2937" s="23"/>
      <c r="AS2937" s="23"/>
      <c r="AT2937" s="23"/>
      <c r="AU2937" s="14" t="str">
        <f>HYPERLINK("http://www.openstreetmap.org/?mlat=36.6235&amp;mlon=42.9822&amp;zoom=12#map=12/36.6235/42.9822","Maplink1")</f>
        <v>Maplink1</v>
      </c>
      <c r="AV2937" s="14" t="str">
        <f>HYPERLINK("https://www.google.iq/maps/search/+36.6235,42.9822/@36.6235,42.9822,14z?hl=en","Maplink2")</f>
        <v>Maplink2</v>
      </c>
      <c r="AW2937" s="14" t="str">
        <f>HYPERLINK("http://www.bing.com/maps/?lvl=14&amp;sty=h&amp;cp=36.6235~42.9822&amp;sp=point.36.6235_42.9822_Wanna-Manara","Maplink3")</f>
        <v>Maplink3</v>
      </c>
    </row>
    <row r="2938" spans="1:49" ht="15" customHeight="1" x14ac:dyDescent="0.25">
      <c r="A2938" s="21">
        <v>18380</v>
      </c>
      <c r="B2938" s="22" t="s">
        <v>21</v>
      </c>
      <c r="C2938" s="22" t="s">
        <v>5643</v>
      </c>
      <c r="D2938" s="22" t="s">
        <v>9027</v>
      </c>
      <c r="E2938" s="22" t="s">
        <v>5702</v>
      </c>
      <c r="F2938" s="22">
        <v>36.699655</v>
      </c>
      <c r="G2938" s="22">
        <v>43.217142000000003</v>
      </c>
      <c r="H2938" s="21" t="s">
        <v>5198</v>
      </c>
      <c r="I2938" s="21" t="s">
        <v>5645</v>
      </c>
      <c r="J2938" s="21" t="s">
        <v>5703</v>
      </c>
      <c r="K2938" s="24">
        <v>62</v>
      </c>
      <c r="L2938" s="24">
        <v>372</v>
      </c>
      <c r="M2938" s="23"/>
      <c r="N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>
        <v>62</v>
      </c>
      <c r="Z2938" s="23"/>
      <c r="AA2938" s="23"/>
      <c r="AB2938" s="23"/>
      <c r="AC2938" s="23"/>
      <c r="AD2938" s="23"/>
      <c r="AE2938" s="23"/>
      <c r="AF2938" s="23">
        <v>37</v>
      </c>
      <c r="AG2938" s="23"/>
      <c r="AH2938" s="23"/>
      <c r="AI2938" s="23"/>
      <c r="AJ2938" s="23"/>
      <c r="AK2938" s="23"/>
      <c r="AL2938" s="23"/>
      <c r="AM2938" s="23">
        <v>25</v>
      </c>
      <c r="AN2938" s="23"/>
      <c r="AO2938" s="23"/>
      <c r="AP2938" s="23"/>
      <c r="AQ2938" s="23">
        <v>62</v>
      </c>
      <c r="AR2938" s="23"/>
      <c r="AS2938" s="23"/>
      <c r="AT2938" s="23"/>
      <c r="AU2938" s="14" t="str">
        <f>HYPERLINK("http://www.openstreetmap.org/?mlat=36.6997&amp;mlon=43.2171&amp;zoom=12#map=12/36.6997/43.2171","Maplink1")</f>
        <v>Maplink1</v>
      </c>
      <c r="AV2938" s="14" t="str">
        <f>HYPERLINK("https://www.google.iq/maps/search/+36.6997,43.2171/@36.6997,43.2171,14z?hl=en","Maplink2")</f>
        <v>Maplink2</v>
      </c>
      <c r="AW2938" s="14" t="str">
        <f>HYPERLINK("http://www.bing.com/maps/?lvl=14&amp;sty=h&amp;cp=36.6997~43.2171&amp;sp=point.36.6997_43.2171_Nasirih","Maplink3")</f>
        <v>Maplink3</v>
      </c>
    </row>
    <row r="2939" spans="1:49" ht="15" customHeight="1" x14ac:dyDescent="0.25">
      <c r="A2939" s="21">
        <v>25368</v>
      </c>
      <c r="B2939" s="22" t="s">
        <v>21</v>
      </c>
      <c r="C2939" s="22" t="s">
        <v>5643</v>
      </c>
      <c r="D2939" s="22" t="s">
        <v>5704</v>
      </c>
      <c r="E2939" s="22" t="s">
        <v>5705</v>
      </c>
      <c r="F2939" s="22">
        <v>36.640726999999998</v>
      </c>
      <c r="G2939" s="22">
        <v>42.990001999999997</v>
      </c>
      <c r="H2939" s="21" t="s">
        <v>5198</v>
      </c>
      <c r="I2939" s="21" t="s">
        <v>5645</v>
      </c>
      <c r="J2939" s="21"/>
      <c r="K2939" s="24">
        <v>50</v>
      </c>
      <c r="L2939" s="24">
        <v>300</v>
      </c>
      <c r="M2939" s="23"/>
      <c r="N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>
        <v>50</v>
      </c>
      <c r="Z2939" s="23"/>
      <c r="AA2939" s="23"/>
      <c r="AB2939" s="23"/>
      <c r="AC2939" s="23"/>
      <c r="AD2939" s="23"/>
      <c r="AE2939" s="23"/>
      <c r="AF2939" s="23">
        <v>50</v>
      </c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>
        <v>50</v>
      </c>
      <c r="AR2939" s="23"/>
      <c r="AS2939" s="23"/>
      <c r="AT2939" s="23"/>
      <c r="AU2939" s="14" t="str">
        <f>HYPERLINK("http://www.openstreetmap.org/?mlat=36.6407&amp;mlon=42.99&amp;zoom=12#map=12/36.6407/42.99","Maplink1")</f>
        <v>Maplink1</v>
      </c>
      <c r="AV2939" s="14" t="str">
        <f>HYPERLINK("https://www.google.iq/maps/search/+36.6407,42.99/@36.6407,42.99,14z?hl=en","Maplink2")</f>
        <v>Maplink2</v>
      </c>
      <c r="AW2939" s="14" t="str">
        <f>HYPERLINK("http://www.bing.com/maps/?lvl=14&amp;sty=h&amp;cp=36.6407~42.99&amp;sp=point.36.6407_42.99_Pabera Complex","Maplink3")</f>
        <v>Maplink3</v>
      </c>
    </row>
    <row r="2940" spans="1:49" ht="15" customHeight="1" x14ac:dyDescent="0.25">
      <c r="A2940" s="21">
        <v>17551</v>
      </c>
      <c r="B2940" s="22" t="s">
        <v>21</v>
      </c>
      <c r="C2940" s="22" t="s">
        <v>5643</v>
      </c>
      <c r="D2940" s="22" t="s">
        <v>5707</v>
      </c>
      <c r="E2940" s="22" t="s">
        <v>5708</v>
      </c>
      <c r="F2940" s="22">
        <v>36.635894999999998</v>
      </c>
      <c r="G2940" s="22">
        <v>43.148350999999998</v>
      </c>
      <c r="H2940" s="21" t="s">
        <v>5198</v>
      </c>
      <c r="I2940" s="21" t="s">
        <v>5645</v>
      </c>
      <c r="J2940" s="21" t="s">
        <v>5709</v>
      </c>
      <c r="K2940" s="24">
        <v>15</v>
      </c>
      <c r="L2940" s="24">
        <v>90</v>
      </c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>
        <v>15</v>
      </c>
      <c r="Z2940" s="23"/>
      <c r="AA2940" s="23"/>
      <c r="AB2940" s="23"/>
      <c r="AC2940" s="23"/>
      <c r="AD2940" s="23"/>
      <c r="AE2940" s="23"/>
      <c r="AF2940" s="23">
        <v>15</v>
      </c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>
        <v>15</v>
      </c>
      <c r="AR2940" s="23"/>
      <c r="AS2940" s="23"/>
      <c r="AT2940" s="23"/>
      <c r="AU2940" s="14" t="str">
        <f>HYPERLINK("http://www.openstreetmap.org/?mlat=36.6359&amp;mlon=43.1484&amp;zoom=12#map=12/36.6359/43.1484","Maplink1")</f>
        <v>Maplink1</v>
      </c>
      <c r="AV2940" s="14" t="str">
        <f>HYPERLINK("https://www.google.iq/maps/search/+36.6359,43.1484/@36.6359,43.1484,14z?hl=en","Maplink2")</f>
        <v>Maplink2</v>
      </c>
      <c r="AW2940" s="14" t="str">
        <f>HYPERLINK("http://www.bing.com/maps/?lvl=14&amp;sty=h&amp;cp=36.6359~43.1484&amp;sp=point.36.6359_43.1484_Sarishka","Maplink3")</f>
        <v>Maplink3</v>
      </c>
    </row>
    <row r="2941" spans="1:49" ht="15" customHeight="1" x14ac:dyDescent="0.25">
      <c r="A2941" s="21">
        <v>26017</v>
      </c>
      <c r="B2941" s="22" t="s">
        <v>21</v>
      </c>
      <c r="C2941" s="22" t="s">
        <v>5643</v>
      </c>
      <c r="D2941" s="22" t="s">
        <v>5710</v>
      </c>
      <c r="E2941" s="22" t="s">
        <v>5711</v>
      </c>
      <c r="F2941" s="22">
        <v>36.624721999999998</v>
      </c>
      <c r="G2941" s="22">
        <v>43.222222000000002</v>
      </c>
      <c r="H2941" s="21" t="s">
        <v>5198</v>
      </c>
      <c r="I2941" s="21" t="s">
        <v>5645</v>
      </c>
      <c r="J2941" s="21"/>
      <c r="K2941" s="24">
        <v>45</v>
      </c>
      <c r="L2941" s="24">
        <v>270</v>
      </c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>
        <v>45</v>
      </c>
      <c r="Z2941" s="23"/>
      <c r="AA2941" s="23"/>
      <c r="AB2941" s="23"/>
      <c r="AC2941" s="23"/>
      <c r="AD2941" s="23"/>
      <c r="AE2941" s="23"/>
      <c r="AF2941" s="23">
        <v>40</v>
      </c>
      <c r="AG2941" s="23"/>
      <c r="AH2941" s="23"/>
      <c r="AI2941" s="23"/>
      <c r="AJ2941" s="23"/>
      <c r="AK2941" s="23"/>
      <c r="AL2941" s="23"/>
      <c r="AM2941" s="23">
        <v>5</v>
      </c>
      <c r="AN2941" s="23"/>
      <c r="AO2941" s="23"/>
      <c r="AP2941" s="23">
        <v>4</v>
      </c>
      <c r="AQ2941" s="23">
        <v>26</v>
      </c>
      <c r="AR2941" s="23"/>
      <c r="AS2941" s="23">
        <v>15</v>
      </c>
      <c r="AT2941" s="23"/>
      <c r="AU2941" s="14" t="str">
        <f>HYPERLINK("http://www.openstreetmap.org/?mlat=36.6247&amp;mlon=43.2222&amp;zoom=12#map=12/36.6247/43.2222","Maplink1")</f>
        <v>Maplink1</v>
      </c>
      <c r="AV2941" s="14" t="str">
        <f>HYPERLINK("https://www.google.iq/maps/search/+36.6247,43.2222/@36.6247,43.2222,14z?hl=en","Maplink2")</f>
        <v>Maplink2</v>
      </c>
      <c r="AW2941" s="14" t="str">
        <f>HYPERLINK("http://www.bing.com/maps/?lvl=14&amp;sty=h&amp;cp=36.6247~43.2222&amp;sp=point.36.6247_43.2222_Sendank Olya","Maplink3")</f>
        <v>Maplink3</v>
      </c>
    </row>
    <row r="2942" spans="1:49" ht="15" customHeight="1" x14ac:dyDescent="0.25">
      <c r="A2942" s="21">
        <v>26018</v>
      </c>
      <c r="B2942" s="22" t="s">
        <v>21</v>
      </c>
      <c r="C2942" s="22" t="s">
        <v>5643</v>
      </c>
      <c r="D2942" s="22" t="s">
        <v>5712</v>
      </c>
      <c r="E2942" s="22" t="s">
        <v>5713</v>
      </c>
      <c r="F2942" s="22">
        <v>36.606167999999997</v>
      </c>
      <c r="G2942" s="22">
        <v>43.219420999999997</v>
      </c>
      <c r="H2942" s="21" t="s">
        <v>5198</v>
      </c>
      <c r="I2942" s="21" t="s">
        <v>5645</v>
      </c>
      <c r="J2942" s="21"/>
      <c r="K2942" s="24">
        <v>61</v>
      </c>
      <c r="L2942" s="24">
        <v>366</v>
      </c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>
        <v>61</v>
      </c>
      <c r="Z2942" s="23"/>
      <c r="AA2942" s="23"/>
      <c r="AB2942" s="23"/>
      <c r="AC2942" s="23"/>
      <c r="AD2942" s="23"/>
      <c r="AE2942" s="23"/>
      <c r="AF2942" s="23">
        <v>29</v>
      </c>
      <c r="AG2942" s="23"/>
      <c r="AH2942" s="23"/>
      <c r="AI2942" s="23"/>
      <c r="AJ2942" s="23"/>
      <c r="AK2942" s="23"/>
      <c r="AL2942" s="23">
        <v>5</v>
      </c>
      <c r="AM2942" s="23">
        <v>27</v>
      </c>
      <c r="AN2942" s="23"/>
      <c r="AO2942" s="23"/>
      <c r="AP2942" s="23"/>
      <c r="AQ2942" s="23">
        <v>30</v>
      </c>
      <c r="AR2942" s="23"/>
      <c r="AS2942" s="23">
        <v>31</v>
      </c>
      <c r="AT2942" s="23"/>
      <c r="AU2942" s="14" t="str">
        <f>HYPERLINK("http://www.openstreetmap.org/?mlat=36.6062&amp;mlon=43.2194&amp;zoom=12#map=12/36.6062/43.2194","Maplink1")</f>
        <v>Maplink1</v>
      </c>
      <c r="AV2942" s="14" t="str">
        <f>HYPERLINK("https://www.google.iq/maps/search/+36.6062,43.2194/@36.6062,43.2194,14z?hl=en","Maplink2")</f>
        <v>Maplink2</v>
      </c>
      <c r="AW2942" s="14" t="str">
        <f>HYPERLINK("http://www.bing.com/maps/?lvl=14&amp;sty=h&amp;cp=36.6062~43.2194&amp;sp=point.36.6062_43.2194_Sendank Sofla","Maplink3")</f>
        <v>Maplink3</v>
      </c>
    </row>
    <row r="2943" spans="1:49" ht="15" customHeight="1" x14ac:dyDescent="0.25">
      <c r="A2943" s="21">
        <v>25277</v>
      </c>
      <c r="B2943" s="22" t="s">
        <v>21</v>
      </c>
      <c r="C2943" s="22" t="s">
        <v>5643</v>
      </c>
      <c r="D2943" s="22" t="s">
        <v>5714</v>
      </c>
      <c r="E2943" s="22" t="s">
        <v>5715</v>
      </c>
      <c r="F2943" s="22">
        <v>36.688845999999998</v>
      </c>
      <c r="G2943" s="22">
        <v>43.095508000000002</v>
      </c>
      <c r="H2943" s="21" t="s">
        <v>5198</v>
      </c>
      <c r="I2943" s="21" t="s">
        <v>5645</v>
      </c>
      <c r="J2943" s="21"/>
      <c r="K2943" s="24">
        <v>88</v>
      </c>
      <c r="L2943" s="24">
        <v>528</v>
      </c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>
        <v>88</v>
      </c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>
        <v>3</v>
      </c>
      <c r="AK2943" s="23">
        <v>85</v>
      </c>
      <c r="AL2943" s="23"/>
      <c r="AM2943" s="23"/>
      <c r="AN2943" s="23"/>
      <c r="AO2943" s="23"/>
      <c r="AP2943" s="23"/>
      <c r="AQ2943" s="23">
        <v>88</v>
      </c>
      <c r="AR2943" s="23"/>
      <c r="AS2943" s="23"/>
      <c r="AT2943" s="23"/>
      <c r="AU2943" s="14" t="str">
        <f>HYPERLINK("http://www.openstreetmap.org/?mlat=36.6888&amp;mlon=43.0955&amp;zoom=12#map=12/36.6888/43.0955","Maplink1")</f>
        <v>Maplink1</v>
      </c>
      <c r="AV2943" s="14" t="str">
        <f>HYPERLINK("https://www.google.iq/maps/search/+36.6888,43.0955/@36.6888,43.0955,14z?hl=en","Maplink2")</f>
        <v>Maplink2</v>
      </c>
      <c r="AW2943" s="14" t="str">
        <f>HYPERLINK("http://www.bing.com/maps/?lvl=14&amp;sty=h&amp;cp=36.6888~43.0955&amp;sp=point.36.6888_43.0955_Sharafiya","Maplink3")</f>
        <v>Maplink3</v>
      </c>
    </row>
    <row r="2944" spans="1:49" ht="15" customHeight="1" x14ac:dyDescent="0.25">
      <c r="A2944" s="21">
        <v>22365</v>
      </c>
      <c r="B2944" s="22" t="s">
        <v>21</v>
      </c>
      <c r="C2944" s="22" t="s">
        <v>5643</v>
      </c>
      <c r="D2944" s="22" t="s">
        <v>5716</v>
      </c>
      <c r="E2944" s="22" t="s">
        <v>5717</v>
      </c>
      <c r="F2944" s="22">
        <v>36.689131000000003</v>
      </c>
      <c r="G2944" s="22">
        <v>43.165140000000001</v>
      </c>
      <c r="H2944" s="21" t="s">
        <v>5198</v>
      </c>
      <c r="I2944" s="21" t="s">
        <v>5645</v>
      </c>
      <c r="J2944" s="21" t="s">
        <v>5718</v>
      </c>
      <c r="K2944" s="24">
        <v>280</v>
      </c>
      <c r="L2944" s="24">
        <v>1680</v>
      </c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>
        <v>280</v>
      </c>
      <c r="Z2944" s="23"/>
      <c r="AA2944" s="23"/>
      <c r="AB2944" s="23"/>
      <c r="AC2944" s="23"/>
      <c r="AD2944" s="23"/>
      <c r="AE2944" s="23"/>
      <c r="AF2944" s="23">
        <v>137</v>
      </c>
      <c r="AG2944" s="23"/>
      <c r="AH2944" s="23"/>
      <c r="AI2944" s="23">
        <v>1</v>
      </c>
      <c r="AJ2944" s="23"/>
      <c r="AK2944" s="23">
        <v>20</v>
      </c>
      <c r="AL2944" s="23">
        <v>1</v>
      </c>
      <c r="AM2944" s="23">
        <v>121</v>
      </c>
      <c r="AN2944" s="23"/>
      <c r="AO2944" s="23"/>
      <c r="AP2944" s="23"/>
      <c r="AQ2944" s="23">
        <v>280</v>
      </c>
      <c r="AR2944" s="23"/>
      <c r="AS2944" s="23"/>
      <c r="AT2944" s="23"/>
      <c r="AU2944" s="14" t="str">
        <f>HYPERLINK("http://www.openstreetmap.org/?mlat=36.6891&amp;mlon=43.1651&amp;zoom=12#map=12/36.6891/43.1651","Maplink1")</f>
        <v>Maplink1</v>
      </c>
      <c r="AV2944" s="14" t="str">
        <f>HYPERLINK("https://www.google.iq/maps/search/+36.6891,43.1651/@36.6891,43.1651,14z?hl=en","Maplink2")</f>
        <v>Maplink2</v>
      </c>
      <c r="AW2944" s="14" t="str">
        <f>HYPERLINK("http://www.bing.com/maps/?lvl=14&amp;sty=h&amp;cp=36.6891~43.1651&amp;sp=point.36.6891_43.1651_Shaykhaka","Maplink3")</f>
        <v>Maplink3</v>
      </c>
    </row>
    <row r="2945" spans="1:49" ht="15" customHeight="1" x14ac:dyDescent="0.25">
      <c r="A2945" s="21">
        <v>16978</v>
      </c>
      <c r="B2945" s="22" t="s">
        <v>21</v>
      </c>
      <c r="C2945" s="22" t="s">
        <v>5643</v>
      </c>
      <c r="D2945" s="22" t="s">
        <v>9028</v>
      </c>
      <c r="E2945" s="22" t="s">
        <v>5656</v>
      </c>
      <c r="F2945" s="22">
        <v>36.739401999999998</v>
      </c>
      <c r="G2945" s="22">
        <v>43.170766</v>
      </c>
      <c r="H2945" s="21" t="s">
        <v>5198</v>
      </c>
      <c r="I2945" s="21" t="s">
        <v>5645</v>
      </c>
      <c r="J2945" s="21" t="s">
        <v>5657</v>
      </c>
      <c r="K2945" s="24">
        <v>22</v>
      </c>
      <c r="L2945" s="24">
        <v>132</v>
      </c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>
        <v>22</v>
      </c>
      <c r="Z2945" s="23"/>
      <c r="AA2945" s="23"/>
      <c r="AB2945" s="23"/>
      <c r="AC2945" s="23"/>
      <c r="AD2945" s="23"/>
      <c r="AE2945" s="23"/>
      <c r="AF2945" s="23">
        <v>16</v>
      </c>
      <c r="AG2945" s="23"/>
      <c r="AH2945" s="23"/>
      <c r="AI2945" s="23">
        <v>3</v>
      </c>
      <c r="AJ2945" s="23"/>
      <c r="AK2945" s="23"/>
      <c r="AL2945" s="23"/>
      <c r="AM2945" s="23">
        <v>3</v>
      </c>
      <c r="AN2945" s="23"/>
      <c r="AO2945" s="23"/>
      <c r="AP2945" s="23"/>
      <c r="AQ2945" s="23">
        <v>22</v>
      </c>
      <c r="AR2945" s="23"/>
      <c r="AS2945" s="23"/>
      <c r="AT2945" s="23"/>
      <c r="AU2945" s="14" t="str">
        <f>HYPERLINK("http://www.openstreetmap.org/?mlat=36.7394&amp;mlon=43.1708&amp;zoom=12#map=12/36.7394/43.1708","Maplink1")</f>
        <v>Maplink1</v>
      </c>
      <c r="AV2945" s="14" t="str">
        <f>HYPERLINK("https://www.google.iq/maps/search/+36.7394,43.1708/@36.7394,43.1708,14z?hl=en","Maplink2")</f>
        <v>Maplink2</v>
      </c>
      <c r="AW2945" s="14" t="str">
        <f>HYPERLINK("http://www.bing.com/maps/?lvl=14&amp;sty=h&amp;cp=36.7394~43.1708&amp;sp=point.36.7394_43.1708_Alqush-Tafteyan","Maplink3")</f>
        <v>Maplink3</v>
      </c>
    </row>
    <row r="2946" spans="1:49" ht="15" customHeight="1" x14ac:dyDescent="0.25">
      <c r="A2946" s="21">
        <v>17931</v>
      </c>
      <c r="B2946" s="22" t="s">
        <v>21</v>
      </c>
      <c r="C2946" s="22" t="s">
        <v>5643</v>
      </c>
      <c r="D2946" s="22" t="s">
        <v>9029</v>
      </c>
      <c r="E2946" s="22" t="s">
        <v>5722</v>
      </c>
      <c r="F2946" s="22">
        <v>36.609099000000001</v>
      </c>
      <c r="G2946" s="22">
        <v>42.982841999999998</v>
      </c>
      <c r="H2946" s="21" t="s">
        <v>5198</v>
      </c>
      <c r="I2946" s="21" t="s">
        <v>5645</v>
      </c>
      <c r="J2946" s="21" t="s">
        <v>5723</v>
      </c>
      <c r="K2946" s="24">
        <v>200</v>
      </c>
      <c r="L2946" s="24">
        <v>1200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200</v>
      </c>
      <c r="Z2946" s="23"/>
      <c r="AA2946" s="23"/>
      <c r="AB2946" s="23"/>
      <c r="AC2946" s="23"/>
      <c r="AD2946" s="23"/>
      <c r="AE2946" s="23"/>
      <c r="AF2946" s="23">
        <v>185</v>
      </c>
      <c r="AG2946" s="23"/>
      <c r="AH2946" s="23"/>
      <c r="AI2946" s="23"/>
      <c r="AJ2946" s="23"/>
      <c r="AK2946" s="23"/>
      <c r="AL2946" s="23"/>
      <c r="AM2946" s="23">
        <v>15</v>
      </c>
      <c r="AN2946" s="23"/>
      <c r="AO2946" s="23"/>
      <c r="AP2946" s="23">
        <v>130</v>
      </c>
      <c r="AQ2946" s="23">
        <v>70</v>
      </c>
      <c r="AR2946" s="23"/>
      <c r="AS2946" s="23"/>
      <c r="AT2946" s="23"/>
      <c r="AU2946" s="14" t="str">
        <f>HYPERLINK("http://www.openstreetmap.org/?mlat=36.6091&amp;mlon=42.9828&amp;zoom=12#map=12/36.6091/42.9828","Maplink1")</f>
        <v>Maplink1</v>
      </c>
      <c r="AV2946" s="14" t="str">
        <f>HYPERLINK("https://www.google.iq/maps/search/+36.6091,42.9828/@36.6091,42.9828,14z?hl=en","Maplink2")</f>
        <v>Maplink2</v>
      </c>
      <c r="AW2946" s="14" t="str">
        <f>HYPERLINK("http://www.bing.com/maps/?lvl=14&amp;sty=h&amp;cp=36.6091~42.9828&amp;sp=point.36.6091_42.9828_Wanna-Tal Adas","Maplink3")</f>
        <v>Maplink3</v>
      </c>
    </row>
    <row r="2947" spans="1:49" ht="15" customHeight="1" x14ac:dyDescent="0.25">
      <c r="A2947" s="21">
        <v>17133</v>
      </c>
      <c r="B2947" s="22" t="s">
        <v>21</v>
      </c>
      <c r="C2947" s="22" t="s">
        <v>5643</v>
      </c>
      <c r="D2947" s="22" t="s">
        <v>9030</v>
      </c>
      <c r="E2947" s="22" t="s">
        <v>9031</v>
      </c>
      <c r="F2947" s="22">
        <v>36.520000000000003</v>
      </c>
      <c r="G2947" s="22">
        <v>42.75</v>
      </c>
      <c r="H2947" s="21" t="s">
        <v>5198</v>
      </c>
      <c r="I2947" s="21" t="s">
        <v>5645</v>
      </c>
      <c r="J2947" s="21" t="s">
        <v>5719</v>
      </c>
      <c r="K2947" s="24">
        <v>95</v>
      </c>
      <c r="L2947" s="24">
        <v>570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95</v>
      </c>
      <c r="Z2947" s="23"/>
      <c r="AA2947" s="23"/>
      <c r="AB2947" s="23"/>
      <c r="AC2947" s="23"/>
      <c r="AD2947" s="23"/>
      <c r="AE2947" s="23"/>
      <c r="AF2947" s="23">
        <v>80</v>
      </c>
      <c r="AG2947" s="23"/>
      <c r="AH2947" s="23"/>
      <c r="AI2947" s="23"/>
      <c r="AJ2947" s="23"/>
      <c r="AK2947" s="23">
        <v>15</v>
      </c>
      <c r="AL2947" s="23"/>
      <c r="AM2947" s="23"/>
      <c r="AN2947" s="23"/>
      <c r="AO2947" s="23"/>
      <c r="AP2947" s="23"/>
      <c r="AQ2947" s="23"/>
      <c r="AR2947" s="23"/>
      <c r="AS2947" s="23">
        <v>88</v>
      </c>
      <c r="AT2947" s="23">
        <v>7</v>
      </c>
      <c r="AU2947" s="14" t="str">
        <f>HYPERLINK("http://www.openstreetmap.org/?mlat=36.52&amp;mlon=42.75&amp;zoom=12#map=12/36.52/42.75","Maplink1")</f>
        <v>Maplink1</v>
      </c>
      <c r="AV2947" s="14" t="str">
        <f>HYPERLINK("https://www.google.iq/maps/search/+36.52,42.75/@36.52,42.75,14z?hl=en","Maplink2")</f>
        <v>Maplink2</v>
      </c>
      <c r="AW2947" s="14" t="str">
        <f>HYPERLINK("http://www.bing.com/maps/?lvl=14&amp;sty=h&amp;cp=36.52~42.75&amp;sp=point.36.52_42.75_Wana","Maplink3")</f>
        <v>Maplink3</v>
      </c>
    </row>
    <row r="2948" spans="1:49" ht="15" customHeight="1" x14ac:dyDescent="0.25">
      <c r="A2948" s="21">
        <v>24207</v>
      </c>
      <c r="B2948" s="22" t="s">
        <v>22</v>
      </c>
      <c r="C2948" s="22" t="s">
        <v>5724</v>
      </c>
      <c r="D2948" s="22" t="s">
        <v>5728</v>
      </c>
      <c r="E2948" s="22" t="s">
        <v>8078</v>
      </c>
      <c r="F2948" s="22">
        <v>32.152546999999998</v>
      </c>
      <c r="G2948" s="22">
        <v>45.016060000000003</v>
      </c>
      <c r="H2948" s="21" t="s">
        <v>5725</v>
      </c>
      <c r="I2948" s="21" t="s">
        <v>5726</v>
      </c>
      <c r="J2948" s="21" t="s">
        <v>5729</v>
      </c>
      <c r="K2948" s="24">
        <v>39</v>
      </c>
      <c r="L2948" s="24">
        <v>234</v>
      </c>
      <c r="M2948" s="23"/>
      <c r="N2948" s="23"/>
      <c r="O2948" s="23"/>
      <c r="P2948" s="23"/>
      <c r="Q2948" s="23"/>
      <c r="R2948" s="23"/>
      <c r="S2948" s="23"/>
      <c r="T2948" s="23"/>
      <c r="U2948" s="23">
        <v>34</v>
      </c>
      <c r="V2948" s="23"/>
      <c r="W2948" s="23"/>
      <c r="X2948" s="23"/>
      <c r="Y2948" s="23">
        <v>5</v>
      </c>
      <c r="Z2948" s="23"/>
      <c r="AA2948" s="23"/>
      <c r="AB2948" s="23"/>
      <c r="AC2948" s="23"/>
      <c r="AD2948" s="23"/>
      <c r="AE2948" s="23"/>
      <c r="AF2948" s="23">
        <v>18</v>
      </c>
      <c r="AG2948" s="23"/>
      <c r="AH2948" s="23"/>
      <c r="AI2948" s="23"/>
      <c r="AJ2948" s="23">
        <v>3</v>
      </c>
      <c r="AK2948" s="23">
        <v>18</v>
      </c>
      <c r="AL2948" s="23"/>
      <c r="AM2948" s="23"/>
      <c r="AN2948" s="23"/>
      <c r="AO2948" s="23">
        <v>8</v>
      </c>
      <c r="AP2948" s="23">
        <v>26</v>
      </c>
      <c r="AQ2948" s="23">
        <v>5</v>
      </c>
      <c r="AR2948" s="23"/>
      <c r="AS2948" s="23"/>
      <c r="AT2948" s="23"/>
      <c r="AU2948" s="14" t="str">
        <f>HYPERLINK("http://www.openstreetmap.org/?mlat=32.1525&amp;mlon=45.0161&amp;zoom=12#map=12/32.1525/45.0161","Maplink1")</f>
        <v>Maplink1</v>
      </c>
      <c r="AV2948" s="14" t="str">
        <f>HYPERLINK("https://www.google.iq/maps/search/+32.1525,45.0161/@32.1525,45.0161,14z?hl=en","Maplink2")</f>
        <v>Maplink2</v>
      </c>
      <c r="AW2948" s="14" t="str">
        <f>HYPERLINK("http://www.bing.com/maps/?lvl=14&amp;sty=h&amp;cp=32.1525~45.0161&amp;sp=point.32.1525_45.0161_Al Atawah Village","Maplink3")</f>
        <v>Maplink3</v>
      </c>
    </row>
    <row r="2949" spans="1:49" ht="15" customHeight="1" x14ac:dyDescent="0.25">
      <c r="A2949" s="21">
        <v>2576</v>
      </c>
      <c r="B2949" s="22" t="s">
        <v>22</v>
      </c>
      <c r="C2949" s="22" t="s">
        <v>5724</v>
      </c>
      <c r="D2949" s="22" t="s">
        <v>5731</v>
      </c>
      <c r="E2949" s="22" t="s">
        <v>5732</v>
      </c>
      <c r="F2949" s="22">
        <v>31.970758</v>
      </c>
      <c r="G2949" s="22">
        <v>45.407781</v>
      </c>
      <c r="H2949" s="21" t="s">
        <v>5725</v>
      </c>
      <c r="I2949" s="21" t="s">
        <v>5726</v>
      </c>
      <c r="J2949" s="21" t="s">
        <v>5733</v>
      </c>
      <c r="K2949" s="24">
        <v>17</v>
      </c>
      <c r="L2949" s="24">
        <v>102</v>
      </c>
      <c r="M2949" s="23"/>
      <c r="N2949" s="23"/>
      <c r="O2949" s="23"/>
      <c r="P2949" s="23"/>
      <c r="Q2949" s="23"/>
      <c r="R2949" s="23"/>
      <c r="S2949" s="23"/>
      <c r="T2949" s="23"/>
      <c r="U2949" s="23">
        <v>17</v>
      </c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23">
        <v>14</v>
      </c>
      <c r="AG2949" s="23"/>
      <c r="AH2949" s="23"/>
      <c r="AI2949" s="23"/>
      <c r="AJ2949" s="23"/>
      <c r="AK2949" s="23">
        <v>3</v>
      </c>
      <c r="AL2949" s="23"/>
      <c r="AM2949" s="23"/>
      <c r="AN2949" s="23"/>
      <c r="AO2949" s="23"/>
      <c r="AP2949" s="23"/>
      <c r="AQ2949" s="23">
        <v>17</v>
      </c>
      <c r="AR2949" s="23"/>
      <c r="AS2949" s="23"/>
      <c r="AT2949" s="23"/>
      <c r="AU2949" s="14" t="str">
        <f>HYPERLINK("http://www.openstreetmap.org/?mlat=31.9708&amp;mlon=45.4078&amp;zoom=12#map=12/31.9708/45.4078","Maplink1")</f>
        <v>Maplink1</v>
      </c>
      <c r="AV2949" s="14" t="str">
        <f>HYPERLINK("https://www.google.iq/maps/search/+31.9708,45.4078/@31.9708,45.4078,14z?hl=en","Maplink2")</f>
        <v>Maplink2</v>
      </c>
      <c r="AW2949" s="14" t="str">
        <f>HYPERLINK("http://www.bing.com/maps/?lvl=14&amp;sty=h&amp;cp=31.9708~45.4078&amp;sp=point.31.9708_45.4078_Al Ejem Village","Maplink3")</f>
        <v>Maplink3</v>
      </c>
    </row>
    <row r="2950" spans="1:49" ht="15" customHeight="1" x14ac:dyDescent="0.25">
      <c r="A2950" s="21">
        <v>2647</v>
      </c>
      <c r="B2950" s="22" t="s">
        <v>22</v>
      </c>
      <c r="C2950" s="22" t="s">
        <v>5724</v>
      </c>
      <c r="D2950" s="22" t="s">
        <v>5734</v>
      </c>
      <c r="E2950" s="22" t="s">
        <v>5735</v>
      </c>
      <c r="F2950" s="22">
        <v>31.973203000000002</v>
      </c>
      <c r="G2950" s="22">
        <v>45.410553</v>
      </c>
      <c r="H2950" s="21" t="s">
        <v>5725</v>
      </c>
      <c r="I2950" s="21" t="s">
        <v>5726</v>
      </c>
      <c r="J2950" s="21" t="s">
        <v>5736</v>
      </c>
      <c r="K2950" s="24">
        <v>9</v>
      </c>
      <c r="L2950" s="24">
        <v>54</v>
      </c>
      <c r="M2950" s="23"/>
      <c r="N2950" s="23"/>
      <c r="O2950" s="23"/>
      <c r="P2950" s="23"/>
      <c r="Q2950" s="23"/>
      <c r="R2950" s="23"/>
      <c r="S2950" s="23"/>
      <c r="T2950" s="23"/>
      <c r="U2950" s="23">
        <v>9</v>
      </c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>
        <v>6</v>
      </c>
      <c r="AG2950" s="23"/>
      <c r="AH2950" s="23"/>
      <c r="AI2950" s="23"/>
      <c r="AJ2950" s="23"/>
      <c r="AK2950" s="23">
        <v>3</v>
      </c>
      <c r="AL2950" s="23"/>
      <c r="AM2950" s="23"/>
      <c r="AN2950" s="23"/>
      <c r="AO2950" s="23"/>
      <c r="AP2950" s="23"/>
      <c r="AQ2950" s="23">
        <v>9</v>
      </c>
      <c r="AR2950" s="23"/>
      <c r="AS2950" s="23"/>
      <c r="AT2950" s="23"/>
      <c r="AU2950" s="14" t="str">
        <f>HYPERLINK("http://www.openstreetmap.org/?mlat=31.9732&amp;mlon=45.4106&amp;zoom=12#map=12/31.9732/45.4106","Maplink1")</f>
        <v>Maplink1</v>
      </c>
      <c r="AV2950" s="14" t="str">
        <f>HYPERLINK("https://www.google.iq/maps/search/+31.9732,45.4106/@31.9732,45.4106,14z?hl=en","Maplink2")</f>
        <v>Maplink2</v>
      </c>
      <c r="AW2950" s="14" t="str">
        <f>HYPERLINK("http://www.bing.com/maps/?lvl=14&amp;sty=h&amp;cp=31.9732~45.4106&amp;sp=point.31.9732_45.4106_Al Sbahi Village","Maplink3")</f>
        <v>Maplink3</v>
      </c>
    </row>
    <row r="2951" spans="1:49" ht="15" customHeight="1" x14ac:dyDescent="0.25">
      <c r="A2951" s="21">
        <v>3205</v>
      </c>
      <c r="B2951" s="22" t="s">
        <v>22</v>
      </c>
      <c r="C2951" s="22" t="s">
        <v>5724</v>
      </c>
      <c r="D2951" s="22" t="s">
        <v>5739</v>
      </c>
      <c r="E2951" s="22" t="s">
        <v>8079</v>
      </c>
      <c r="F2951" s="22">
        <v>32.048369000000001</v>
      </c>
      <c r="G2951" s="22">
        <v>45.139288000000001</v>
      </c>
      <c r="H2951" s="21" t="s">
        <v>5725</v>
      </c>
      <c r="I2951" s="21" t="s">
        <v>5726</v>
      </c>
      <c r="J2951" s="21" t="s">
        <v>5740</v>
      </c>
      <c r="K2951" s="24">
        <v>5</v>
      </c>
      <c r="L2951" s="24">
        <v>30</v>
      </c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5</v>
      </c>
      <c r="Z2951" s="23"/>
      <c r="AA2951" s="23"/>
      <c r="AB2951" s="23"/>
      <c r="AC2951" s="23"/>
      <c r="AD2951" s="23"/>
      <c r="AE2951" s="23"/>
      <c r="AF2951" s="23">
        <v>2</v>
      </c>
      <c r="AG2951" s="23"/>
      <c r="AH2951" s="23"/>
      <c r="AI2951" s="23"/>
      <c r="AJ2951" s="23"/>
      <c r="AK2951" s="23">
        <v>3</v>
      </c>
      <c r="AL2951" s="23"/>
      <c r="AM2951" s="23"/>
      <c r="AN2951" s="23"/>
      <c r="AO2951" s="23"/>
      <c r="AP2951" s="23"/>
      <c r="AQ2951" s="23">
        <v>5</v>
      </c>
      <c r="AR2951" s="23"/>
      <c r="AS2951" s="23"/>
      <c r="AT2951" s="23"/>
      <c r="AU2951" s="14" t="str">
        <f>HYPERLINK("http://www.openstreetmap.org/?mlat=32.0484&amp;mlon=45.1393&amp;zoom=12#map=12/32.0484/45.1393","Maplink1")</f>
        <v>Maplink1</v>
      </c>
      <c r="AV2951" s="14" t="str">
        <f>HYPERLINK("https://www.google.iq/maps/search/+32.0484,45.1393/@32.0484,45.1393,14z?hl=en","Maplink2")</f>
        <v>Maplink2</v>
      </c>
      <c r="AW2951" s="14" t="str">
        <f>HYPERLINK("http://www.bing.com/maps/?lvl=14&amp;sty=h&amp;cp=32.0484~45.1393&amp;sp=point.32.0484_45.1393_Al-Dariya village","Maplink3")</f>
        <v>Maplink3</v>
      </c>
    </row>
    <row r="2952" spans="1:49" ht="15" customHeight="1" x14ac:dyDescent="0.25">
      <c r="A2952" s="21">
        <v>25381</v>
      </c>
      <c r="B2952" s="22" t="s">
        <v>22</v>
      </c>
      <c r="C2952" s="22" t="s">
        <v>5724</v>
      </c>
      <c r="D2952" s="22" t="s">
        <v>7346</v>
      </c>
      <c r="E2952" s="22" t="s">
        <v>5743</v>
      </c>
      <c r="F2952" s="22">
        <v>32.047462000000003</v>
      </c>
      <c r="G2952" s="22">
        <v>45.141311000000002</v>
      </c>
      <c r="H2952" s="21" t="s">
        <v>5725</v>
      </c>
      <c r="I2952" s="21" t="s">
        <v>5726</v>
      </c>
      <c r="J2952" s="21"/>
      <c r="K2952" s="24">
        <v>4</v>
      </c>
      <c r="L2952" s="24">
        <v>24</v>
      </c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>
        <v>4</v>
      </c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>
        <v>4</v>
      </c>
      <c r="AK2952" s="23"/>
      <c r="AL2952" s="23"/>
      <c r="AM2952" s="23"/>
      <c r="AN2952" s="23"/>
      <c r="AO2952" s="23"/>
      <c r="AP2952" s="23"/>
      <c r="AQ2952" s="23">
        <v>4</v>
      </c>
      <c r="AR2952" s="23"/>
      <c r="AS2952" s="23"/>
      <c r="AT2952" s="23"/>
      <c r="AU2952" s="14" t="str">
        <f>HYPERLINK("http://www.openstreetmap.org/?mlat=32.0475&amp;mlon=45.1413&amp;zoom=12#map=12/32.0475/45.1413","Maplink1")</f>
        <v>Maplink1</v>
      </c>
      <c r="AV2952" s="14" t="str">
        <f>HYPERLINK("https://www.google.iq/maps/search/+32.0475,45.1413/@32.0475,45.1413,14z?hl=en","Maplink2")</f>
        <v>Maplink2</v>
      </c>
      <c r="AW2952" s="14" t="str">
        <f>HYPERLINK("http://www.bing.com/maps/?lvl=14&amp;sty=h&amp;cp=32.0475~45.1413&amp;sp=point.32.0475_45.1413_Al-Mahtrj","Maplink3")</f>
        <v>Maplink3</v>
      </c>
    </row>
    <row r="2953" spans="1:49" ht="15" customHeight="1" x14ac:dyDescent="0.25">
      <c r="A2953" s="21">
        <v>3392</v>
      </c>
      <c r="B2953" s="22" t="s">
        <v>22</v>
      </c>
      <c r="C2953" s="22" t="s">
        <v>5724</v>
      </c>
      <c r="D2953" s="22" t="s">
        <v>5744</v>
      </c>
      <c r="E2953" s="22" t="s">
        <v>5745</v>
      </c>
      <c r="F2953" s="22">
        <v>32.059387999999998</v>
      </c>
      <c r="G2953" s="22">
        <v>45.243986999999997</v>
      </c>
      <c r="H2953" s="21" t="s">
        <v>5725</v>
      </c>
      <c r="I2953" s="21" t="s">
        <v>5726</v>
      </c>
      <c r="J2953" s="21" t="s">
        <v>5746</v>
      </c>
      <c r="K2953" s="24">
        <v>30</v>
      </c>
      <c r="L2953" s="24">
        <v>180</v>
      </c>
      <c r="M2953" s="23">
        <v>5</v>
      </c>
      <c r="N2953" s="23"/>
      <c r="O2953" s="23"/>
      <c r="P2953" s="23"/>
      <c r="Q2953" s="23"/>
      <c r="R2953" s="23"/>
      <c r="S2953" s="23"/>
      <c r="T2953" s="23"/>
      <c r="U2953" s="23">
        <v>17</v>
      </c>
      <c r="V2953" s="23"/>
      <c r="W2953" s="23"/>
      <c r="X2953" s="23"/>
      <c r="Y2953" s="23">
        <v>8</v>
      </c>
      <c r="Z2953" s="23"/>
      <c r="AA2953" s="23"/>
      <c r="AB2953" s="23"/>
      <c r="AC2953" s="23"/>
      <c r="AD2953" s="23"/>
      <c r="AE2953" s="23"/>
      <c r="AF2953" s="23">
        <v>9</v>
      </c>
      <c r="AG2953" s="23"/>
      <c r="AH2953" s="23"/>
      <c r="AI2953" s="23"/>
      <c r="AJ2953" s="23">
        <v>4</v>
      </c>
      <c r="AK2953" s="23">
        <v>16</v>
      </c>
      <c r="AL2953" s="23"/>
      <c r="AM2953" s="23">
        <v>1</v>
      </c>
      <c r="AN2953" s="23"/>
      <c r="AO2953" s="23"/>
      <c r="AP2953" s="23">
        <v>17</v>
      </c>
      <c r="AQ2953" s="23">
        <v>8</v>
      </c>
      <c r="AR2953" s="23">
        <v>5</v>
      </c>
      <c r="AS2953" s="23"/>
      <c r="AT2953" s="23"/>
      <c r="AU2953" s="14" t="str">
        <f>HYPERLINK("http://www.openstreetmap.org/?mlat=32.0605&amp;mlon=45.2315&amp;zoom=12#map=12/32.0605/45.2315","Maplink1")</f>
        <v>Maplink1</v>
      </c>
      <c r="AV2953" s="14" t="str">
        <f>HYPERLINK("https://www.google.iq/maps/search/+32.0605,45.2315/@32.0605,45.2315,14z?hl=en","Maplink2")</f>
        <v>Maplink2</v>
      </c>
      <c r="AW2953" s="14" t="str">
        <f>HYPERLINK("http://www.bing.com/maps/?lvl=14&amp;sty=h&amp;cp=32.0605~45.2315&amp;sp=point.32.0605_45.2315_AL-Qati","Maplink3")</f>
        <v>Maplink3</v>
      </c>
    </row>
    <row r="2954" spans="1:49" ht="15" customHeight="1" x14ac:dyDescent="0.25">
      <c r="A2954" s="21">
        <v>24601</v>
      </c>
      <c r="B2954" s="22" t="s">
        <v>22</v>
      </c>
      <c r="C2954" s="22" t="s">
        <v>5724</v>
      </c>
      <c r="D2954" s="22" t="s">
        <v>7347</v>
      </c>
      <c r="E2954" s="22" t="s">
        <v>8080</v>
      </c>
      <c r="F2954" s="22">
        <v>32.152706000000002</v>
      </c>
      <c r="G2954" s="22">
        <v>44.998280000000001</v>
      </c>
      <c r="H2954" s="21" t="s">
        <v>5725</v>
      </c>
      <c r="I2954" s="21" t="s">
        <v>5726</v>
      </c>
      <c r="J2954" s="21"/>
      <c r="K2954" s="24">
        <v>20</v>
      </c>
      <c r="L2954" s="24">
        <v>120</v>
      </c>
      <c r="M2954" s="23"/>
      <c r="N2954" s="23"/>
      <c r="O2954" s="23">
        <v>1</v>
      </c>
      <c r="P2954" s="23"/>
      <c r="Q2954" s="23"/>
      <c r="R2954" s="23"/>
      <c r="S2954" s="23"/>
      <c r="T2954" s="23"/>
      <c r="U2954" s="23"/>
      <c r="V2954" s="23"/>
      <c r="W2954" s="23"/>
      <c r="X2954" s="23"/>
      <c r="Y2954" s="23">
        <v>19</v>
      </c>
      <c r="Z2954" s="23"/>
      <c r="AA2954" s="23"/>
      <c r="AB2954" s="23"/>
      <c r="AC2954" s="23"/>
      <c r="AD2954" s="23"/>
      <c r="AE2954" s="23"/>
      <c r="AF2954" s="23">
        <v>6</v>
      </c>
      <c r="AG2954" s="23"/>
      <c r="AH2954" s="23"/>
      <c r="AI2954" s="23"/>
      <c r="AJ2954" s="23"/>
      <c r="AK2954" s="23">
        <v>14</v>
      </c>
      <c r="AL2954" s="23"/>
      <c r="AM2954" s="23"/>
      <c r="AN2954" s="23"/>
      <c r="AO2954" s="23">
        <v>1</v>
      </c>
      <c r="AP2954" s="23"/>
      <c r="AQ2954" s="23">
        <v>19</v>
      </c>
      <c r="AR2954" s="23"/>
      <c r="AS2954" s="23"/>
      <c r="AT2954" s="23"/>
      <c r="AU2954" s="14" t="str">
        <f>HYPERLINK("http://www.openstreetmap.org/?mlat=32.1527&amp;mlon=44.9983&amp;zoom=12#map=12/32.1527/44.9983","Maplink1")</f>
        <v>Maplink1</v>
      </c>
      <c r="AV2954" s="14" t="str">
        <f>HYPERLINK("https://www.google.iq/maps/search/+32.1527,44.9983/@32.1527,44.9983,14z?hl=en","Maplink2")</f>
        <v>Maplink2</v>
      </c>
      <c r="AW2954" s="14" t="str">
        <f>HYPERLINK("http://www.bing.com/maps/?lvl=14&amp;sty=h&amp;cp=32.1527~44.9983&amp;sp=point.32.1527_44.9983_Al-Sabkaia-Summer","Maplink3")</f>
        <v>Maplink3</v>
      </c>
    </row>
    <row r="2955" spans="1:49" ht="15" customHeight="1" x14ac:dyDescent="0.25">
      <c r="A2955" s="21">
        <v>3116</v>
      </c>
      <c r="B2955" s="22" t="s">
        <v>22</v>
      </c>
      <c r="C2955" s="22" t="s">
        <v>5724</v>
      </c>
      <c r="D2955" s="22" t="s">
        <v>7348</v>
      </c>
      <c r="E2955" s="22" t="s">
        <v>5747</v>
      </c>
      <c r="F2955" s="22">
        <v>32.059722000000001</v>
      </c>
      <c r="G2955" s="22">
        <v>45.168332999999997</v>
      </c>
      <c r="H2955" s="21" t="s">
        <v>5725</v>
      </c>
      <c r="I2955" s="21" t="s">
        <v>5726</v>
      </c>
      <c r="J2955" s="21" t="s">
        <v>5748</v>
      </c>
      <c r="K2955" s="24">
        <v>9</v>
      </c>
      <c r="L2955" s="24">
        <v>54</v>
      </c>
      <c r="M2955" s="23"/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9</v>
      </c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23"/>
      <c r="AJ2955" s="23">
        <v>6</v>
      </c>
      <c r="AK2955" s="23">
        <v>3</v>
      </c>
      <c r="AL2955" s="23"/>
      <c r="AM2955" s="23"/>
      <c r="AN2955" s="23"/>
      <c r="AO2955" s="23"/>
      <c r="AP2955" s="23">
        <v>2</v>
      </c>
      <c r="AQ2955" s="23">
        <v>7</v>
      </c>
      <c r="AR2955" s="23"/>
      <c r="AS2955" s="23"/>
      <c r="AT2955" s="23"/>
      <c r="AU2955" s="14" t="str">
        <f>HYPERLINK("http://www.openstreetmap.org/?mlat=32.0597&amp;mlon=45.1683&amp;zoom=12#map=12/32.0597/45.1683","Maplink1")</f>
        <v>Maplink1</v>
      </c>
      <c r="AV2955" s="14" t="str">
        <f>HYPERLINK("https://www.google.iq/maps/search/+32.0597,45.1683/@32.0597,45.1683,14z?hl=en","Maplink2")</f>
        <v>Maplink2</v>
      </c>
      <c r="AW2955" s="14" t="str">
        <f>HYPERLINK("http://www.bing.com/maps/?lvl=14&amp;sty=h&amp;cp=32.0597~45.1683&amp;sp=point.32.0597_45.1683_Al-sadaa al-muhania","Maplink3")</f>
        <v>Maplink3</v>
      </c>
    </row>
    <row r="2956" spans="1:49" ht="15" customHeight="1" x14ac:dyDescent="0.25">
      <c r="A2956" s="21">
        <v>3109</v>
      </c>
      <c r="B2956" s="22" t="s">
        <v>22</v>
      </c>
      <c r="C2956" s="22" t="s">
        <v>5724</v>
      </c>
      <c r="D2956" s="22" t="s">
        <v>7349</v>
      </c>
      <c r="E2956" s="22" t="s">
        <v>4396</v>
      </c>
      <c r="F2956" s="22">
        <v>32.053762999999996</v>
      </c>
      <c r="G2956" s="22">
        <v>45.146070000000002</v>
      </c>
      <c r="H2956" s="21" t="s">
        <v>5725</v>
      </c>
      <c r="I2956" s="21" t="s">
        <v>5726</v>
      </c>
      <c r="J2956" s="21" t="s">
        <v>5751</v>
      </c>
      <c r="K2956" s="24">
        <v>5</v>
      </c>
      <c r="L2956" s="24">
        <v>30</v>
      </c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>
        <v>5</v>
      </c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>
        <v>4</v>
      </c>
      <c r="AK2956" s="23">
        <v>1</v>
      </c>
      <c r="AL2956" s="23"/>
      <c r="AM2956" s="23"/>
      <c r="AN2956" s="23"/>
      <c r="AO2956" s="23"/>
      <c r="AP2956" s="23"/>
      <c r="AQ2956" s="23">
        <v>5</v>
      </c>
      <c r="AR2956" s="23"/>
      <c r="AS2956" s="23"/>
      <c r="AT2956" s="23"/>
      <c r="AU2956" s="14" t="str">
        <f>HYPERLINK("http://www.openstreetmap.org/?mlat=32.0538&amp;mlon=45.1461&amp;zoom=12#map=12/32.0538/45.1461","Maplink1")</f>
        <v>Maplink1</v>
      </c>
      <c r="AV2956" s="14" t="str">
        <f>HYPERLINK("https://www.google.iq/maps/search/+32.0538,45.1461/@32.0538,45.1461,14z?hl=en","Maplink2")</f>
        <v>Maplink2</v>
      </c>
      <c r="AW2956" s="14" t="str">
        <f>HYPERLINK("http://www.bing.com/maps/?lvl=14&amp;sty=h&amp;cp=32.0538~45.1461&amp;sp=point.32.0538_45.1461_Al-shariaa","Maplink3")</f>
        <v>Maplink3</v>
      </c>
    </row>
    <row r="2957" spans="1:49" ht="15" customHeight="1" x14ac:dyDescent="0.25">
      <c r="A2957" s="21">
        <v>25504</v>
      </c>
      <c r="B2957" s="22" t="s">
        <v>22</v>
      </c>
      <c r="C2957" s="22" t="s">
        <v>5724</v>
      </c>
      <c r="D2957" s="22" t="s">
        <v>5752</v>
      </c>
      <c r="E2957" s="22" t="s">
        <v>5753</v>
      </c>
      <c r="F2957" s="22">
        <v>32.023415999999997</v>
      </c>
      <c r="G2957" s="22">
        <v>45.325240999999998</v>
      </c>
      <c r="H2957" s="21" t="s">
        <v>5725</v>
      </c>
      <c r="I2957" s="21" t="s">
        <v>5726</v>
      </c>
      <c r="J2957" s="21"/>
      <c r="K2957" s="24">
        <v>27</v>
      </c>
      <c r="L2957" s="24">
        <v>162</v>
      </c>
      <c r="M2957" s="23">
        <v>4</v>
      </c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>
        <v>23</v>
      </c>
      <c r="Z2957" s="23"/>
      <c r="AA2957" s="23"/>
      <c r="AB2957" s="23"/>
      <c r="AC2957" s="23"/>
      <c r="AD2957" s="23"/>
      <c r="AE2957" s="23"/>
      <c r="AF2957" s="23">
        <v>7</v>
      </c>
      <c r="AG2957" s="23"/>
      <c r="AH2957" s="23"/>
      <c r="AI2957" s="23"/>
      <c r="AJ2957" s="23">
        <v>14</v>
      </c>
      <c r="AK2957" s="23">
        <v>6</v>
      </c>
      <c r="AL2957" s="23"/>
      <c r="AM2957" s="23"/>
      <c r="AN2957" s="23"/>
      <c r="AO2957" s="23"/>
      <c r="AP2957" s="23">
        <v>10</v>
      </c>
      <c r="AQ2957" s="23">
        <v>13</v>
      </c>
      <c r="AR2957" s="23">
        <v>2</v>
      </c>
      <c r="AS2957" s="23">
        <v>2</v>
      </c>
      <c r="AT2957" s="23"/>
      <c r="AU2957" s="14" t="str">
        <f>HYPERLINK("http://www.openstreetmap.org/?mlat=32.0234&amp;mlon=45.3252&amp;zoom=12#map=12/32.0234/45.3252","Maplink1")</f>
        <v>Maplink1</v>
      </c>
      <c r="AV2957" s="14" t="str">
        <f>HYPERLINK("https://www.google.iq/maps/search/+32.0234,45.3252/@32.0234,45.3252,14z?hl=en","Maplink2")</f>
        <v>Maplink2</v>
      </c>
      <c r="AW2957" s="14" t="str">
        <f>HYPERLINK("http://www.bing.com/maps/?lvl=14&amp;sty=h&amp;cp=32.0234~45.3252&amp;sp=point.32.0234_45.3252_Al_Kushan village","Maplink3")</f>
        <v>Maplink3</v>
      </c>
    </row>
    <row r="2958" spans="1:49" ht="15" customHeight="1" x14ac:dyDescent="0.25">
      <c r="A2958" s="21">
        <v>2618</v>
      </c>
      <c r="B2958" s="22" t="s">
        <v>22</v>
      </c>
      <c r="C2958" s="22" t="s">
        <v>5724</v>
      </c>
      <c r="D2958" s="22" t="s">
        <v>7350</v>
      </c>
      <c r="E2958" s="22" t="s">
        <v>9032</v>
      </c>
      <c r="F2958" s="22">
        <v>31.968859999999999</v>
      </c>
      <c r="G2958" s="22">
        <v>45.403773000000001</v>
      </c>
      <c r="H2958" s="21" t="s">
        <v>5725</v>
      </c>
      <c r="I2958" s="21" t="s">
        <v>5726</v>
      </c>
      <c r="J2958" s="21" t="s">
        <v>5754</v>
      </c>
      <c r="K2958" s="24">
        <v>12</v>
      </c>
      <c r="L2958" s="24">
        <v>72</v>
      </c>
      <c r="M2958" s="23">
        <v>1</v>
      </c>
      <c r="N2958" s="23"/>
      <c r="O2958" s="23"/>
      <c r="P2958" s="23"/>
      <c r="Q2958" s="23"/>
      <c r="R2958" s="23"/>
      <c r="S2958" s="23"/>
      <c r="T2958" s="23"/>
      <c r="U2958" s="23">
        <v>6</v>
      </c>
      <c r="V2958" s="23"/>
      <c r="W2958" s="23"/>
      <c r="X2958" s="23"/>
      <c r="Y2958" s="23"/>
      <c r="Z2958" s="23"/>
      <c r="AA2958" s="23">
        <v>5</v>
      </c>
      <c r="AB2958" s="23"/>
      <c r="AC2958" s="23"/>
      <c r="AD2958" s="23"/>
      <c r="AE2958" s="23"/>
      <c r="AF2958" s="23">
        <v>9</v>
      </c>
      <c r="AG2958" s="23"/>
      <c r="AH2958" s="23"/>
      <c r="AI2958" s="23"/>
      <c r="AJ2958" s="23"/>
      <c r="AK2958" s="23">
        <v>3</v>
      </c>
      <c r="AL2958" s="23"/>
      <c r="AM2958" s="23"/>
      <c r="AN2958" s="23"/>
      <c r="AO2958" s="23"/>
      <c r="AP2958" s="23"/>
      <c r="AQ2958" s="23">
        <v>11</v>
      </c>
      <c r="AR2958" s="23"/>
      <c r="AS2958" s="23">
        <v>1</v>
      </c>
      <c r="AT2958" s="23"/>
      <c r="AU2958" s="14" t="str">
        <f>HYPERLINK("http://www.openstreetmap.org/?mlat=31.9689&amp;mlon=45.4038&amp;zoom=12#map=12/31.9689/45.4038","Maplink1")</f>
        <v>Maplink1</v>
      </c>
      <c r="AV2958" s="14" t="str">
        <f>HYPERLINK("https://www.google.iq/maps/search/+31.9689,45.4038/@31.9689,45.4038,14z?hl=en","Maplink2")</f>
        <v>Maplink2</v>
      </c>
      <c r="AW2958" s="14" t="str">
        <f>HYPERLINK("http://www.bing.com/maps/?lvl=14&amp;sty=h&amp;cp=31.9689~45.4038&amp;sp=point.31.9689_45.4038_Albu Ali","Maplink3")</f>
        <v>Maplink3</v>
      </c>
    </row>
    <row r="2959" spans="1:49" ht="15" customHeight="1" x14ac:dyDescent="0.25">
      <c r="A2959" s="21">
        <v>3035</v>
      </c>
      <c r="B2959" s="22" t="s">
        <v>22</v>
      </c>
      <c r="C2959" s="22" t="s">
        <v>5724</v>
      </c>
      <c r="D2959" s="22" t="s">
        <v>9033</v>
      </c>
      <c r="E2959" s="22" t="s">
        <v>5741</v>
      </c>
      <c r="F2959" s="22">
        <v>32.030278000000003</v>
      </c>
      <c r="G2959" s="22">
        <v>45.090555999999999</v>
      </c>
      <c r="H2959" s="21" t="s">
        <v>5725</v>
      </c>
      <c r="I2959" s="21" t="s">
        <v>5726</v>
      </c>
      <c r="J2959" s="21" t="s">
        <v>5742</v>
      </c>
      <c r="K2959" s="24">
        <v>4</v>
      </c>
      <c r="L2959" s="24">
        <v>24</v>
      </c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4</v>
      </c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23"/>
      <c r="AJ2959" s="23">
        <v>4</v>
      </c>
      <c r="AK2959" s="23"/>
      <c r="AL2959" s="23"/>
      <c r="AM2959" s="23"/>
      <c r="AN2959" s="23"/>
      <c r="AO2959" s="23"/>
      <c r="AP2959" s="23"/>
      <c r="AQ2959" s="23">
        <v>4</v>
      </c>
      <c r="AR2959" s="23"/>
      <c r="AS2959" s="23"/>
      <c r="AT2959" s="23"/>
      <c r="AU2959" s="14" t="str">
        <f>HYPERLINK("http://www.openstreetmap.org/?mlat=32.0303&amp;mlon=45.0906&amp;zoom=12#map=12/32.0303/45.0906","Maplink1")</f>
        <v>Maplink1</v>
      </c>
      <c r="AV2959" s="14" t="str">
        <f>HYPERLINK("https://www.google.iq/maps/search/+32.0303,45.0906/@32.0303,45.0906,14z?hl=en","Maplink2")</f>
        <v>Maplink2</v>
      </c>
      <c r="AW2959" s="14" t="str">
        <f>HYPERLINK("http://www.bing.com/maps/?lvl=14&amp;sty=h&amp;cp=32.0303~45.0906&amp;sp=point.32.0303_45.0906_Al-fadhel al-allah","Maplink3")</f>
        <v>Maplink3</v>
      </c>
    </row>
    <row r="2960" spans="1:49" ht="15" customHeight="1" x14ac:dyDescent="0.25">
      <c r="A2960" s="21">
        <v>24287</v>
      </c>
      <c r="B2960" s="22" t="s">
        <v>22</v>
      </c>
      <c r="C2960" s="22" t="s">
        <v>5724</v>
      </c>
      <c r="D2960" s="22" t="s">
        <v>7351</v>
      </c>
      <c r="E2960" s="22" t="s">
        <v>8081</v>
      </c>
      <c r="F2960" s="22">
        <v>31.971530999999999</v>
      </c>
      <c r="G2960" s="22">
        <v>45.405723999999999</v>
      </c>
      <c r="H2960" s="21" t="s">
        <v>5725</v>
      </c>
      <c r="I2960" s="21" t="s">
        <v>5726</v>
      </c>
      <c r="J2960" s="21" t="s">
        <v>5730</v>
      </c>
      <c r="K2960" s="24">
        <v>25</v>
      </c>
      <c r="L2960" s="24">
        <v>150</v>
      </c>
      <c r="M2960" s="23">
        <v>3</v>
      </c>
      <c r="N2960" s="23"/>
      <c r="O2960" s="23">
        <v>1</v>
      </c>
      <c r="P2960" s="23"/>
      <c r="Q2960" s="23"/>
      <c r="R2960" s="23"/>
      <c r="S2960" s="23"/>
      <c r="T2960" s="23"/>
      <c r="U2960" s="23">
        <v>6</v>
      </c>
      <c r="V2960" s="23"/>
      <c r="W2960" s="23"/>
      <c r="X2960" s="23"/>
      <c r="Y2960" s="23">
        <v>15</v>
      </c>
      <c r="Z2960" s="23"/>
      <c r="AA2960" s="23"/>
      <c r="AB2960" s="23"/>
      <c r="AC2960" s="23"/>
      <c r="AD2960" s="23"/>
      <c r="AE2960" s="23"/>
      <c r="AF2960" s="23">
        <v>16</v>
      </c>
      <c r="AG2960" s="23"/>
      <c r="AH2960" s="23"/>
      <c r="AI2960" s="23"/>
      <c r="AJ2960" s="23"/>
      <c r="AK2960" s="23">
        <v>9</v>
      </c>
      <c r="AL2960" s="23"/>
      <c r="AM2960" s="23"/>
      <c r="AN2960" s="23"/>
      <c r="AO2960" s="23"/>
      <c r="AP2960" s="23">
        <v>15</v>
      </c>
      <c r="AQ2960" s="23">
        <v>6</v>
      </c>
      <c r="AR2960" s="23">
        <v>4</v>
      </c>
      <c r="AS2960" s="23"/>
      <c r="AT2960" s="23"/>
      <c r="AU2960" s="14" t="str">
        <f>HYPERLINK("http://www.openstreetmap.org/?mlat=31.9715&amp;mlon=45.4057&amp;zoom=12#map=12/31.9715/45.4057","Maplink1")</f>
        <v>Maplink1</v>
      </c>
      <c r="AV2960" s="14" t="str">
        <f>HYPERLINK("https://www.google.iq/maps/search/+31.9715,45.4057/@31.9715,45.4057,14z?hl=en","Maplink2")</f>
        <v>Maplink2</v>
      </c>
      <c r="AW2960" s="14" t="str">
        <f>HYPERLINK("http://www.bing.com/maps/?lvl=14&amp;sty=h&amp;cp=31.9715~45.4057&amp;sp=point.31.9715_45.4057_Al Budair Area - Hay Al Askary 2","Maplink3")</f>
        <v>Maplink3</v>
      </c>
    </row>
    <row r="2961" spans="1:49" ht="15" customHeight="1" x14ac:dyDescent="0.25">
      <c r="A2961" s="21">
        <v>22751</v>
      </c>
      <c r="B2961" s="22" t="s">
        <v>22</v>
      </c>
      <c r="C2961" s="22" t="s">
        <v>5724</v>
      </c>
      <c r="D2961" s="22" t="s">
        <v>5755</v>
      </c>
      <c r="E2961" s="22" t="s">
        <v>5756</v>
      </c>
      <c r="F2961" s="22">
        <v>32.145553999999997</v>
      </c>
      <c r="G2961" s="22">
        <v>44.998334999999997</v>
      </c>
      <c r="H2961" s="21" t="s">
        <v>5725</v>
      </c>
      <c r="I2961" s="21" t="s">
        <v>5726</v>
      </c>
      <c r="J2961" s="21" t="s">
        <v>5757</v>
      </c>
      <c r="K2961" s="24">
        <v>20</v>
      </c>
      <c r="L2961" s="24">
        <v>120</v>
      </c>
      <c r="M2961" s="23">
        <v>1</v>
      </c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19</v>
      </c>
      <c r="Z2961" s="23"/>
      <c r="AA2961" s="23"/>
      <c r="AB2961" s="23"/>
      <c r="AC2961" s="23"/>
      <c r="AD2961" s="23"/>
      <c r="AE2961" s="23"/>
      <c r="AF2961" s="23">
        <v>9</v>
      </c>
      <c r="AG2961" s="23"/>
      <c r="AH2961" s="23"/>
      <c r="AI2961" s="23"/>
      <c r="AJ2961" s="23"/>
      <c r="AK2961" s="23">
        <v>11</v>
      </c>
      <c r="AL2961" s="23"/>
      <c r="AM2961" s="23"/>
      <c r="AN2961" s="23"/>
      <c r="AO2961" s="23"/>
      <c r="AP2961" s="23">
        <v>1</v>
      </c>
      <c r="AQ2961" s="23">
        <v>18</v>
      </c>
      <c r="AR2961" s="23">
        <v>1</v>
      </c>
      <c r="AS2961" s="23"/>
      <c r="AT2961" s="23"/>
      <c r="AU2961" s="14" t="str">
        <f>HYPERLINK("http://www.openstreetmap.org/?mlat=32.1456&amp;mlon=44.9983&amp;zoom=12#map=12/32.1456/44.9983","Maplink1")</f>
        <v>Maplink1</v>
      </c>
      <c r="AV2961" s="14" t="str">
        <f>HYPERLINK("https://www.google.iq/maps/search/+32.1456,44.9983/@32.1456,44.9983,14z?hl=en","Maplink2")</f>
        <v>Maplink2</v>
      </c>
      <c r="AW2961" s="14" t="str">
        <f>HYPERLINK("http://www.bing.com/maps/?lvl=14&amp;sty=h&amp;cp=32.1456~44.9983&amp;sp=point.32.1456_44.9983_Hay Al Jumhoriyah","Maplink3")</f>
        <v>Maplink3</v>
      </c>
    </row>
    <row r="2962" spans="1:49" ht="15" customHeight="1" x14ac:dyDescent="0.25">
      <c r="A2962" s="21">
        <v>24288</v>
      </c>
      <c r="B2962" s="22" t="s">
        <v>22</v>
      </c>
      <c r="C2962" s="22" t="s">
        <v>5724</v>
      </c>
      <c r="D2962" s="22" t="s">
        <v>872</v>
      </c>
      <c r="E2962" s="22" t="s">
        <v>2196</v>
      </c>
      <c r="F2962" s="22">
        <v>32.064974999999997</v>
      </c>
      <c r="G2962" s="22">
        <v>45.234391000000002</v>
      </c>
      <c r="H2962" s="21" t="s">
        <v>5725</v>
      </c>
      <c r="I2962" s="21" t="s">
        <v>5726</v>
      </c>
      <c r="J2962" s="21" t="s">
        <v>5758</v>
      </c>
      <c r="K2962" s="24">
        <v>30</v>
      </c>
      <c r="L2962" s="24">
        <v>180</v>
      </c>
      <c r="M2962" s="23">
        <v>9</v>
      </c>
      <c r="N2962" s="23"/>
      <c r="O2962" s="23"/>
      <c r="P2962" s="23"/>
      <c r="Q2962" s="23"/>
      <c r="R2962" s="23"/>
      <c r="S2962" s="23"/>
      <c r="T2962" s="23"/>
      <c r="U2962" s="23">
        <v>4</v>
      </c>
      <c r="V2962" s="23"/>
      <c r="W2962" s="23"/>
      <c r="X2962" s="23"/>
      <c r="Y2962" s="23">
        <v>17</v>
      </c>
      <c r="Z2962" s="23"/>
      <c r="AA2962" s="23"/>
      <c r="AB2962" s="23"/>
      <c r="AC2962" s="23"/>
      <c r="AD2962" s="23"/>
      <c r="AE2962" s="23"/>
      <c r="AF2962" s="23">
        <v>4</v>
      </c>
      <c r="AG2962" s="23"/>
      <c r="AH2962" s="23"/>
      <c r="AI2962" s="23"/>
      <c r="AJ2962" s="23">
        <v>7</v>
      </c>
      <c r="AK2962" s="23">
        <v>17</v>
      </c>
      <c r="AL2962" s="23"/>
      <c r="AM2962" s="23">
        <v>2</v>
      </c>
      <c r="AN2962" s="23"/>
      <c r="AO2962" s="23"/>
      <c r="AP2962" s="23">
        <v>4</v>
      </c>
      <c r="AQ2962" s="23">
        <v>18</v>
      </c>
      <c r="AR2962" s="23">
        <v>5</v>
      </c>
      <c r="AS2962" s="23">
        <v>3</v>
      </c>
      <c r="AT2962" s="23"/>
      <c r="AU2962" s="14" t="str">
        <f>HYPERLINK("http://www.openstreetmap.org/?mlat=32.065&amp;mlon=45.2344&amp;zoom=12#map=12/32.065/45.2344","Maplink1")</f>
        <v>Maplink1</v>
      </c>
      <c r="AV2962" s="14" t="str">
        <f>HYPERLINK("https://www.google.iq/maps/search/+32.065,45.2344/@32.065,45.2344,14z?hl=en","Maplink2")</f>
        <v>Maplink2</v>
      </c>
      <c r="AW2962" s="14" t="str">
        <f>HYPERLINK("http://www.bing.com/maps/?lvl=14&amp;sty=h&amp;cp=32.065~45.2344&amp;sp=point.32.065_45.2344_Hay Al Zahraa","Maplink3")</f>
        <v>Maplink3</v>
      </c>
    </row>
    <row r="2963" spans="1:49" ht="15" customHeight="1" x14ac:dyDescent="0.25">
      <c r="A2963" s="21">
        <v>3362</v>
      </c>
      <c r="B2963" s="22" t="s">
        <v>22</v>
      </c>
      <c r="C2963" s="22" t="s">
        <v>5724</v>
      </c>
      <c r="D2963" s="22" t="s">
        <v>621</v>
      </c>
      <c r="E2963" s="22" t="s">
        <v>874</v>
      </c>
      <c r="F2963" s="22">
        <v>32.064404000000003</v>
      </c>
      <c r="G2963" s="22">
        <v>45.234997999999997</v>
      </c>
      <c r="H2963" s="21" t="s">
        <v>5725</v>
      </c>
      <c r="I2963" s="21" t="s">
        <v>5726</v>
      </c>
      <c r="J2963" s="21" t="s">
        <v>5759</v>
      </c>
      <c r="K2963" s="24">
        <v>30</v>
      </c>
      <c r="L2963" s="24">
        <v>180</v>
      </c>
      <c r="M2963" s="23">
        <v>17</v>
      </c>
      <c r="N2963" s="23"/>
      <c r="O2963" s="23">
        <v>2</v>
      </c>
      <c r="P2963" s="23"/>
      <c r="Q2963" s="23"/>
      <c r="R2963" s="23"/>
      <c r="S2963" s="23"/>
      <c r="T2963" s="23"/>
      <c r="U2963" s="23">
        <v>6</v>
      </c>
      <c r="V2963" s="23"/>
      <c r="W2963" s="23"/>
      <c r="X2963" s="23"/>
      <c r="Y2963" s="23">
        <v>5</v>
      </c>
      <c r="Z2963" s="23"/>
      <c r="AA2963" s="23"/>
      <c r="AB2963" s="23"/>
      <c r="AC2963" s="23"/>
      <c r="AD2963" s="23"/>
      <c r="AE2963" s="23"/>
      <c r="AF2963" s="23">
        <v>5</v>
      </c>
      <c r="AG2963" s="23"/>
      <c r="AH2963" s="23"/>
      <c r="AI2963" s="23"/>
      <c r="AJ2963" s="23"/>
      <c r="AK2963" s="23">
        <v>25</v>
      </c>
      <c r="AL2963" s="23"/>
      <c r="AM2963" s="23"/>
      <c r="AN2963" s="23"/>
      <c r="AO2963" s="23"/>
      <c r="AP2963" s="23">
        <v>9</v>
      </c>
      <c r="AQ2963" s="23">
        <v>12</v>
      </c>
      <c r="AR2963" s="23">
        <v>6</v>
      </c>
      <c r="AS2963" s="23">
        <v>3</v>
      </c>
      <c r="AT2963" s="23"/>
      <c r="AU2963" s="14" t="str">
        <f>HYPERLINK("http://www.openstreetmap.org/?mlat=32.0561&amp;mlon=45.2578&amp;zoom=12#map=12/32.0561/45.2578","Maplink1")</f>
        <v>Maplink1</v>
      </c>
      <c r="AV2963" s="14" t="str">
        <f>HYPERLINK("https://www.google.iq/maps/search/+32.0561,45.2578/@32.0561,45.2578,14z?hl=en","Maplink2")</f>
        <v>Maplink2</v>
      </c>
      <c r="AW2963" s="14" t="str">
        <f>HYPERLINK("http://www.bing.com/maps/?lvl=14&amp;sty=h&amp;cp=32.0561~45.2578&amp;sp=point.32.0561_45.2578_Hay Al-Askari","Maplink3")</f>
        <v>Maplink3</v>
      </c>
    </row>
    <row r="2964" spans="1:49" ht="15" customHeight="1" x14ac:dyDescent="0.25">
      <c r="A2964" s="21">
        <v>25502</v>
      </c>
      <c r="B2964" s="22" t="s">
        <v>22</v>
      </c>
      <c r="C2964" s="22" t="s">
        <v>5724</v>
      </c>
      <c r="D2964" s="22" t="s">
        <v>4565</v>
      </c>
      <c r="E2964" s="22" t="s">
        <v>120</v>
      </c>
      <c r="F2964" s="22">
        <v>32.142710000000001</v>
      </c>
      <c r="G2964" s="22">
        <v>45.001989000000002</v>
      </c>
      <c r="H2964" s="21" t="s">
        <v>5725</v>
      </c>
      <c r="I2964" s="21" t="s">
        <v>5726</v>
      </c>
      <c r="J2964" s="21"/>
      <c r="K2964" s="24">
        <v>22</v>
      </c>
      <c r="L2964" s="24">
        <v>132</v>
      </c>
      <c r="M2964" s="23">
        <v>6</v>
      </c>
      <c r="N2964" s="23"/>
      <c r="O2964" s="23">
        <v>1</v>
      </c>
      <c r="P2964" s="23"/>
      <c r="Q2964" s="23"/>
      <c r="R2964" s="23"/>
      <c r="S2964" s="23"/>
      <c r="T2964" s="23"/>
      <c r="U2964" s="23"/>
      <c r="V2964" s="23"/>
      <c r="W2964" s="23"/>
      <c r="X2964" s="23"/>
      <c r="Y2964" s="23">
        <v>15</v>
      </c>
      <c r="Z2964" s="23"/>
      <c r="AA2964" s="23"/>
      <c r="AB2964" s="23"/>
      <c r="AC2964" s="23"/>
      <c r="AD2964" s="23"/>
      <c r="AE2964" s="23"/>
      <c r="AF2964" s="23">
        <v>1</v>
      </c>
      <c r="AG2964" s="23"/>
      <c r="AH2964" s="23"/>
      <c r="AI2964" s="23"/>
      <c r="AJ2964" s="23">
        <v>2</v>
      </c>
      <c r="AK2964" s="23">
        <v>19</v>
      </c>
      <c r="AL2964" s="23"/>
      <c r="AM2964" s="23"/>
      <c r="AN2964" s="23"/>
      <c r="AO2964" s="23"/>
      <c r="AP2964" s="23"/>
      <c r="AQ2964" s="23">
        <v>16</v>
      </c>
      <c r="AR2964" s="23"/>
      <c r="AS2964" s="23">
        <v>6</v>
      </c>
      <c r="AT2964" s="23"/>
      <c r="AU2964" s="14" t="str">
        <f>HYPERLINK("http://www.openstreetmap.org/?mlat=32.1427&amp;mlon=45.002&amp;zoom=12#map=12/32.1427/45.002","Maplink1")</f>
        <v>Maplink1</v>
      </c>
      <c r="AV2964" s="14" t="str">
        <f>HYPERLINK("https://www.google.iq/maps/search/+32.1427,45.002/@32.1427,45.002,14z?hl=en","Maplink2")</f>
        <v>Maplink2</v>
      </c>
      <c r="AW2964" s="14" t="str">
        <f>HYPERLINK("http://www.bing.com/maps/?lvl=14&amp;sty=h&amp;cp=32.1427~45.002&amp;sp=point.32.1427_45.002_Sommer-Hay Al-Askary","Maplink3")</f>
        <v>Maplink3</v>
      </c>
    </row>
    <row r="2965" spans="1:49" ht="15" customHeight="1" x14ac:dyDescent="0.25">
      <c r="A2965" s="21">
        <v>24488</v>
      </c>
      <c r="B2965" s="22" t="s">
        <v>22</v>
      </c>
      <c r="C2965" s="22" t="s">
        <v>5724</v>
      </c>
      <c r="D2965" s="22" t="s">
        <v>7281</v>
      </c>
      <c r="E2965" s="22" t="s">
        <v>4949</v>
      </c>
      <c r="F2965" s="22">
        <v>32.151162999999997</v>
      </c>
      <c r="G2965" s="22">
        <v>44.995904000000003</v>
      </c>
      <c r="H2965" s="21" t="s">
        <v>5725</v>
      </c>
      <c r="I2965" s="21" t="s">
        <v>5726</v>
      </c>
      <c r="J2965" s="21"/>
      <c r="K2965" s="24">
        <v>27</v>
      </c>
      <c r="L2965" s="24">
        <v>162</v>
      </c>
      <c r="M2965" s="23">
        <v>8</v>
      </c>
      <c r="N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>
        <v>19</v>
      </c>
      <c r="Z2965" s="23"/>
      <c r="AA2965" s="23"/>
      <c r="AB2965" s="23"/>
      <c r="AC2965" s="23"/>
      <c r="AD2965" s="23"/>
      <c r="AE2965" s="23"/>
      <c r="AF2965" s="23">
        <v>9</v>
      </c>
      <c r="AG2965" s="23"/>
      <c r="AH2965" s="23"/>
      <c r="AI2965" s="23"/>
      <c r="AJ2965" s="23"/>
      <c r="AK2965" s="23">
        <v>15</v>
      </c>
      <c r="AL2965" s="23"/>
      <c r="AM2965" s="23">
        <v>3</v>
      </c>
      <c r="AN2965" s="23"/>
      <c r="AO2965" s="23"/>
      <c r="AP2965" s="23"/>
      <c r="AQ2965" s="23">
        <v>19</v>
      </c>
      <c r="AR2965" s="23">
        <v>6</v>
      </c>
      <c r="AS2965" s="23">
        <v>2</v>
      </c>
      <c r="AT2965" s="23"/>
      <c r="AU2965" s="14" t="str">
        <f>HYPERLINK("http://www.openstreetmap.org/?mlat=32.1512&amp;mlon=44.9959&amp;zoom=12#map=12/32.1512/44.9959","Maplink1")</f>
        <v>Maplink1</v>
      </c>
      <c r="AV2965" s="14" t="str">
        <f>HYPERLINK("https://www.google.iq/maps/search/+32.1512,44.9959/@32.1512,44.9959,14z?hl=en","Maplink2")</f>
        <v>Maplink2</v>
      </c>
      <c r="AW2965" s="14" t="str">
        <f>HYPERLINK("http://www.bing.com/maps/?lvl=14&amp;sty=h&amp;cp=32.1512~44.9959&amp;sp=point.32.1512_44.9959_Hay Al-Hakeem-Summar","Maplink3")</f>
        <v>Maplink3</v>
      </c>
    </row>
    <row r="2966" spans="1:49" ht="15" customHeight="1" x14ac:dyDescent="0.25">
      <c r="A2966" s="21">
        <v>25382</v>
      </c>
      <c r="B2966" s="22" t="s">
        <v>22</v>
      </c>
      <c r="C2966" s="22" t="s">
        <v>5724</v>
      </c>
      <c r="D2966" s="22" t="s">
        <v>5760</v>
      </c>
      <c r="E2966" s="22" t="s">
        <v>995</v>
      </c>
      <c r="F2966" s="22">
        <v>32.062612999999999</v>
      </c>
      <c r="G2966" s="22">
        <v>45.251477999999999</v>
      </c>
      <c r="H2966" s="21" t="s">
        <v>5725</v>
      </c>
      <c r="I2966" s="21" t="s">
        <v>5726</v>
      </c>
      <c r="J2966" s="21"/>
      <c r="K2966" s="24">
        <v>34</v>
      </c>
      <c r="L2966" s="24">
        <v>204</v>
      </c>
      <c r="M2966" s="23">
        <v>8</v>
      </c>
      <c r="N2966" s="23">
        <v>2</v>
      </c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>
        <v>24</v>
      </c>
      <c r="Z2966" s="23"/>
      <c r="AA2966" s="23"/>
      <c r="AB2966" s="23"/>
      <c r="AC2966" s="23"/>
      <c r="AD2966" s="23"/>
      <c r="AE2966" s="23"/>
      <c r="AF2966" s="23">
        <v>10</v>
      </c>
      <c r="AG2966" s="23"/>
      <c r="AH2966" s="23"/>
      <c r="AI2966" s="23"/>
      <c r="AJ2966" s="23">
        <v>7</v>
      </c>
      <c r="AK2966" s="23">
        <v>17</v>
      </c>
      <c r="AL2966" s="23"/>
      <c r="AM2966" s="23"/>
      <c r="AN2966" s="23"/>
      <c r="AO2966" s="23">
        <v>4</v>
      </c>
      <c r="AP2966" s="23">
        <v>12</v>
      </c>
      <c r="AQ2966" s="23">
        <v>10</v>
      </c>
      <c r="AR2966" s="23">
        <v>5</v>
      </c>
      <c r="AS2966" s="23">
        <v>3</v>
      </c>
      <c r="AT2966" s="23"/>
      <c r="AU2966" s="14" t="str">
        <f>HYPERLINK("http://www.openstreetmap.org/?mlat=32.0626&amp;mlon=45.2515&amp;zoom=12#map=12/32.0626/45.2515","Maplink1")</f>
        <v>Maplink1</v>
      </c>
      <c r="AV2966" s="14" t="str">
        <f>HYPERLINK("https://www.google.iq/maps/search/+32.0626,45.2515/@32.0626,45.2515,14z?hl=en","Maplink2")</f>
        <v>Maplink2</v>
      </c>
      <c r="AW2966" s="14" t="str">
        <f>HYPERLINK("http://www.bing.com/maps/?lvl=14&amp;sty=h&amp;cp=32.0626~45.2515&amp;sp=point.32.0626_45.2515_Hay Al-Hussein","Maplink3")</f>
        <v>Maplink3</v>
      </c>
    </row>
    <row r="2967" spans="1:49" ht="15" customHeight="1" x14ac:dyDescent="0.25">
      <c r="A2967" s="21">
        <v>25379</v>
      </c>
      <c r="B2967" s="22" t="s">
        <v>22</v>
      </c>
      <c r="C2967" s="22" t="s">
        <v>5724</v>
      </c>
      <c r="D2967" s="22" t="s">
        <v>5761</v>
      </c>
      <c r="E2967" s="22" t="s">
        <v>5762</v>
      </c>
      <c r="F2967" s="22">
        <v>32.054749000000001</v>
      </c>
      <c r="G2967" s="22">
        <v>45.150260000000003</v>
      </c>
      <c r="H2967" s="21" t="s">
        <v>5725</v>
      </c>
      <c r="I2967" s="21" t="s">
        <v>5726</v>
      </c>
      <c r="J2967" s="21"/>
      <c r="K2967" s="24">
        <v>7</v>
      </c>
      <c r="L2967" s="24">
        <v>42</v>
      </c>
      <c r="M2967" s="23"/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>
        <v>7</v>
      </c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23"/>
      <c r="AJ2967" s="23">
        <v>7</v>
      </c>
      <c r="AK2967" s="23"/>
      <c r="AL2967" s="23"/>
      <c r="AM2967" s="23"/>
      <c r="AN2967" s="23"/>
      <c r="AO2967" s="23"/>
      <c r="AP2967" s="23"/>
      <c r="AQ2967" s="23">
        <v>7</v>
      </c>
      <c r="AR2967" s="23"/>
      <c r="AS2967" s="23"/>
      <c r="AT2967" s="23"/>
      <c r="AU2967" s="14" t="str">
        <f>HYPERLINK("http://www.openstreetmap.org/?mlat=32.0547&amp;mlon=45.1503&amp;zoom=12#map=12/32.0547/45.1503","Maplink1")</f>
        <v>Maplink1</v>
      </c>
      <c r="AV2967" s="14" t="str">
        <f>HYPERLINK("https://www.google.iq/maps/search/+32.0547,45.1503/@32.0547,45.1503,14z?hl=en","Maplink2")</f>
        <v>Maplink2</v>
      </c>
      <c r="AW2967" s="14" t="str">
        <f>HYPERLINK("http://www.bing.com/maps/?lvl=14&amp;sty=h&amp;cp=32.0547~45.1503&amp;sp=point.32.0547_45.1503_Hay Al-Imam","Maplink3")</f>
        <v>Maplink3</v>
      </c>
    </row>
    <row r="2968" spans="1:49" ht="15" customHeight="1" x14ac:dyDescent="0.25">
      <c r="A2968" s="21">
        <v>2802</v>
      </c>
      <c r="B2968" s="22" t="s">
        <v>22</v>
      </c>
      <c r="C2968" s="22" t="s">
        <v>5724</v>
      </c>
      <c r="D2968" s="22" t="s">
        <v>5763</v>
      </c>
      <c r="E2968" s="22" t="s">
        <v>3881</v>
      </c>
      <c r="F2968" s="22">
        <v>31.971944000000001</v>
      </c>
      <c r="G2968" s="22">
        <v>45.416111000000001</v>
      </c>
      <c r="H2968" s="21" t="s">
        <v>5725</v>
      </c>
      <c r="I2968" s="21" t="s">
        <v>5726</v>
      </c>
      <c r="J2968" s="21" t="s">
        <v>5764</v>
      </c>
      <c r="K2968" s="24">
        <v>36</v>
      </c>
      <c r="L2968" s="24">
        <v>216</v>
      </c>
      <c r="M2968" s="23"/>
      <c r="N2968" s="23"/>
      <c r="O2968" s="23"/>
      <c r="P2968" s="23"/>
      <c r="Q2968" s="23"/>
      <c r="R2968" s="23"/>
      <c r="S2968" s="23"/>
      <c r="T2968" s="23"/>
      <c r="U2968" s="23">
        <v>21</v>
      </c>
      <c r="V2968" s="23"/>
      <c r="W2968" s="23"/>
      <c r="X2968" s="23"/>
      <c r="Y2968" s="23">
        <v>15</v>
      </c>
      <c r="Z2968" s="23"/>
      <c r="AA2968" s="23"/>
      <c r="AB2968" s="23"/>
      <c r="AC2968" s="23"/>
      <c r="AD2968" s="23"/>
      <c r="AE2968" s="23"/>
      <c r="AF2968" s="23">
        <v>10</v>
      </c>
      <c r="AG2968" s="23"/>
      <c r="AH2968" s="23">
        <v>8</v>
      </c>
      <c r="AI2968" s="23"/>
      <c r="AJ2968" s="23"/>
      <c r="AK2968" s="23">
        <v>18</v>
      </c>
      <c r="AL2968" s="23"/>
      <c r="AM2968" s="23"/>
      <c r="AN2968" s="23"/>
      <c r="AO2968" s="23"/>
      <c r="AP2968" s="23">
        <v>22</v>
      </c>
      <c r="AQ2968" s="23">
        <v>14</v>
      </c>
      <c r="AR2968" s="23"/>
      <c r="AS2968" s="23"/>
      <c r="AT2968" s="23"/>
      <c r="AU2968" s="14" t="str">
        <f>HYPERLINK("http://www.openstreetmap.org/?mlat=31.9719&amp;mlon=45.4161&amp;zoom=12#map=12/31.9719/45.4161","Maplink1")</f>
        <v>Maplink1</v>
      </c>
      <c r="AV2968" s="14" t="str">
        <f>HYPERLINK("https://www.google.iq/maps/search/+31.9719,45.4161/@31.9719,45.4161,14z?hl=en","Maplink2")</f>
        <v>Maplink2</v>
      </c>
      <c r="AW2968" s="14" t="str">
        <f>HYPERLINK("http://www.bing.com/maps/?lvl=14&amp;sty=h&amp;cp=31.9719~45.4161&amp;sp=point.31.9719_45.4161_Hay al-jihad","Maplink3")</f>
        <v>Maplink3</v>
      </c>
    </row>
    <row r="2969" spans="1:49" ht="15" customHeight="1" x14ac:dyDescent="0.25">
      <c r="A2969" s="21">
        <v>25501</v>
      </c>
      <c r="B2969" s="22" t="s">
        <v>22</v>
      </c>
      <c r="C2969" s="22" t="s">
        <v>5724</v>
      </c>
      <c r="D2969" s="22" t="s">
        <v>5765</v>
      </c>
      <c r="E2969" s="22" t="s">
        <v>2190</v>
      </c>
      <c r="F2969" s="22">
        <v>32.150149999999996</v>
      </c>
      <c r="G2969" s="22">
        <v>44.995963000000003</v>
      </c>
      <c r="H2969" s="21" t="s">
        <v>5725</v>
      </c>
      <c r="I2969" s="21" t="s">
        <v>5726</v>
      </c>
      <c r="J2969" s="21"/>
      <c r="K2969" s="24">
        <v>12</v>
      </c>
      <c r="L2969" s="24">
        <v>72</v>
      </c>
      <c r="M2969" s="23">
        <v>2</v>
      </c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>
        <v>10</v>
      </c>
      <c r="Z2969" s="23"/>
      <c r="AA2969" s="23"/>
      <c r="AB2969" s="23"/>
      <c r="AC2969" s="23"/>
      <c r="AD2969" s="23"/>
      <c r="AE2969" s="23"/>
      <c r="AF2969" s="23">
        <v>4</v>
      </c>
      <c r="AG2969" s="23"/>
      <c r="AH2969" s="23"/>
      <c r="AI2969" s="23"/>
      <c r="AJ2969" s="23"/>
      <c r="AK2969" s="23">
        <v>8</v>
      </c>
      <c r="AL2969" s="23"/>
      <c r="AM2969" s="23"/>
      <c r="AN2969" s="23"/>
      <c r="AO2969" s="23"/>
      <c r="AP2969" s="23"/>
      <c r="AQ2969" s="23">
        <v>10</v>
      </c>
      <c r="AR2969" s="23"/>
      <c r="AS2969" s="23">
        <v>2</v>
      </c>
      <c r="AT2969" s="23"/>
      <c r="AU2969" s="14" t="str">
        <f>HYPERLINK("http://www.openstreetmap.org/?mlat=32.1501&amp;mlon=44.996&amp;zoom=12#map=12/32.1501/44.996","Maplink1")</f>
        <v>Maplink1</v>
      </c>
      <c r="AV2969" s="14" t="str">
        <f>HYPERLINK("https://www.google.iq/maps/search/+32.1501,44.996/@32.1501,44.996,14z?hl=en","Maplink2")</f>
        <v>Maplink2</v>
      </c>
      <c r="AW2969" s="14" t="str">
        <f>HYPERLINK("http://www.bing.com/maps/?lvl=14&amp;sty=h&amp;cp=32.1501~44.996&amp;sp=point.32.1501_44.996_Hay Al-Oroba","Maplink3")</f>
        <v>Maplink3</v>
      </c>
    </row>
    <row r="2970" spans="1:49" ht="15" customHeight="1" x14ac:dyDescent="0.25">
      <c r="A2970" s="21">
        <v>25376</v>
      </c>
      <c r="B2970" s="22" t="s">
        <v>22</v>
      </c>
      <c r="C2970" s="22" t="s">
        <v>5724</v>
      </c>
      <c r="D2970" s="22" t="s">
        <v>5766</v>
      </c>
      <c r="E2970" s="22" t="s">
        <v>5767</v>
      </c>
      <c r="F2970" s="22">
        <v>31.964977000000001</v>
      </c>
      <c r="G2970" s="22">
        <v>45.411453000000002</v>
      </c>
      <c r="H2970" s="21" t="s">
        <v>5725</v>
      </c>
      <c r="I2970" s="21" t="s">
        <v>5726</v>
      </c>
      <c r="J2970" s="21"/>
      <c r="K2970" s="24">
        <v>5</v>
      </c>
      <c r="L2970" s="24">
        <v>30</v>
      </c>
      <c r="M2970" s="23"/>
      <c r="N2970" s="23"/>
      <c r="O2970" s="23"/>
      <c r="P2970" s="23"/>
      <c r="Q2970" s="23"/>
      <c r="R2970" s="23"/>
      <c r="S2970" s="23"/>
      <c r="T2970" s="23"/>
      <c r="U2970" s="23">
        <v>3</v>
      </c>
      <c r="V2970" s="23"/>
      <c r="W2970" s="23"/>
      <c r="X2970" s="23"/>
      <c r="Y2970" s="23">
        <v>2</v>
      </c>
      <c r="Z2970" s="23"/>
      <c r="AA2970" s="23"/>
      <c r="AB2970" s="23"/>
      <c r="AC2970" s="23"/>
      <c r="AD2970" s="23"/>
      <c r="AE2970" s="23"/>
      <c r="AF2970" s="23">
        <v>2</v>
      </c>
      <c r="AG2970" s="23"/>
      <c r="AH2970" s="23"/>
      <c r="AI2970" s="23"/>
      <c r="AJ2970" s="23"/>
      <c r="AK2970" s="23">
        <v>3</v>
      </c>
      <c r="AL2970" s="23"/>
      <c r="AM2970" s="23"/>
      <c r="AN2970" s="23"/>
      <c r="AO2970" s="23"/>
      <c r="AP2970" s="23">
        <v>1</v>
      </c>
      <c r="AQ2970" s="23">
        <v>4</v>
      </c>
      <c r="AR2970" s="23"/>
      <c r="AS2970" s="23"/>
      <c r="AT2970" s="23"/>
      <c r="AU2970" s="14" t="str">
        <f>HYPERLINK("http://www.openstreetmap.org/?mlat=31.965&amp;mlon=45.4115&amp;zoom=12#map=12/31.965/45.4115","Maplink1")</f>
        <v>Maplink1</v>
      </c>
      <c r="AV2970" s="14" t="str">
        <f>HYPERLINK("https://www.google.iq/maps/search/+31.965,45.4115/@31.965,45.4115,14z?hl=en","Maplink2")</f>
        <v>Maplink2</v>
      </c>
      <c r="AW2970" s="14" t="str">
        <f>HYPERLINK("http://www.bing.com/maps/?lvl=14&amp;sty=h&amp;cp=31.965~45.4115&amp;sp=point.31.965_45.4115_Hay Al-Rahma","Maplink3")</f>
        <v>Maplink3</v>
      </c>
    </row>
    <row r="2971" spans="1:49" ht="15" customHeight="1" x14ac:dyDescent="0.25">
      <c r="A2971" s="21">
        <v>3360</v>
      </c>
      <c r="B2971" s="22" t="s">
        <v>22</v>
      </c>
      <c r="C2971" s="22" t="s">
        <v>5724</v>
      </c>
      <c r="D2971" s="22" t="s">
        <v>5768</v>
      </c>
      <c r="E2971" s="22" t="s">
        <v>869</v>
      </c>
      <c r="F2971" s="22">
        <v>32.063524999999998</v>
      </c>
      <c r="G2971" s="22">
        <v>45.241137999999999</v>
      </c>
      <c r="H2971" s="21" t="s">
        <v>5725</v>
      </c>
      <c r="I2971" s="21" t="s">
        <v>5726</v>
      </c>
      <c r="J2971" s="21" t="s">
        <v>5769</v>
      </c>
      <c r="K2971" s="24">
        <v>14</v>
      </c>
      <c r="L2971" s="24">
        <v>84</v>
      </c>
      <c r="M2971" s="23">
        <v>8</v>
      </c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>
        <v>6</v>
      </c>
      <c r="Z2971" s="23"/>
      <c r="AA2971" s="23"/>
      <c r="AB2971" s="23"/>
      <c r="AC2971" s="23"/>
      <c r="AD2971" s="23"/>
      <c r="AE2971" s="23"/>
      <c r="AF2971" s="23">
        <v>3</v>
      </c>
      <c r="AG2971" s="23"/>
      <c r="AH2971" s="23"/>
      <c r="AI2971" s="23"/>
      <c r="AJ2971" s="23"/>
      <c r="AK2971" s="23">
        <v>11</v>
      </c>
      <c r="AL2971" s="23"/>
      <c r="AM2971" s="23"/>
      <c r="AN2971" s="23"/>
      <c r="AO2971" s="23"/>
      <c r="AP2971" s="23">
        <v>2</v>
      </c>
      <c r="AQ2971" s="23">
        <v>4</v>
      </c>
      <c r="AR2971" s="23">
        <v>7</v>
      </c>
      <c r="AS2971" s="23">
        <v>1</v>
      </c>
      <c r="AT2971" s="23"/>
      <c r="AU2971" s="14" t="str">
        <f>HYPERLINK("http://www.openstreetmap.org/?mlat=32.0635&amp;mlon=45.2411&amp;zoom=12#map=12/32.0635/45.2411","Maplink1")</f>
        <v>Maplink1</v>
      </c>
      <c r="AV2971" s="14" t="str">
        <f>HYPERLINK("https://www.google.iq/maps/search/+32.0635,45.2411/@32.0635,45.2411,14z?hl=en","Maplink2")</f>
        <v>Maplink2</v>
      </c>
      <c r="AW2971" s="14" t="str">
        <f>HYPERLINK("http://www.bing.com/maps/?lvl=14&amp;sty=h&amp;cp=32.0635~45.2411&amp;sp=point.32.0635_45.2411_Hay Al-Rasoul","Maplink3")</f>
        <v>Maplink3</v>
      </c>
    </row>
    <row r="2972" spans="1:49" ht="15" customHeight="1" x14ac:dyDescent="0.25">
      <c r="A2972" s="21">
        <v>25378</v>
      </c>
      <c r="B2972" s="22" t="s">
        <v>22</v>
      </c>
      <c r="C2972" s="22" t="s">
        <v>5724</v>
      </c>
      <c r="D2972" s="22" t="s">
        <v>5770</v>
      </c>
      <c r="E2972" s="22" t="s">
        <v>5771</v>
      </c>
      <c r="F2972" s="22">
        <v>31.978975999999999</v>
      </c>
      <c r="G2972" s="22">
        <v>45.406902000000002</v>
      </c>
      <c r="H2972" s="21" t="s">
        <v>5725</v>
      </c>
      <c r="I2972" s="21" t="s">
        <v>5726</v>
      </c>
      <c r="J2972" s="21"/>
      <c r="K2972" s="24">
        <v>14</v>
      </c>
      <c r="L2972" s="24">
        <v>84</v>
      </c>
      <c r="M2972" s="23"/>
      <c r="N2972" s="23">
        <v>2</v>
      </c>
      <c r="O2972" s="23"/>
      <c r="P2972" s="23"/>
      <c r="Q2972" s="23"/>
      <c r="R2972" s="23"/>
      <c r="S2972" s="23"/>
      <c r="T2972" s="23"/>
      <c r="U2972" s="23">
        <v>6</v>
      </c>
      <c r="V2972" s="23"/>
      <c r="W2972" s="23"/>
      <c r="X2972" s="23"/>
      <c r="Y2972" s="23">
        <v>6</v>
      </c>
      <c r="Z2972" s="23"/>
      <c r="AA2972" s="23"/>
      <c r="AB2972" s="23"/>
      <c r="AC2972" s="23"/>
      <c r="AD2972" s="23"/>
      <c r="AE2972" s="23"/>
      <c r="AF2972" s="23">
        <v>1</v>
      </c>
      <c r="AG2972" s="23"/>
      <c r="AH2972" s="23"/>
      <c r="AI2972" s="23"/>
      <c r="AJ2972" s="23"/>
      <c r="AK2972" s="23">
        <v>11</v>
      </c>
      <c r="AL2972" s="23"/>
      <c r="AM2972" s="23">
        <v>2</v>
      </c>
      <c r="AN2972" s="23"/>
      <c r="AO2972" s="23"/>
      <c r="AP2972" s="23">
        <v>6</v>
      </c>
      <c r="AQ2972" s="23">
        <v>8</v>
      </c>
      <c r="AR2972" s="23"/>
      <c r="AS2972" s="23"/>
      <c r="AT2972" s="23"/>
      <c r="AU2972" s="14" t="str">
        <f>HYPERLINK("http://www.openstreetmap.org/?mlat=31.974&amp;mlon=45.4069&amp;zoom=12#map=12/31.974/45.4069","Maplink1")</f>
        <v>Maplink1</v>
      </c>
      <c r="AV2972" s="14" t="str">
        <f>HYPERLINK("https://www.google.iq/maps/search/+31.974,45.4069/@31.974,45.4069,14z?hl=en","Maplink2")</f>
        <v>Maplink2</v>
      </c>
      <c r="AW2972" s="14" t="str">
        <f>HYPERLINK("http://www.bing.com/maps/?lvl=14&amp;sty=h&amp;cp=31.974~45.4069&amp;sp=point.31.974_45.4069_Hay Al-Sadrain","Maplink3")</f>
        <v>Maplink3</v>
      </c>
    </row>
    <row r="2973" spans="1:49" ht="15" customHeight="1" x14ac:dyDescent="0.25">
      <c r="A2973" s="21">
        <v>2795</v>
      </c>
      <c r="B2973" s="22" t="s">
        <v>22</v>
      </c>
      <c r="C2973" s="22" t="s">
        <v>5724</v>
      </c>
      <c r="D2973" s="22" t="s">
        <v>7352</v>
      </c>
      <c r="E2973" s="22" t="s">
        <v>5749</v>
      </c>
      <c r="F2973" s="22">
        <v>31.970672</v>
      </c>
      <c r="G2973" s="22">
        <v>45.402875000000002</v>
      </c>
      <c r="H2973" s="21" t="s">
        <v>5725</v>
      </c>
      <c r="I2973" s="21" t="s">
        <v>5726</v>
      </c>
      <c r="J2973" s="21" t="s">
        <v>5750</v>
      </c>
      <c r="K2973" s="24">
        <v>13</v>
      </c>
      <c r="L2973" s="24">
        <v>78</v>
      </c>
      <c r="M2973" s="23">
        <v>4</v>
      </c>
      <c r="N2973" s="23"/>
      <c r="O2973" s="23"/>
      <c r="P2973" s="23"/>
      <c r="Q2973" s="23"/>
      <c r="R2973" s="23"/>
      <c r="S2973" s="23"/>
      <c r="T2973" s="23"/>
      <c r="U2973" s="23">
        <v>9</v>
      </c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>
        <v>13</v>
      </c>
      <c r="AL2973" s="23"/>
      <c r="AM2973" s="23"/>
      <c r="AN2973" s="23"/>
      <c r="AO2973" s="23">
        <v>4</v>
      </c>
      <c r="AP2973" s="23">
        <v>9</v>
      </c>
      <c r="AQ2973" s="23"/>
      <c r="AR2973" s="23"/>
      <c r="AS2973" s="23"/>
      <c r="AT2973" s="23"/>
      <c r="AU2973" s="14" t="str">
        <f>HYPERLINK("http://www.openstreetmap.org/?mlat=31.9707&amp;mlon=45.4029&amp;zoom=12#map=12/31.9707/45.4029","Maplink1")</f>
        <v>Maplink1</v>
      </c>
      <c r="AV2973" s="14" t="str">
        <f>HYPERLINK("https://www.google.iq/maps/search/+31.9707,45.4029/@31.9707,45.4029,14z?hl=en","Maplink2")</f>
        <v>Maplink2</v>
      </c>
      <c r="AW2973" s="14" t="str">
        <f>HYPERLINK("http://www.bing.com/maps/?lvl=14&amp;sty=h&amp;cp=31.9707~45.4029&amp;sp=point.31.9707_45.4029_Al-sakban","Maplink3")</f>
        <v>Maplink3</v>
      </c>
    </row>
    <row r="2974" spans="1:49" ht="15" customHeight="1" x14ac:dyDescent="0.25">
      <c r="A2974" s="21">
        <v>25369</v>
      </c>
      <c r="B2974" s="22" t="s">
        <v>22</v>
      </c>
      <c r="C2974" s="22" t="s">
        <v>5724</v>
      </c>
      <c r="D2974" s="22" t="s">
        <v>149</v>
      </c>
      <c r="E2974" s="22" t="s">
        <v>150</v>
      </c>
      <c r="F2974" s="22">
        <v>31.974888</v>
      </c>
      <c r="G2974" s="22">
        <v>45.407801999999997</v>
      </c>
      <c r="H2974" s="21" t="s">
        <v>5725</v>
      </c>
      <c r="I2974" s="21" t="s">
        <v>5726</v>
      </c>
      <c r="J2974" s="21"/>
      <c r="K2974" s="24">
        <v>9</v>
      </c>
      <c r="L2974" s="24">
        <v>54</v>
      </c>
      <c r="M2974" s="23"/>
      <c r="N2974" s="23"/>
      <c r="O2974" s="23"/>
      <c r="P2974" s="23"/>
      <c r="Q2974" s="23"/>
      <c r="R2974" s="23"/>
      <c r="S2974" s="23"/>
      <c r="T2974" s="23"/>
      <c r="U2974" s="23">
        <v>2</v>
      </c>
      <c r="V2974" s="23"/>
      <c r="W2974" s="23"/>
      <c r="X2974" s="23"/>
      <c r="Y2974" s="23">
        <v>7</v>
      </c>
      <c r="Z2974" s="23"/>
      <c r="AA2974" s="23"/>
      <c r="AB2974" s="23"/>
      <c r="AC2974" s="23"/>
      <c r="AD2974" s="23"/>
      <c r="AE2974" s="23"/>
      <c r="AF2974" s="23">
        <v>2</v>
      </c>
      <c r="AG2974" s="23"/>
      <c r="AH2974" s="23"/>
      <c r="AI2974" s="23"/>
      <c r="AJ2974" s="23"/>
      <c r="AK2974" s="23">
        <v>7</v>
      </c>
      <c r="AL2974" s="23"/>
      <c r="AM2974" s="23"/>
      <c r="AN2974" s="23"/>
      <c r="AO2974" s="23"/>
      <c r="AP2974" s="23">
        <v>2</v>
      </c>
      <c r="AQ2974" s="23">
        <v>7</v>
      </c>
      <c r="AR2974" s="23"/>
      <c r="AS2974" s="23"/>
      <c r="AT2974" s="23"/>
      <c r="AU2974" s="14" t="str">
        <f>HYPERLINK("http://www.openstreetmap.org/?mlat=31.9722&amp;mlon=45.4173&amp;zoom=12#map=12/31.9722/45.4173","Maplink1")</f>
        <v>Maplink1</v>
      </c>
      <c r="AV2974" s="14" t="str">
        <f>HYPERLINK("https://www.google.iq/maps/search/+31.9722,45.4173/@31.9722,45.4173,14z?hl=en","Maplink2")</f>
        <v>Maplink2</v>
      </c>
      <c r="AW2974" s="14" t="str">
        <f>HYPERLINK("http://www.bing.com/maps/?lvl=14&amp;sty=h&amp;cp=31.9722~45.4173&amp;sp=point.31.9722_45.4173_Al Budair-Hay Al-Salam","Maplink3")</f>
        <v>Maplink3</v>
      </c>
    </row>
    <row r="2975" spans="1:49" ht="15" customHeight="1" x14ac:dyDescent="0.25">
      <c r="A2975" s="21">
        <v>25380</v>
      </c>
      <c r="B2975" s="22" t="s">
        <v>22</v>
      </c>
      <c r="C2975" s="22" t="s">
        <v>5724</v>
      </c>
      <c r="D2975" s="22" t="s">
        <v>149</v>
      </c>
      <c r="E2975" s="22" t="s">
        <v>150</v>
      </c>
      <c r="F2975" s="22">
        <v>32.049866000000002</v>
      </c>
      <c r="G2975" s="22">
        <v>45.143239000000001</v>
      </c>
      <c r="H2975" s="21" t="s">
        <v>5725</v>
      </c>
      <c r="I2975" s="21" t="s">
        <v>5726</v>
      </c>
      <c r="J2975" s="21"/>
      <c r="K2975" s="24">
        <v>12</v>
      </c>
      <c r="L2975" s="24">
        <v>72</v>
      </c>
      <c r="M2975" s="23"/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>
        <v>12</v>
      </c>
      <c r="Z2975" s="23"/>
      <c r="AA2975" s="23"/>
      <c r="AB2975" s="23"/>
      <c r="AC2975" s="23"/>
      <c r="AD2975" s="23"/>
      <c r="AE2975" s="23"/>
      <c r="AF2975" s="23"/>
      <c r="AG2975" s="23"/>
      <c r="AH2975" s="23"/>
      <c r="AI2975" s="23"/>
      <c r="AJ2975" s="23">
        <v>12</v>
      </c>
      <c r="AK2975" s="23"/>
      <c r="AL2975" s="23"/>
      <c r="AM2975" s="23"/>
      <c r="AN2975" s="23"/>
      <c r="AO2975" s="23"/>
      <c r="AP2975" s="23">
        <v>5</v>
      </c>
      <c r="AQ2975" s="23">
        <v>7</v>
      </c>
      <c r="AR2975" s="23"/>
      <c r="AS2975" s="23"/>
      <c r="AT2975" s="23"/>
      <c r="AU2975" s="14" t="str">
        <f>HYPERLINK("http://www.openstreetmap.org/?mlat=32.0499&amp;mlon=45.1432&amp;zoom=12#map=12/32.0499/45.1432","Maplink1")</f>
        <v>Maplink1</v>
      </c>
      <c r="AV2975" s="14" t="str">
        <f>HYPERLINK("https://www.google.iq/maps/search/+32.0499,45.1432/@32.0499,45.1432,14z?hl=en","Maplink2")</f>
        <v>Maplink2</v>
      </c>
      <c r="AW2975" s="14" t="str">
        <f>HYPERLINK("http://www.bing.com/maps/?lvl=14&amp;sty=h&amp;cp=32.0499~45.1432&amp;sp=point.32.0499_45.1432_Hay Al-Salam-Al Nufaar","Maplink3")</f>
        <v>Maplink3</v>
      </c>
    </row>
    <row r="2976" spans="1:49" ht="15" customHeight="1" x14ac:dyDescent="0.25">
      <c r="A2976" s="21">
        <v>2803</v>
      </c>
      <c r="B2976" s="22" t="s">
        <v>22</v>
      </c>
      <c r="C2976" s="22" t="s">
        <v>5724</v>
      </c>
      <c r="D2976" s="22" t="s">
        <v>5772</v>
      </c>
      <c r="E2976" s="22" t="s">
        <v>5773</v>
      </c>
      <c r="F2976" s="22">
        <v>31.972221999999999</v>
      </c>
      <c r="G2976" s="22">
        <v>45.413611000000003</v>
      </c>
      <c r="H2976" s="21" t="s">
        <v>5725</v>
      </c>
      <c r="I2976" s="21" t="s">
        <v>5726</v>
      </c>
      <c r="J2976" s="21" t="s">
        <v>5774</v>
      </c>
      <c r="K2976" s="24">
        <v>14</v>
      </c>
      <c r="L2976" s="24">
        <v>84</v>
      </c>
      <c r="M2976" s="23">
        <v>6</v>
      </c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>
        <v>8</v>
      </c>
      <c r="Z2976" s="23"/>
      <c r="AA2976" s="23"/>
      <c r="AB2976" s="23"/>
      <c r="AC2976" s="23"/>
      <c r="AD2976" s="23"/>
      <c r="AE2976" s="23"/>
      <c r="AF2976" s="23">
        <v>4</v>
      </c>
      <c r="AG2976" s="23"/>
      <c r="AH2976" s="23"/>
      <c r="AI2976" s="23"/>
      <c r="AJ2976" s="23"/>
      <c r="AK2976" s="23">
        <v>8</v>
      </c>
      <c r="AL2976" s="23"/>
      <c r="AM2976" s="23">
        <v>2</v>
      </c>
      <c r="AN2976" s="23"/>
      <c r="AO2976" s="23"/>
      <c r="AP2976" s="23"/>
      <c r="AQ2976" s="23">
        <v>8</v>
      </c>
      <c r="AR2976" s="23">
        <v>4</v>
      </c>
      <c r="AS2976" s="23">
        <v>2</v>
      </c>
      <c r="AT2976" s="23"/>
      <c r="AU2976" s="14" t="str">
        <f>HYPERLINK("http://www.openstreetmap.org/?mlat=31.9722&amp;mlon=45.4136&amp;zoom=12#map=12/31.9722/45.4136","Maplink1")</f>
        <v>Maplink1</v>
      </c>
      <c r="AV2976" s="14" t="str">
        <f>HYPERLINK("https://www.google.iq/maps/search/+31.9722,45.4136/@31.9722,45.4136,14z?hl=en","Maplink2")</f>
        <v>Maplink2</v>
      </c>
      <c r="AW2976" s="14" t="str">
        <f>HYPERLINK("http://www.bing.com/maps/?lvl=14&amp;sty=h&amp;cp=31.9722~45.4136&amp;sp=point.31.9722_45.4136_Hay Al-Salam (Random Area)","Maplink3")</f>
        <v>Maplink3</v>
      </c>
    </row>
    <row r="2977" spans="1:49" ht="15" customHeight="1" x14ac:dyDescent="0.25">
      <c r="A2977" s="21">
        <v>3368</v>
      </c>
      <c r="B2977" s="22" t="s">
        <v>22</v>
      </c>
      <c r="C2977" s="22" t="s">
        <v>5724</v>
      </c>
      <c r="D2977" s="22" t="s">
        <v>5775</v>
      </c>
      <c r="E2977" s="22" t="s">
        <v>1123</v>
      </c>
      <c r="F2977" s="22">
        <v>32.062916000000001</v>
      </c>
      <c r="G2977" s="22">
        <v>45.239246000000001</v>
      </c>
      <c r="H2977" s="21" t="s">
        <v>5725</v>
      </c>
      <c r="I2977" s="21" t="s">
        <v>5726</v>
      </c>
      <c r="J2977" s="21" t="s">
        <v>5776</v>
      </c>
      <c r="K2977" s="24">
        <v>17</v>
      </c>
      <c r="L2977" s="24">
        <v>102</v>
      </c>
      <c r="M2977" s="23">
        <v>4</v>
      </c>
      <c r="N2977" s="23"/>
      <c r="O2977" s="23"/>
      <c r="P2977" s="23"/>
      <c r="Q2977" s="23"/>
      <c r="R2977" s="23"/>
      <c r="S2977" s="23"/>
      <c r="T2977" s="23"/>
      <c r="U2977" s="23">
        <v>4</v>
      </c>
      <c r="V2977" s="23"/>
      <c r="W2977" s="23"/>
      <c r="X2977" s="23"/>
      <c r="Y2977" s="23">
        <v>9</v>
      </c>
      <c r="Z2977" s="23"/>
      <c r="AA2977" s="23"/>
      <c r="AB2977" s="23"/>
      <c r="AC2977" s="23"/>
      <c r="AD2977" s="23"/>
      <c r="AE2977" s="23"/>
      <c r="AF2977" s="23">
        <v>2</v>
      </c>
      <c r="AG2977" s="23"/>
      <c r="AH2977" s="23"/>
      <c r="AI2977" s="23"/>
      <c r="AJ2977" s="23"/>
      <c r="AK2977" s="23">
        <v>15</v>
      </c>
      <c r="AL2977" s="23"/>
      <c r="AM2977" s="23"/>
      <c r="AN2977" s="23"/>
      <c r="AO2977" s="23"/>
      <c r="AP2977" s="23">
        <v>4</v>
      </c>
      <c r="AQ2977" s="23">
        <v>9</v>
      </c>
      <c r="AR2977" s="23">
        <v>4</v>
      </c>
      <c r="AS2977" s="23"/>
      <c r="AT2977" s="23"/>
      <c r="AU2977" s="14" t="str">
        <f>HYPERLINK("http://www.openstreetmap.org/?mlat=32.0628&amp;mlon=45.2536&amp;zoom=12#map=12/32.0628/45.2536","Maplink1")</f>
        <v>Maplink1</v>
      </c>
      <c r="AV2977" s="14" t="str">
        <f>HYPERLINK("https://www.google.iq/maps/search/+32.0628,45.2536/@32.0628,45.2536,14z?hl=en","Maplink2")</f>
        <v>Maplink2</v>
      </c>
      <c r="AW2977" s="14" t="str">
        <f>HYPERLINK("http://www.bing.com/maps/?lvl=14&amp;sty=h&amp;cp=32.0628~45.2536&amp;sp=point.32.0628_45.2536_Hay Al-Waili","Maplink3")</f>
        <v>Maplink3</v>
      </c>
    </row>
    <row r="2978" spans="1:49" ht="15" customHeight="1" x14ac:dyDescent="0.25">
      <c r="A2978" s="21">
        <v>22117</v>
      </c>
      <c r="B2978" s="22" t="s">
        <v>22</v>
      </c>
      <c r="C2978" s="22" t="s">
        <v>5724</v>
      </c>
      <c r="D2978" s="22" t="s">
        <v>7353</v>
      </c>
      <c r="E2978" s="22" t="s">
        <v>5789</v>
      </c>
      <c r="F2978" s="22">
        <v>32.060088999999998</v>
      </c>
      <c r="G2978" s="22">
        <v>45.244767000000003</v>
      </c>
      <c r="H2978" s="21" t="s">
        <v>5725</v>
      </c>
      <c r="I2978" s="21" t="s">
        <v>5726</v>
      </c>
      <c r="J2978" s="21" t="s">
        <v>5790</v>
      </c>
      <c r="K2978" s="24">
        <v>4</v>
      </c>
      <c r="L2978" s="24">
        <v>24</v>
      </c>
      <c r="M2978" s="23">
        <v>4</v>
      </c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/>
      <c r="AK2978" s="23">
        <v>4</v>
      </c>
      <c r="AL2978" s="23"/>
      <c r="AM2978" s="23"/>
      <c r="AN2978" s="23"/>
      <c r="AO2978" s="23"/>
      <c r="AP2978" s="23"/>
      <c r="AQ2978" s="23"/>
      <c r="AR2978" s="23">
        <v>3</v>
      </c>
      <c r="AS2978" s="23">
        <v>1</v>
      </c>
      <c r="AT2978" s="23"/>
      <c r="AU2978" s="14" t="str">
        <f>HYPERLINK("http://www.openstreetmap.org/?mlat=32.0601&amp;mlon=45.2448&amp;zoom=12#map=12/32.0601/45.2448","Maplink1")</f>
        <v>Maplink1</v>
      </c>
      <c r="AV2978" s="14" t="str">
        <f>HYPERLINK("https://www.google.iq/maps/search/+32.0601,45.2448/@32.0601,45.2448,14z?hl=en","Maplink2")</f>
        <v>Maplink2</v>
      </c>
      <c r="AW2978" s="14" t="str">
        <f>HYPERLINK("http://www.bing.com/maps/?lvl=14&amp;sty=h&amp;cp=32.0601~45.2448&amp;sp=point.32.0601_45.2448_Muslim Bin Aqeel","Maplink3")</f>
        <v>Maplink3</v>
      </c>
    </row>
    <row r="2979" spans="1:49" ht="15" customHeight="1" x14ac:dyDescent="0.25">
      <c r="A2979" s="21">
        <v>22451</v>
      </c>
      <c r="B2979" s="22" t="s">
        <v>22</v>
      </c>
      <c r="C2979" s="22" t="s">
        <v>5724</v>
      </c>
      <c r="D2979" s="22" t="s">
        <v>5777</v>
      </c>
      <c r="E2979" s="22" t="s">
        <v>5778</v>
      </c>
      <c r="F2979" s="22">
        <v>32.140571999999999</v>
      </c>
      <c r="G2979" s="22">
        <v>45.001801999999998</v>
      </c>
      <c r="H2979" s="21" t="s">
        <v>5725</v>
      </c>
      <c r="I2979" s="21" t="s">
        <v>5726</v>
      </c>
      <c r="J2979" s="21" t="s">
        <v>5779</v>
      </c>
      <c r="K2979" s="24">
        <v>13</v>
      </c>
      <c r="L2979" s="24">
        <v>78</v>
      </c>
      <c r="M2979" s="23">
        <v>3</v>
      </c>
      <c r="N2979" s="23"/>
      <c r="O2979" s="23"/>
      <c r="P2979" s="23"/>
      <c r="Q2979" s="23"/>
      <c r="R2979" s="23"/>
      <c r="S2979" s="23"/>
      <c r="T2979" s="23"/>
      <c r="U2979" s="23">
        <v>4</v>
      </c>
      <c r="V2979" s="23"/>
      <c r="W2979" s="23"/>
      <c r="X2979" s="23"/>
      <c r="Y2979" s="23">
        <v>6</v>
      </c>
      <c r="Z2979" s="23"/>
      <c r="AA2979" s="23"/>
      <c r="AB2979" s="23"/>
      <c r="AC2979" s="23"/>
      <c r="AD2979" s="23"/>
      <c r="AE2979" s="23"/>
      <c r="AF2979" s="23">
        <v>4</v>
      </c>
      <c r="AG2979" s="23"/>
      <c r="AH2979" s="23"/>
      <c r="AI2979" s="23"/>
      <c r="AJ2979" s="23"/>
      <c r="AK2979" s="23">
        <v>9</v>
      </c>
      <c r="AL2979" s="23"/>
      <c r="AM2979" s="23"/>
      <c r="AN2979" s="23"/>
      <c r="AO2979" s="23"/>
      <c r="AP2979" s="23">
        <v>5</v>
      </c>
      <c r="AQ2979" s="23">
        <v>5</v>
      </c>
      <c r="AR2979" s="23">
        <v>3</v>
      </c>
      <c r="AS2979" s="23"/>
      <c r="AT2979" s="23"/>
      <c r="AU2979" s="14" t="str">
        <f>HYPERLINK("http://www.openstreetmap.org/?mlat=32.1406&amp;mlon=45.0018&amp;zoom=12#map=12/32.1406/45.0018","Maplink1")</f>
        <v>Maplink1</v>
      </c>
      <c r="AV2979" s="14" t="str">
        <f>HYPERLINK("https://www.google.iq/maps/search/+32.1406,45.0018/@32.1406,45.0018,14z?hl=en","Maplink2")</f>
        <v>Maplink2</v>
      </c>
      <c r="AW2979" s="14" t="str">
        <f>HYPERLINK("http://www.bing.com/maps/?lvl=14&amp;sty=h&amp;cp=32.1406~45.0018&amp;sp=point.32.1406_45.0018_Hay Wajaan","Maplink3")</f>
        <v>Maplink3</v>
      </c>
    </row>
    <row r="2980" spans="1:49" ht="15" customHeight="1" x14ac:dyDescent="0.25">
      <c r="A2980" s="21">
        <v>3072</v>
      </c>
      <c r="B2980" s="22" t="s">
        <v>22</v>
      </c>
      <c r="C2980" s="22" t="s">
        <v>5724</v>
      </c>
      <c r="D2980" s="22" t="s">
        <v>7354</v>
      </c>
      <c r="E2980" s="22" t="s">
        <v>8082</v>
      </c>
      <c r="F2980" s="22">
        <v>32.061266000000003</v>
      </c>
      <c r="G2980" s="22">
        <v>45.262619000000001</v>
      </c>
      <c r="H2980" s="21" t="s">
        <v>5725</v>
      </c>
      <c r="I2980" s="21" t="s">
        <v>5726</v>
      </c>
      <c r="J2980" s="21" t="s">
        <v>5727</v>
      </c>
      <c r="K2980" s="24">
        <v>15</v>
      </c>
      <c r="L2980" s="24">
        <v>90</v>
      </c>
      <c r="M2980" s="23">
        <v>5</v>
      </c>
      <c r="N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>
        <v>10</v>
      </c>
      <c r="Z2980" s="23"/>
      <c r="AA2980" s="23"/>
      <c r="AB2980" s="23"/>
      <c r="AC2980" s="23"/>
      <c r="AD2980" s="23"/>
      <c r="AE2980" s="23"/>
      <c r="AF2980" s="23">
        <v>12</v>
      </c>
      <c r="AG2980" s="23"/>
      <c r="AH2980" s="23"/>
      <c r="AI2980" s="23"/>
      <c r="AJ2980" s="23"/>
      <c r="AK2980" s="23"/>
      <c r="AL2980" s="23"/>
      <c r="AM2980" s="23">
        <v>3</v>
      </c>
      <c r="AN2980" s="23"/>
      <c r="AO2980" s="23"/>
      <c r="AP2980" s="23"/>
      <c r="AQ2980" s="23">
        <v>10</v>
      </c>
      <c r="AR2980" s="23">
        <v>3</v>
      </c>
      <c r="AS2980" s="23">
        <v>2</v>
      </c>
      <c r="AT2980" s="23"/>
      <c r="AU2980" s="14" t="str">
        <f>HYPERLINK("http://www.openstreetmap.org/?mlat=32.0613&amp;mlon=45.2626&amp;zoom=12#map=12/32.0613/45.2626","Maplink1")</f>
        <v>Maplink1</v>
      </c>
      <c r="AV2980" s="14" t="str">
        <f>HYPERLINK("https://www.google.iq/maps/search/+32.0613,45.2626/@32.0613,45.2626,14z?hl=en","Maplink2")</f>
        <v>Maplink2</v>
      </c>
      <c r="AW2980" s="14" t="str">
        <f>HYPERLINK("http://www.bing.com/maps/?lvl=14&amp;sty=h&amp;cp=32.0613~45.2626&amp;sp=point.32.0613_45.2626_Afaq Area-Laiby village-Center","Maplink3")</f>
        <v>Maplink3</v>
      </c>
    </row>
    <row r="2981" spans="1:49" ht="15" customHeight="1" x14ac:dyDescent="0.25">
      <c r="A2981" s="21">
        <v>3366</v>
      </c>
      <c r="B2981" s="22" t="s">
        <v>22</v>
      </c>
      <c r="C2981" s="22" t="s">
        <v>5724</v>
      </c>
      <c r="D2981" s="22" t="s">
        <v>5780</v>
      </c>
      <c r="E2981" s="22" t="s">
        <v>8083</v>
      </c>
      <c r="F2981" s="22">
        <v>32.068565</v>
      </c>
      <c r="G2981" s="22">
        <v>45.243602000000003</v>
      </c>
      <c r="H2981" s="21" t="s">
        <v>5725</v>
      </c>
      <c r="I2981" s="21" t="s">
        <v>5726</v>
      </c>
      <c r="J2981" s="21" t="s">
        <v>5781</v>
      </c>
      <c r="K2981" s="24">
        <v>10</v>
      </c>
      <c r="L2981" s="24">
        <v>60</v>
      </c>
      <c r="M2981" s="23">
        <v>3</v>
      </c>
      <c r="N2981" s="23"/>
      <c r="O2981" s="23"/>
      <c r="P2981" s="23"/>
      <c r="Q2981" s="23"/>
      <c r="R2981" s="23"/>
      <c r="S2981" s="23"/>
      <c r="T2981" s="23"/>
      <c r="U2981" s="23">
        <v>5</v>
      </c>
      <c r="V2981" s="23"/>
      <c r="W2981" s="23"/>
      <c r="X2981" s="23"/>
      <c r="Y2981" s="23">
        <v>2</v>
      </c>
      <c r="Z2981" s="23"/>
      <c r="AA2981" s="23"/>
      <c r="AB2981" s="23"/>
      <c r="AC2981" s="23"/>
      <c r="AD2981" s="23"/>
      <c r="AE2981" s="23"/>
      <c r="AF2981" s="23">
        <v>3</v>
      </c>
      <c r="AG2981" s="23"/>
      <c r="AH2981" s="23"/>
      <c r="AI2981" s="23"/>
      <c r="AJ2981" s="23"/>
      <c r="AK2981" s="23">
        <v>7</v>
      </c>
      <c r="AL2981" s="23"/>
      <c r="AM2981" s="23"/>
      <c r="AN2981" s="23"/>
      <c r="AO2981" s="23"/>
      <c r="AP2981" s="23">
        <v>5</v>
      </c>
      <c r="AQ2981" s="23">
        <v>2</v>
      </c>
      <c r="AR2981" s="23">
        <v>3</v>
      </c>
      <c r="AS2981" s="23"/>
      <c r="AT2981" s="23"/>
      <c r="AU2981" s="14" t="str">
        <f>HYPERLINK("http://www.openstreetmap.org/?mlat=32.0686&amp;mlon=45.2436&amp;zoom=12#map=12/32.0686/45.2436","Maplink1")</f>
        <v>Maplink1</v>
      </c>
      <c r="AV2981" s="14" t="str">
        <f>HYPERLINK("https://www.google.iq/maps/search/+32.0686,45.2436/@32.0686,45.2436,14z?hl=en","Maplink2")</f>
        <v>Maplink2</v>
      </c>
      <c r="AW2981" s="14" t="str">
        <f>HYPERLINK("http://www.bing.com/maps/?lvl=14&amp;sty=h&amp;cp=32.0686~45.2436&amp;sp=point.32.0686_45.2436_Mantaket Al-Agaba","Maplink3")</f>
        <v>Maplink3</v>
      </c>
    </row>
    <row r="2982" spans="1:49" ht="15" customHeight="1" x14ac:dyDescent="0.25">
      <c r="A2982" s="21">
        <v>25503</v>
      </c>
      <c r="B2982" s="22" t="s">
        <v>22</v>
      </c>
      <c r="C2982" s="22" t="s">
        <v>5724</v>
      </c>
      <c r="D2982" s="22" t="s">
        <v>5782</v>
      </c>
      <c r="E2982" s="22" t="s">
        <v>5783</v>
      </c>
      <c r="F2982" s="22">
        <v>32.151851000000001</v>
      </c>
      <c r="G2982" s="22">
        <v>44.997906999999998</v>
      </c>
      <c r="H2982" s="21" t="s">
        <v>5725</v>
      </c>
      <c r="I2982" s="21" t="s">
        <v>5726</v>
      </c>
      <c r="J2982" s="21"/>
      <c r="K2982" s="24">
        <v>8</v>
      </c>
      <c r="L2982" s="24">
        <v>48</v>
      </c>
      <c r="M2982" s="23"/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>
        <v>8</v>
      </c>
      <c r="Z2982" s="23"/>
      <c r="AA2982" s="23"/>
      <c r="AB2982" s="23"/>
      <c r="AC2982" s="23"/>
      <c r="AD2982" s="23"/>
      <c r="AE2982" s="23"/>
      <c r="AF2982" s="23">
        <v>3</v>
      </c>
      <c r="AG2982" s="23"/>
      <c r="AH2982" s="23"/>
      <c r="AI2982" s="23"/>
      <c r="AJ2982" s="23"/>
      <c r="AK2982" s="23">
        <v>5</v>
      </c>
      <c r="AL2982" s="23"/>
      <c r="AM2982" s="23"/>
      <c r="AN2982" s="23"/>
      <c r="AO2982" s="23"/>
      <c r="AP2982" s="23"/>
      <c r="AQ2982" s="23">
        <v>8</v>
      </c>
      <c r="AR2982" s="23"/>
      <c r="AS2982" s="23"/>
      <c r="AT2982" s="23"/>
      <c r="AU2982" s="14" t="str">
        <f>HYPERLINK("http://www.openstreetmap.org/?mlat=32.1519&amp;mlon=44.9979&amp;zoom=12#map=12/32.1519/44.9979","Maplink1")</f>
        <v>Maplink1</v>
      </c>
      <c r="AV2982" s="14" t="str">
        <f>HYPERLINK("https://www.google.iq/maps/search/+32.1519,44.9979/@32.1519,44.9979,14z?hl=en","Maplink2")</f>
        <v>Maplink2</v>
      </c>
      <c r="AW2982" s="14" t="str">
        <f>HYPERLINK("http://www.bing.com/maps/?lvl=14&amp;sty=h&amp;cp=32.1519~44.9979&amp;sp=point.32.1519_44.9979_Mantaket Al-Alwaa","Maplink3")</f>
        <v>Maplink3</v>
      </c>
    </row>
    <row r="2983" spans="1:49" ht="15" customHeight="1" x14ac:dyDescent="0.25">
      <c r="A2983" s="21">
        <v>3395</v>
      </c>
      <c r="B2983" s="22" t="s">
        <v>22</v>
      </c>
      <c r="C2983" s="22" t="s">
        <v>5724</v>
      </c>
      <c r="D2983" s="22" t="s">
        <v>7355</v>
      </c>
      <c r="E2983" s="22" t="s">
        <v>5737</v>
      </c>
      <c r="F2983" s="22">
        <v>31.976229</v>
      </c>
      <c r="G2983" s="22">
        <v>45.402571000000002</v>
      </c>
      <c r="H2983" s="21" t="s">
        <v>5725</v>
      </c>
      <c r="I2983" s="21" t="s">
        <v>5726</v>
      </c>
      <c r="J2983" s="21" t="s">
        <v>5738</v>
      </c>
      <c r="K2983" s="24">
        <v>6</v>
      </c>
      <c r="L2983" s="24">
        <v>36</v>
      </c>
      <c r="M2983" s="23">
        <v>4</v>
      </c>
      <c r="N2983" s="23"/>
      <c r="O2983" s="23"/>
      <c r="P2983" s="23"/>
      <c r="Q2983" s="23"/>
      <c r="R2983" s="23"/>
      <c r="S2983" s="23"/>
      <c r="T2983" s="23"/>
      <c r="U2983" s="23">
        <v>2</v>
      </c>
      <c r="V2983" s="23"/>
      <c r="W2983" s="23"/>
      <c r="X2983" s="23"/>
      <c r="Y2983" s="23"/>
      <c r="Z2983" s="23"/>
      <c r="AA2983" s="23"/>
      <c r="AB2983" s="23"/>
      <c r="AC2983" s="23"/>
      <c r="AD2983" s="23"/>
      <c r="AE2983" s="23"/>
      <c r="AF2983" s="23">
        <v>2</v>
      </c>
      <c r="AG2983" s="23"/>
      <c r="AH2983" s="23"/>
      <c r="AI2983" s="23"/>
      <c r="AJ2983" s="23"/>
      <c r="AK2983" s="23">
        <v>4</v>
      </c>
      <c r="AL2983" s="23"/>
      <c r="AM2983" s="23"/>
      <c r="AN2983" s="23"/>
      <c r="AO2983" s="23"/>
      <c r="AP2983" s="23">
        <v>2</v>
      </c>
      <c r="AQ2983" s="23"/>
      <c r="AR2983" s="23">
        <v>4</v>
      </c>
      <c r="AS2983" s="23"/>
      <c r="AT2983" s="23"/>
      <c r="AU2983" s="14" t="str">
        <f>HYPERLINK("http://www.openstreetmap.org/?mlat=31.9762&amp;mlon=45.4026&amp;zoom=12#map=12/31.9762/45.4026","Maplink1")</f>
        <v>Maplink1</v>
      </c>
      <c r="AV2983" s="14" t="str">
        <f>HYPERLINK("https://www.google.iq/maps/search/+31.9762,45.4026/@31.9762,45.4026,14z?hl=en","Maplink2")</f>
        <v>Maplink2</v>
      </c>
      <c r="AW2983" s="14" t="str">
        <f>HYPERLINK("http://www.bing.com/maps/?lvl=14&amp;sty=h&amp;cp=31.9762~45.4026&amp;sp=point.31.9762_45.4026_Al-Bdair Area-Mantaket Al-jadida","Maplink3")</f>
        <v>Maplink3</v>
      </c>
    </row>
    <row r="2984" spans="1:49" ht="15" customHeight="1" x14ac:dyDescent="0.25">
      <c r="A2984" s="21">
        <v>3074</v>
      </c>
      <c r="B2984" s="22" t="s">
        <v>22</v>
      </c>
      <c r="C2984" s="22" t="s">
        <v>5724</v>
      </c>
      <c r="D2984" s="22" t="s">
        <v>5784</v>
      </c>
      <c r="E2984" s="22" t="s">
        <v>5785</v>
      </c>
      <c r="F2984" s="22">
        <v>32.065243000000002</v>
      </c>
      <c r="G2984" s="22">
        <v>45.249108</v>
      </c>
      <c r="H2984" s="21" t="s">
        <v>5725</v>
      </c>
      <c r="I2984" s="21" t="s">
        <v>5726</v>
      </c>
      <c r="J2984" s="21" t="s">
        <v>5786</v>
      </c>
      <c r="K2984" s="24">
        <v>11</v>
      </c>
      <c r="L2984" s="24">
        <v>66</v>
      </c>
      <c r="M2984" s="23">
        <v>10</v>
      </c>
      <c r="N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>
        <v>1</v>
      </c>
      <c r="Z2984" s="23"/>
      <c r="AA2984" s="23"/>
      <c r="AB2984" s="23"/>
      <c r="AC2984" s="23"/>
      <c r="AD2984" s="23"/>
      <c r="AE2984" s="23"/>
      <c r="AF2984" s="23"/>
      <c r="AG2984" s="23"/>
      <c r="AH2984" s="23"/>
      <c r="AI2984" s="23"/>
      <c r="AJ2984" s="23"/>
      <c r="AK2984" s="23">
        <v>3</v>
      </c>
      <c r="AL2984" s="23"/>
      <c r="AM2984" s="23">
        <v>8</v>
      </c>
      <c r="AN2984" s="23"/>
      <c r="AO2984" s="23"/>
      <c r="AP2984" s="23"/>
      <c r="AQ2984" s="23">
        <v>1</v>
      </c>
      <c r="AR2984" s="23">
        <v>4</v>
      </c>
      <c r="AS2984" s="23">
        <v>6</v>
      </c>
      <c r="AT2984" s="23"/>
      <c r="AU2984" s="14" t="str">
        <f>HYPERLINK("http://www.openstreetmap.org/?mlat=32.0652&amp;mlon=45.2491&amp;zoom=12#map=12/32.0652/45.2491","Maplink1")</f>
        <v>Maplink1</v>
      </c>
      <c r="AV2984" s="14" t="str">
        <f>HYPERLINK("https://www.google.iq/maps/search/+32.0652,45.2491/@32.0652,45.2491,14z?hl=en","Maplink2")</f>
        <v>Maplink2</v>
      </c>
      <c r="AW2984" s="14" t="str">
        <f>HYPERLINK("http://www.bing.com/maps/?lvl=14&amp;sty=h&amp;cp=32.0652~45.2491&amp;sp=point.32.0652_45.2491_Mantaket Al-Zwiya","Maplink3")</f>
        <v>Maplink3</v>
      </c>
    </row>
    <row r="2985" spans="1:49" ht="15" customHeight="1" x14ac:dyDescent="0.25">
      <c r="A2985" s="21">
        <v>25377</v>
      </c>
      <c r="B2985" s="22" t="s">
        <v>22</v>
      </c>
      <c r="C2985" s="22" t="s">
        <v>5724</v>
      </c>
      <c r="D2985" s="22" t="s">
        <v>5787</v>
      </c>
      <c r="E2985" s="22" t="s">
        <v>5788</v>
      </c>
      <c r="F2985" s="22">
        <v>31.973952000000001</v>
      </c>
      <c r="G2985" s="22">
        <v>45.407026000000002</v>
      </c>
      <c r="H2985" s="21" t="s">
        <v>5725</v>
      </c>
      <c r="I2985" s="21" t="s">
        <v>5726</v>
      </c>
      <c r="J2985" s="21"/>
      <c r="K2985" s="24">
        <v>5</v>
      </c>
      <c r="L2985" s="24">
        <v>30</v>
      </c>
      <c r="M2985" s="23">
        <v>2</v>
      </c>
      <c r="N2985" s="23"/>
      <c r="O2985" s="23"/>
      <c r="P2985" s="23"/>
      <c r="Q2985" s="23"/>
      <c r="R2985" s="23"/>
      <c r="S2985" s="23"/>
      <c r="T2985" s="23"/>
      <c r="U2985" s="23">
        <v>3</v>
      </c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23">
        <v>3</v>
      </c>
      <c r="AG2985" s="23"/>
      <c r="AH2985" s="23"/>
      <c r="AI2985" s="23"/>
      <c r="AJ2985" s="23"/>
      <c r="AK2985" s="23">
        <v>2</v>
      </c>
      <c r="AL2985" s="23"/>
      <c r="AM2985" s="23"/>
      <c r="AN2985" s="23"/>
      <c r="AO2985" s="23"/>
      <c r="AP2985" s="23"/>
      <c r="AQ2985" s="23">
        <v>3</v>
      </c>
      <c r="AR2985" s="23">
        <v>2</v>
      </c>
      <c r="AS2985" s="23"/>
      <c r="AT2985" s="23"/>
      <c r="AU2985" s="14" t="str">
        <f>HYPERLINK("http://www.openstreetmap.org/?mlat=31.98&amp;mlon=45.4062&amp;zoom=12#map=12/31.98/45.4062","Maplink1")</f>
        <v>Maplink1</v>
      </c>
      <c r="AV2985" s="14" t="str">
        <f>HYPERLINK("https://www.google.iq/maps/search/+31.98,45.4062/@31.98,45.4062,14z?hl=en","Maplink2")</f>
        <v>Maplink2</v>
      </c>
      <c r="AW2985" s="14" t="str">
        <f>HYPERLINK("http://www.bing.com/maps/?lvl=14&amp;sty=h&amp;cp=31.98~45.4062&amp;sp=point.31.98_45.4062_Mantaqet Alsooq","Maplink3")</f>
        <v>Maplink3</v>
      </c>
    </row>
    <row r="2986" spans="1:49" ht="15" customHeight="1" x14ac:dyDescent="0.25">
      <c r="A2986" s="21">
        <v>3187</v>
      </c>
      <c r="B2986" s="22" t="s">
        <v>22</v>
      </c>
      <c r="C2986" s="22" t="s">
        <v>5724</v>
      </c>
      <c r="D2986" s="22" t="s">
        <v>5791</v>
      </c>
      <c r="E2986" s="22" t="s">
        <v>8084</v>
      </c>
      <c r="F2986" s="22">
        <v>32.054174000000003</v>
      </c>
      <c r="G2986" s="22">
        <v>45.152588000000002</v>
      </c>
      <c r="H2986" s="21" t="s">
        <v>5725</v>
      </c>
      <c r="I2986" s="21" t="s">
        <v>5726</v>
      </c>
      <c r="J2986" s="21" t="s">
        <v>5792</v>
      </c>
      <c r="K2986" s="24">
        <v>11</v>
      </c>
      <c r="L2986" s="24">
        <v>66</v>
      </c>
      <c r="M2986" s="23"/>
      <c r="N2986" s="23"/>
      <c r="O2986" s="23"/>
      <c r="P2986" s="23"/>
      <c r="Q2986" s="23"/>
      <c r="R2986" s="23"/>
      <c r="S2986" s="23"/>
      <c r="T2986" s="23"/>
      <c r="U2986" s="23">
        <v>6</v>
      </c>
      <c r="V2986" s="23"/>
      <c r="W2986" s="23"/>
      <c r="X2986" s="23"/>
      <c r="Y2986" s="23">
        <v>5</v>
      </c>
      <c r="Z2986" s="23"/>
      <c r="AA2986" s="23"/>
      <c r="AB2986" s="23"/>
      <c r="AC2986" s="23"/>
      <c r="AD2986" s="23"/>
      <c r="AE2986" s="23"/>
      <c r="AF2986" s="23">
        <v>4</v>
      </c>
      <c r="AG2986" s="23"/>
      <c r="AH2986" s="23"/>
      <c r="AI2986" s="23"/>
      <c r="AJ2986" s="23">
        <v>5</v>
      </c>
      <c r="AK2986" s="23">
        <v>2</v>
      </c>
      <c r="AL2986" s="23"/>
      <c r="AM2986" s="23"/>
      <c r="AN2986" s="23"/>
      <c r="AO2986" s="23"/>
      <c r="AP2986" s="23">
        <v>6</v>
      </c>
      <c r="AQ2986" s="23">
        <v>5</v>
      </c>
      <c r="AR2986" s="23"/>
      <c r="AS2986" s="23"/>
      <c r="AT2986" s="23"/>
      <c r="AU2986" s="14" t="str">
        <f>HYPERLINK("http://www.openstreetmap.org/?mlat=32.0542&amp;mlon=45.1526&amp;zoom=12#map=12/32.0542/45.1526","Maplink1")</f>
        <v>Maplink1</v>
      </c>
      <c r="AV2986" s="14" t="str">
        <f>HYPERLINK("https://www.google.iq/maps/search/+32.0542,45.1526/@32.0542,45.1526,14z?hl=en","Maplink2")</f>
        <v>Maplink2</v>
      </c>
      <c r="AW2986" s="14" t="str">
        <f>HYPERLINK("http://www.bing.com/maps/?lvl=14&amp;sty=h&amp;cp=32.0542~45.1526&amp;sp=point.32.0542_45.1526_Qaryat Al-Ein","Maplink3")</f>
        <v>Maplink3</v>
      </c>
    </row>
    <row r="2987" spans="1:49" ht="15" customHeight="1" x14ac:dyDescent="0.25">
      <c r="A2987" s="21">
        <v>25374</v>
      </c>
      <c r="B2987" s="22" t="s">
        <v>22</v>
      </c>
      <c r="C2987" s="22" t="s">
        <v>5724</v>
      </c>
      <c r="D2987" s="22" t="s">
        <v>5793</v>
      </c>
      <c r="E2987" s="22" t="s">
        <v>5794</v>
      </c>
      <c r="F2987" s="22">
        <v>31.969722999999998</v>
      </c>
      <c r="G2987" s="22">
        <v>45.411895000000001</v>
      </c>
      <c r="H2987" s="21" t="s">
        <v>5725</v>
      </c>
      <c r="I2987" s="21" t="s">
        <v>5726</v>
      </c>
      <c r="J2987" s="21"/>
      <c r="K2987" s="24">
        <v>20</v>
      </c>
      <c r="L2987" s="24">
        <v>120</v>
      </c>
      <c r="M2987" s="23"/>
      <c r="N2987" s="23"/>
      <c r="O2987" s="23"/>
      <c r="P2987" s="23"/>
      <c r="Q2987" s="23"/>
      <c r="R2987" s="23"/>
      <c r="S2987" s="23"/>
      <c r="T2987" s="23"/>
      <c r="U2987" s="23">
        <v>20</v>
      </c>
      <c r="V2987" s="23"/>
      <c r="W2987" s="23"/>
      <c r="X2987" s="23"/>
      <c r="Y2987" s="23"/>
      <c r="Z2987" s="23"/>
      <c r="AA2987" s="23"/>
      <c r="AB2987" s="23"/>
      <c r="AC2987" s="23"/>
      <c r="AD2987" s="23"/>
      <c r="AE2987" s="23"/>
      <c r="AF2987" s="23">
        <v>14</v>
      </c>
      <c r="AG2987" s="23"/>
      <c r="AH2987" s="23"/>
      <c r="AI2987" s="23"/>
      <c r="AJ2987" s="23"/>
      <c r="AK2987" s="23">
        <v>6</v>
      </c>
      <c r="AL2987" s="23"/>
      <c r="AM2987" s="23"/>
      <c r="AN2987" s="23"/>
      <c r="AO2987" s="23"/>
      <c r="AP2987" s="23">
        <v>13</v>
      </c>
      <c r="AQ2987" s="23">
        <v>7</v>
      </c>
      <c r="AR2987" s="23"/>
      <c r="AS2987" s="23"/>
      <c r="AT2987" s="23"/>
      <c r="AU2987" s="14" t="str">
        <f>HYPERLINK("http://www.openstreetmap.org/?mlat=31.9697&amp;mlon=45.4119&amp;zoom=12#map=12/31.9697/45.4119","Maplink1")</f>
        <v>Maplink1</v>
      </c>
      <c r="AV2987" s="14" t="str">
        <f>HYPERLINK("https://www.google.iq/maps/search/+31.9697,45.4119/@31.9697,45.4119,14z?hl=en","Maplink2")</f>
        <v>Maplink2</v>
      </c>
      <c r="AW2987" s="14" t="str">
        <f>HYPERLINK("http://www.bing.com/maps/?lvl=14&amp;sty=h&amp;cp=31.9697~45.4119&amp;sp=point.31.9697_45.4119_Tajamo Al-Mohajreen","Maplink3")</f>
        <v>Maplink3</v>
      </c>
    </row>
    <row r="2988" spans="1:49" ht="15" customHeight="1" x14ac:dyDescent="0.25">
      <c r="A2988" s="21">
        <v>25373</v>
      </c>
      <c r="B2988" s="22" t="s">
        <v>22</v>
      </c>
      <c r="C2988" s="22" t="s">
        <v>5724</v>
      </c>
      <c r="D2988" s="22" t="s">
        <v>5795</v>
      </c>
      <c r="E2988" s="22" t="s">
        <v>5796</v>
      </c>
      <c r="F2988" s="22">
        <v>31.972158</v>
      </c>
      <c r="G2988" s="22">
        <v>45.410905999999997</v>
      </c>
      <c r="H2988" s="21" t="s">
        <v>5725</v>
      </c>
      <c r="I2988" s="21" t="s">
        <v>5726</v>
      </c>
      <c r="J2988" s="21"/>
      <c r="K2988" s="24">
        <v>12</v>
      </c>
      <c r="L2988" s="24">
        <v>72</v>
      </c>
      <c r="M2988" s="23"/>
      <c r="N2988" s="23"/>
      <c r="O2988" s="23"/>
      <c r="P2988" s="23"/>
      <c r="Q2988" s="23"/>
      <c r="R2988" s="23"/>
      <c r="S2988" s="23"/>
      <c r="T2988" s="23"/>
      <c r="U2988" s="23">
        <v>7</v>
      </c>
      <c r="V2988" s="23"/>
      <c r="W2988" s="23"/>
      <c r="X2988" s="23"/>
      <c r="Y2988" s="23">
        <v>4</v>
      </c>
      <c r="Z2988" s="23"/>
      <c r="AA2988" s="23">
        <v>1</v>
      </c>
      <c r="AB2988" s="23"/>
      <c r="AC2988" s="23"/>
      <c r="AD2988" s="23"/>
      <c r="AE2988" s="23"/>
      <c r="AF2988" s="23">
        <v>4</v>
      </c>
      <c r="AG2988" s="23"/>
      <c r="AH2988" s="23">
        <v>4</v>
      </c>
      <c r="AI2988" s="23"/>
      <c r="AJ2988" s="23"/>
      <c r="AK2988" s="23">
        <v>4</v>
      </c>
      <c r="AL2988" s="23"/>
      <c r="AM2988" s="23"/>
      <c r="AN2988" s="23"/>
      <c r="AO2988" s="23"/>
      <c r="AP2988" s="23">
        <v>7</v>
      </c>
      <c r="AQ2988" s="23">
        <v>5</v>
      </c>
      <c r="AR2988" s="23"/>
      <c r="AS2988" s="23"/>
      <c r="AT2988" s="23"/>
      <c r="AU2988" s="14" t="str">
        <f>HYPERLINK("http://www.openstreetmap.org/?mlat=31.9763&amp;mlon=45.4058&amp;zoom=12#map=12/31.9763/45.4058","Maplink1")</f>
        <v>Maplink1</v>
      </c>
      <c r="AV2988" s="14" t="str">
        <f>HYPERLINK("https://www.google.iq/maps/search/+31.9763,45.4058/@31.9763,45.4058,14z?hl=en","Maplink2")</f>
        <v>Maplink2</v>
      </c>
      <c r="AW2988" s="14" t="str">
        <f>HYPERLINK("http://www.bing.com/maps/?lvl=14&amp;sty=h&amp;cp=31.9763~45.4058&amp;sp=point.31.9763_45.4058_Tajamo Al-Shara","Maplink3")</f>
        <v>Maplink3</v>
      </c>
    </row>
    <row r="2989" spans="1:49" ht="15" customHeight="1" x14ac:dyDescent="0.25">
      <c r="A2989" s="21">
        <v>25375</v>
      </c>
      <c r="B2989" s="22" t="s">
        <v>22</v>
      </c>
      <c r="C2989" s="22" t="s">
        <v>5724</v>
      </c>
      <c r="D2989" s="22" t="s">
        <v>5797</v>
      </c>
      <c r="E2989" s="22" t="s">
        <v>5798</v>
      </c>
      <c r="F2989" s="22">
        <v>31.963125000000002</v>
      </c>
      <c r="G2989" s="22">
        <v>45.418784000000002</v>
      </c>
      <c r="H2989" s="21" t="s">
        <v>5725</v>
      </c>
      <c r="I2989" s="21" t="s">
        <v>5726</v>
      </c>
      <c r="J2989" s="21"/>
      <c r="K2989" s="24">
        <v>62</v>
      </c>
      <c r="L2989" s="24">
        <v>372</v>
      </c>
      <c r="M2989" s="23"/>
      <c r="N2989" s="23"/>
      <c r="O2989" s="23"/>
      <c r="P2989" s="23"/>
      <c r="Q2989" s="23"/>
      <c r="R2989" s="23">
        <v>1</v>
      </c>
      <c r="S2989" s="23"/>
      <c r="T2989" s="23"/>
      <c r="U2989" s="23">
        <v>4</v>
      </c>
      <c r="V2989" s="23"/>
      <c r="W2989" s="23"/>
      <c r="X2989" s="23"/>
      <c r="Y2989" s="23">
        <v>57</v>
      </c>
      <c r="Z2989" s="23"/>
      <c r="AA2989" s="23"/>
      <c r="AB2989" s="23"/>
      <c r="AC2989" s="23"/>
      <c r="AD2989" s="23"/>
      <c r="AE2989" s="23"/>
      <c r="AF2989" s="23">
        <v>6</v>
      </c>
      <c r="AG2989" s="23"/>
      <c r="AH2989" s="23"/>
      <c r="AI2989" s="23"/>
      <c r="AJ2989" s="23">
        <v>55</v>
      </c>
      <c r="AK2989" s="23">
        <v>1</v>
      </c>
      <c r="AL2989" s="23"/>
      <c r="AM2989" s="23"/>
      <c r="AN2989" s="23"/>
      <c r="AO2989" s="23"/>
      <c r="AP2989" s="23"/>
      <c r="AQ2989" s="23">
        <v>21</v>
      </c>
      <c r="AR2989" s="23">
        <v>41</v>
      </c>
      <c r="AS2989" s="23"/>
      <c r="AT2989" s="23"/>
      <c r="AU2989" s="14" t="str">
        <f>HYPERLINK("http://www.openstreetmap.org/?mlat=31.9631&amp;mlon=45.4188&amp;zoom=12#map=12/31.9631/45.4188","Maplink1")</f>
        <v>Maplink1</v>
      </c>
      <c r="AV2989" s="14" t="str">
        <f>HYPERLINK("https://www.google.iq/maps/search/+31.9631,45.4188/@31.9631,45.4188,14z?hl=en","Maplink2")</f>
        <v>Maplink2</v>
      </c>
      <c r="AW2989" s="14" t="str">
        <f>HYPERLINK("http://www.bing.com/maps/?lvl=14&amp;sty=h&amp;cp=31.9631~45.4188&amp;sp=point.31.9631_45.4188_Tajamo Zamel","Maplink3")</f>
        <v>Maplink3</v>
      </c>
    </row>
    <row r="2990" spans="1:49" ht="15" customHeight="1" x14ac:dyDescent="0.25">
      <c r="A2990" s="21">
        <v>25561</v>
      </c>
      <c r="B2990" s="22" t="s">
        <v>22</v>
      </c>
      <c r="C2990" s="22" t="s">
        <v>5799</v>
      </c>
      <c r="D2990" s="22" t="s">
        <v>5800</v>
      </c>
      <c r="E2990" s="22" t="s">
        <v>5801</v>
      </c>
      <c r="F2990" s="22">
        <v>32.051122999999997</v>
      </c>
      <c r="G2990" s="22">
        <v>44.558281000000001</v>
      </c>
      <c r="H2990" s="21" t="s">
        <v>5725</v>
      </c>
      <c r="I2990" s="21" t="s">
        <v>5802</v>
      </c>
      <c r="J2990" s="21"/>
      <c r="K2990" s="24">
        <v>10</v>
      </c>
      <c r="L2990" s="24">
        <v>60</v>
      </c>
      <c r="M2990" s="23">
        <v>3</v>
      </c>
      <c r="N2990" s="23"/>
      <c r="O2990" s="23"/>
      <c r="P2990" s="23"/>
      <c r="Q2990" s="23"/>
      <c r="R2990" s="23"/>
      <c r="S2990" s="23"/>
      <c r="T2990" s="23"/>
      <c r="U2990" s="23">
        <v>1</v>
      </c>
      <c r="V2990" s="23"/>
      <c r="W2990" s="23"/>
      <c r="X2990" s="23"/>
      <c r="Y2990" s="23">
        <v>6</v>
      </c>
      <c r="Z2990" s="23"/>
      <c r="AA2990" s="23"/>
      <c r="AB2990" s="23"/>
      <c r="AC2990" s="23"/>
      <c r="AD2990" s="23"/>
      <c r="AE2990" s="23"/>
      <c r="AF2990" s="23">
        <v>4</v>
      </c>
      <c r="AG2990" s="23"/>
      <c r="AH2990" s="23"/>
      <c r="AI2990" s="23"/>
      <c r="AJ2990" s="23"/>
      <c r="AK2990" s="23">
        <v>6</v>
      </c>
      <c r="AL2990" s="23"/>
      <c r="AM2990" s="23"/>
      <c r="AN2990" s="23"/>
      <c r="AO2990" s="23"/>
      <c r="AP2990" s="23">
        <v>1</v>
      </c>
      <c r="AQ2990" s="23">
        <v>6</v>
      </c>
      <c r="AR2990" s="23">
        <v>1</v>
      </c>
      <c r="AS2990" s="23">
        <v>2</v>
      </c>
      <c r="AT2990" s="23"/>
      <c r="AU2990" s="14" t="str">
        <f>HYPERLINK("http://www.openstreetmap.org/?mlat=32.0511&amp;mlon=44.5583&amp;zoom=12#map=12/32.0511/44.5583","Maplink1")</f>
        <v>Maplink1</v>
      </c>
      <c r="AV2990" s="14" t="str">
        <f>HYPERLINK("https://www.google.iq/maps/search/+32.0511,44.5583/@32.0511,44.5583,14z?hl=en","Maplink2")</f>
        <v>Maplink2</v>
      </c>
      <c r="AW2990" s="14" t="str">
        <f>HYPERLINK("http://www.bing.com/maps/?lvl=14&amp;sty=h&amp;cp=32.0511~44.5583&amp;sp=point.32.0511_44.5583_Abu Kufoof Al-jenobi","Maplink3")</f>
        <v>Maplink3</v>
      </c>
    </row>
    <row r="2991" spans="1:49" ht="15" customHeight="1" x14ac:dyDescent="0.25">
      <c r="A2991" s="21">
        <v>25505</v>
      </c>
      <c r="B2991" s="22" t="s">
        <v>22</v>
      </c>
      <c r="C2991" s="22" t="s">
        <v>5799</v>
      </c>
      <c r="D2991" s="22" t="s">
        <v>5803</v>
      </c>
      <c r="E2991" s="22" t="s">
        <v>5804</v>
      </c>
      <c r="F2991" s="22">
        <v>32.055610000000001</v>
      </c>
      <c r="G2991" s="22">
        <v>44.561194</v>
      </c>
      <c r="H2991" s="21" t="s">
        <v>5725</v>
      </c>
      <c r="I2991" s="21" t="s">
        <v>5802</v>
      </c>
      <c r="J2991" s="21"/>
      <c r="K2991" s="24">
        <v>13</v>
      </c>
      <c r="L2991" s="24">
        <v>78</v>
      </c>
      <c r="M2991" s="23">
        <v>4</v>
      </c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>
        <v>9</v>
      </c>
      <c r="Z2991" s="23"/>
      <c r="AA2991" s="23"/>
      <c r="AB2991" s="23"/>
      <c r="AC2991" s="23"/>
      <c r="AD2991" s="23"/>
      <c r="AE2991" s="23"/>
      <c r="AF2991" s="23">
        <v>5</v>
      </c>
      <c r="AG2991" s="23"/>
      <c r="AH2991" s="23"/>
      <c r="AI2991" s="23"/>
      <c r="AJ2991" s="23"/>
      <c r="AK2991" s="23">
        <v>8</v>
      </c>
      <c r="AL2991" s="23"/>
      <c r="AM2991" s="23"/>
      <c r="AN2991" s="23"/>
      <c r="AO2991" s="23"/>
      <c r="AP2991" s="23">
        <v>8</v>
      </c>
      <c r="AQ2991" s="23">
        <v>1</v>
      </c>
      <c r="AR2991" s="23"/>
      <c r="AS2991" s="23">
        <v>4</v>
      </c>
      <c r="AT2991" s="23"/>
      <c r="AU2991" s="14" t="str">
        <f>HYPERLINK("http://www.openstreetmap.org/?mlat=32.0556&amp;mlon=44.5612&amp;zoom=12#map=12/32.0556/44.5612","Maplink1")</f>
        <v>Maplink1</v>
      </c>
      <c r="AV2991" s="14" t="str">
        <f>HYPERLINK("https://www.google.iq/maps/search/+32.0556,44.5612/@32.0556,44.5612,14z?hl=en","Maplink2")</f>
        <v>Maplink2</v>
      </c>
      <c r="AW2991" s="14" t="str">
        <f>HYPERLINK("http://www.bing.com/maps/?lvl=14&amp;sty=h&amp;cp=32.0556~44.5612&amp;sp=point.32.0556_44.5612_Ager village","Maplink3")</f>
        <v>Maplink3</v>
      </c>
    </row>
    <row r="2992" spans="1:49" ht="15" customHeight="1" x14ac:dyDescent="0.25">
      <c r="A2992" s="21">
        <v>25911</v>
      </c>
      <c r="B2992" s="22" t="s">
        <v>22</v>
      </c>
      <c r="C2992" s="22" t="s">
        <v>5799</v>
      </c>
      <c r="D2992" s="22" t="s">
        <v>5811</v>
      </c>
      <c r="E2992" s="22" t="s">
        <v>5812</v>
      </c>
      <c r="F2992" s="22">
        <v>32.054340000000003</v>
      </c>
      <c r="G2992" s="22">
        <v>44.552684999999997</v>
      </c>
      <c r="H2992" s="21" t="s">
        <v>5725</v>
      </c>
      <c r="I2992" s="21" t="s">
        <v>5802</v>
      </c>
      <c r="J2992" s="21"/>
      <c r="K2992" s="24">
        <v>4</v>
      </c>
      <c r="L2992" s="24">
        <v>24</v>
      </c>
      <c r="M2992" s="23"/>
      <c r="N2992" s="23"/>
      <c r="O2992" s="23"/>
      <c r="P2992" s="23"/>
      <c r="Q2992" s="23"/>
      <c r="R2992" s="23"/>
      <c r="S2992" s="23"/>
      <c r="T2992" s="23"/>
      <c r="U2992" s="23">
        <v>2</v>
      </c>
      <c r="V2992" s="23"/>
      <c r="W2992" s="23"/>
      <c r="X2992" s="23"/>
      <c r="Y2992" s="23">
        <v>2</v>
      </c>
      <c r="Z2992" s="23"/>
      <c r="AA2992" s="23"/>
      <c r="AB2992" s="23"/>
      <c r="AC2992" s="23"/>
      <c r="AD2992" s="23"/>
      <c r="AE2992" s="23"/>
      <c r="AF2992" s="23">
        <v>3</v>
      </c>
      <c r="AG2992" s="23"/>
      <c r="AH2992" s="23"/>
      <c r="AI2992" s="23"/>
      <c r="AJ2992" s="23"/>
      <c r="AK2992" s="23">
        <v>1</v>
      </c>
      <c r="AL2992" s="23"/>
      <c r="AM2992" s="23"/>
      <c r="AN2992" s="23"/>
      <c r="AO2992" s="23"/>
      <c r="AP2992" s="23">
        <v>2</v>
      </c>
      <c r="AQ2992" s="23">
        <v>2</v>
      </c>
      <c r="AR2992" s="23"/>
      <c r="AS2992" s="23"/>
      <c r="AT2992" s="23"/>
      <c r="AU2992" s="14" t="str">
        <f>HYPERLINK("http://www.openstreetmap.org/?mlat=32.0543&amp;mlon=44.5527&amp;zoom=12#map=12/32.0543/44.5527","Maplink1")</f>
        <v>Maplink1</v>
      </c>
      <c r="AV2992" s="14" t="str">
        <f>HYPERLINK("https://www.google.iq/maps/search/+32.0543,44.5527/@32.0543,44.5527,14z?hl=en","Maplink2")</f>
        <v>Maplink2</v>
      </c>
      <c r="AW2992" s="14" t="str">
        <f>HYPERLINK("http://www.bing.com/maps/?lvl=14&amp;sty=h&amp;cp=32.0543~44.5527&amp;sp=point.32.0543_44.5527_Al-Alwa Village","Maplink3")</f>
        <v>Maplink3</v>
      </c>
    </row>
    <row r="2993" spans="1:49" ht="15" customHeight="1" x14ac:dyDescent="0.25">
      <c r="A2993" s="21">
        <v>25279</v>
      </c>
      <c r="B2993" s="22" t="s">
        <v>22</v>
      </c>
      <c r="C2993" s="22" t="s">
        <v>5799</v>
      </c>
      <c r="D2993" s="22" t="s">
        <v>7356</v>
      </c>
      <c r="E2993" s="22" t="s">
        <v>5823</v>
      </c>
      <c r="F2993" s="22">
        <v>31.800844000000001</v>
      </c>
      <c r="G2993" s="22">
        <v>44.584910000000001</v>
      </c>
      <c r="H2993" s="21" t="s">
        <v>5725</v>
      </c>
      <c r="I2993" s="21" t="s">
        <v>5802</v>
      </c>
      <c r="J2993" s="21"/>
      <c r="K2993" s="24">
        <v>20</v>
      </c>
      <c r="L2993" s="24">
        <v>120</v>
      </c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>
        <v>20</v>
      </c>
      <c r="Z2993" s="23"/>
      <c r="AA2993" s="23"/>
      <c r="AB2993" s="23"/>
      <c r="AC2993" s="23"/>
      <c r="AD2993" s="23"/>
      <c r="AE2993" s="23"/>
      <c r="AF2993" s="23"/>
      <c r="AG2993" s="23"/>
      <c r="AH2993" s="23"/>
      <c r="AI2993" s="23"/>
      <c r="AJ2993" s="23"/>
      <c r="AK2993" s="23">
        <v>4</v>
      </c>
      <c r="AL2993" s="23"/>
      <c r="AM2993" s="23">
        <v>16</v>
      </c>
      <c r="AN2993" s="23"/>
      <c r="AO2993" s="23"/>
      <c r="AP2993" s="23">
        <v>8</v>
      </c>
      <c r="AQ2993" s="23">
        <v>12</v>
      </c>
      <c r="AR2993" s="23"/>
      <c r="AS2993" s="23"/>
      <c r="AT2993" s="23"/>
      <c r="AU2993" s="14" t="str">
        <f>HYPERLINK("http://www.openstreetmap.org/?mlat=31.8008&amp;mlon=44.5849&amp;zoom=12#map=12/31.8008/44.5849","Maplink1")</f>
        <v>Maplink1</v>
      </c>
      <c r="AV2993" s="14" t="str">
        <f>HYPERLINK("https://www.google.iq/maps/search/+31.8008,44.5849/@31.8008,44.5849,14z?hl=en","Maplink2")</f>
        <v>Maplink2</v>
      </c>
      <c r="AW2993" s="14" t="str">
        <f>HYPERLINK("http://www.bing.com/maps/?lvl=14&amp;sty=h&amp;cp=31.8008~44.5849&amp;sp=point.31.8008_44.5849_Gmas-Al-Asaia Village","Maplink3")</f>
        <v>Maplink3</v>
      </c>
    </row>
    <row r="2994" spans="1:49" ht="15" customHeight="1" x14ac:dyDescent="0.25">
      <c r="A2994" s="21">
        <v>25914</v>
      </c>
      <c r="B2994" s="22" t="s">
        <v>22</v>
      </c>
      <c r="C2994" s="22" t="s">
        <v>5799</v>
      </c>
      <c r="D2994" s="22" t="s">
        <v>5813</v>
      </c>
      <c r="E2994" s="22" t="s">
        <v>5814</v>
      </c>
      <c r="F2994" s="22">
        <v>32.01708</v>
      </c>
      <c r="G2994" s="22">
        <v>44.547376999999997</v>
      </c>
      <c r="H2994" s="21" t="s">
        <v>5725</v>
      </c>
      <c r="I2994" s="21" t="s">
        <v>5802</v>
      </c>
      <c r="J2994" s="21"/>
      <c r="K2994" s="24">
        <v>10</v>
      </c>
      <c r="L2994" s="24">
        <v>60</v>
      </c>
      <c r="M2994" s="23"/>
      <c r="N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>
        <v>10</v>
      </c>
      <c r="Z2994" s="23"/>
      <c r="AA2994" s="23"/>
      <c r="AB2994" s="23"/>
      <c r="AC2994" s="23"/>
      <c r="AD2994" s="23"/>
      <c r="AE2994" s="23"/>
      <c r="AF2994" s="23">
        <v>5</v>
      </c>
      <c r="AG2994" s="23"/>
      <c r="AH2994" s="23"/>
      <c r="AI2994" s="23"/>
      <c r="AJ2994" s="23">
        <v>5</v>
      </c>
      <c r="AK2994" s="23"/>
      <c r="AL2994" s="23"/>
      <c r="AM2994" s="23"/>
      <c r="AN2994" s="23"/>
      <c r="AO2994" s="23"/>
      <c r="AP2994" s="23">
        <v>9</v>
      </c>
      <c r="AQ2994" s="23">
        <v>1</v>
      </c>
      <c r="AR2994" s="23"/>
      <c r="AS2994" s="23"/>
      <c r="AT2994" s="23"/>
      <c r="AU2994" s="14" t="str">
        <f>HYPERLINK("http://www.openstreetmap.org/?mlat=32.0171&amp;mlon=44.5474&amp;zoom=12#map=12/32.0171/44.5474","Maplink1")</f>
        <v>Maplink1</v>
      </c>
      <c r="AV2994" s="14" t="str">
        <f>HYPERLINK("https://www.google.iq/maps/search/+32.0171,44.5474/@32.0171,44.5474,14z?hl=en","Maplink2")</f>
        <v>Maplink2</v>
      </c>
      <c r="AW2994" s="14" t="str">
        <f>HYPERLINK("http://www.bing.com/maps/?lvl=14&amp;sty=h&amp;cp=32.0171~44.5474&amp;sp=point.32.0171_44.5474_Al-Felahi","Maplink3")</f>
        <v>Maplink3</v>
      </c>
    </row>
    <row r="2995" spans="1:49" ht="15" customHeight="1" x14ac:dyDescent="0.25">
      <c r="A2995" s="21">
        <v>2998</v>
      </c>
      <c r="B2995" s="22" t="s">
        <v>22</v>
      </c>
      <c r="C2995" s="22" t="s">
        <v>5799</v>
      </c>
      <c r="D2995" s="22" t="s">
        <v>5815</v>
      </c>
      <c r="E2995" s="22" t="s">
        <v>5816</v>
      </c>
      <c r="F2995" s="22">
        <v>32.016666999999998</v>
      </c>
      <c r="G2995" s="22">
        <v>44.538611000000003</v>
      </c>
      <c r="H2995" s="21" t="s">
        <v>5725</v>
      </c>
      <c r="I2995" s="21" t="s">
        <v>5802</v>
      </c>
      <c r="J2995" s="21" t="s">
        <v>5817</v>
      </c>
      <c r="K2995" s="24">
        <v>9</v>
      </c>
      <c r="L2995" s="24">
        <v>54</v>
      </c>
      <c r="M2995" s="23"/>
      <c r="N2995" s="23"/>
      <c r="O2995" s="23"/>
      <c r="P2995" s="23"/>
      <c r="Q2995" s="23"/>
      <c r="R2995" s="23"/>
      <c r="S2995" s="23"/>
      <c r="T2995" s="23"/>
      <c r="U2995" s="23">
        <v>2</v>
      </c>
      <c r="V2995" s="23"/>
      <c r="W2995" s="23"/>
      <c r="X2995" s="23"/>
      <c r="Y2995" s="23">
        <v>7</v>
      </c>
      <c r="Z2995" s="23"/>
      <c r="AA2995" s="23"/>
      <c r="AB2995" s="23"/>
      <c r="AC2995" s="23"/>
      <c r="AD2995" s="23"/>
      <c r="AE2995" s="23"/>
      <c r="AF2995" s="23">
        <v>4</v>
      </c>
      <c r="AG2995" s="23"/>
      <c r="AH2995" s="23"/>
      <c r="AI2995" s="23"/>
      <c r="AJ2995" s="23">
        <v>4</v>
      </c>
      <c r="AK2995" s="23">
        <v>1</v>
      </c>
      <c r="AL2995" s="23"/>
      <c r="AM2995" s="23"/>
      <c r="AN2995" s="23"/>
      <c r="AO2995" s="23"/>
      <c r="AP2995" s="23">
        <v>6</v>
      </c>
      <c r="AQ2995" s="23">
        <v>3</v>
      </c>
      <c r="AR2995" s="23"/>
      <c r="AS2995" s="23"/>
      <c r="AT2995" s="23"/>
      <c r="AU2995" s="14" t="str">
        <f>HYPERLINK("http://www.openstreetmap.org/?mlat=32.0167&amp;mlon=44.5386&amp;zoom=12#map=12/32.0167/44.5386","Maplink1")</f>
        <v>Maplink1</v>
      </c>
      <c r="AV2995" s="14" t="str">
        <f>HYPERLINK("https://www.google.iq/maps/search/+32.0167,44.5386/@32.0167,44.5386,14z?hl=en","Maplink2")</f>
        <v>Maplink2</v>
      </c>
      <c r="AW2995" s="14" t="str">
        <f>HYPERLINK("http://www.bing.com/maps/?lvl=14&amp;sty=h&amp;cp=32.0167~44.5386&amp;sp=point.32.0167_44.5386_Al-ghrabia","Maplink3")</f>
        <v>Maplink3</v>
      </c>
    </row>
    <row r="2996" spans="1:49" ht="15" customHeight="1" x14ac:dyDescent="0.25">
      <c r="A2996" s="21">
        <v>25558</v>
      </c>
      <c r="B2996" s="22" t="s">
        <v>22</v>
      </c>
      <c r="C2996" s="22" t="s">
        <v>5799</v>
      </c>
      <c r="D2996" s="22" t="s">
        <v>9034</v>
      </c>
      <c r="E2996" s="22" t="s">
        <v>9035</v>
      </c>
      <c r="F2996" s="22">
        <v>31.955155999999999</v>
      </c>
      <c r="G2996" s="22">
        <v>44.602753999999997</v>
      </c>
      <c r="H2996" s="21" t="s">
        <v>5725</v>
      </c>
      <c r="I2996" s="21" t="s">
        <v>5802</v>
      </c>
      <c r="J2996" s="21"/>
      <c r="K2996" s="24">
        <v>13</v>
      </c>
      <c r="L2996" s="24">
        <v>78</v>
      </c>
      <c r="M2996" s="23">
        <v>4</v>
      </c>
      <c r="N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>
        <v>9</v>
      </c>
      <c r="Z2996" s="23"/>
      <c r="AA2996" s="23"/>
      <c r="AB2996" s="23"/>
      <c r="AC2996" s="23"/>
      <c r="AD2996" s="23"/>
      <c r="AE2996" s="23"/>
      <c r="AF2996" s="23">
        <v>10</v>
      </c>
      <c r="AG2996" s="23"/>
      <c r="AH2996" s="23"/>
      <c r="AI2996" s="23"/>
      <c r="AJ2996" s="23"/>
      <c r="AK2996" s="23">
        <v>3</v>
      </c>
      <c r="AL2996" s="23"/>
      <c r="AM2996" s="23"/>
      <c r="AN2996" s="23"/>
      <c r="AO2996" s="23"/>
      <c r="AP2996" s="23"/>
      <c r="AQ2996" s="23">
        <v>9</v>
      </c>
      <c r="AR2996" s="23"/>
      <c r="AS2996" s="23">
        <v>4</v>
      </c>
      <c r="AT2996" s="23"/>
      <c r="AU2996" s="14" t="str">
        <f>HYPERLINK("http://www.openstreetmap.org/?mlat=31.9552&amp;mlon=44.6028&amp;zoom=12#map=12/31.9552/44.6028","Maplink1")</f>
        <v>Maplink1</v>
      </c>
      <c r="AV2996" s="14" t="str">
        <f>HYPERLINK("https://www.google.iq/maps/search/+31.9552,44.6028/@31.9552,44.6028,14z?hl=en","Maplink2")</f>
        <v>Maplink2</v>
      </c>
      <c r="AW2996" s="14" t="str">
        <f>HYPERLINK("http://www.bing.com/maps/?lvl=14&amp;sty=h&amp;cp=31.9552~44.6028&amp;sp=point.31.9552_44.6028_Al-Warshai Village","Maplink3")</f>
        <v>Maplink3</v>
      </c>
    </row>
    <row r="2997" spans="1:49" ht="15" customHeight="1" x14ac:dyDescent="0.25">
      <c r="A2997" s="21">
        <v>25858</v>
      </c>
      <c r="B2997" s="22" t="s">
        <v>22</v>
      </c>
      <c r="C2997" s="22" t="s">
        <v>5799</v>
      </c>
      <c r="D2997" s="22" t="s">
        <v>5819</v>
      </c>
      <c r="E2997" s="22" t="s">
        <v>5820</v>
      </c>
      <c r="F2997" s="22">
        <v>31.730039999999999</v>
      </c>
      <c r="G2997" s="22">
        <v>44.602265000000003</v>
      </c>
      <c r="H2997" s="21" t="s">
        <v>5725</v>
      </c>
      <c r="I2997" s="21" t="s">
        <v>5802</v>
      </c>
      <c r="J2997" s="21"/>
      <c r="K2997" s="24">
        <v>20</v>
      </c>
      <c r="L2997" s="24">
        <v>120</v>
      </c>
      <c r="M2997" s="23">
        <v>5</v>
      </c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>
        <v>15</v>
      </c>
      <c r="Z2997" s="23"/>
      <c r="AA2997" s="23"/>
      <c r="AB2997" s="23"/>
      <c r="AC2997" s="23"/>
      <c r="AD2997" s="23"/>
      <c r="AE2997" s="23"/>
      <c r="AF2997" s="23">
        <v>9</v>
      </c>
      <c r="AG2997" s="23"/>
      <c r="AH2997" s="23"/>
      <c r="AI2997" s="23"/>
      <c r="AJ2997" s="23"/>
      <c r="AK2997" s="23">
        <v>11</v>
      </c>
      <c r="AL2997" s="23"/>
      <c r="AM2997" s="23"/>
      <c r="AN2997" s="23"/>
      <c r="AO2997" s="23"/>
      <c r="AP2997" s="23"/>
      <c r="AQ2997" s="23">
        <v>15</v>
      </c>
      <c r="AR2997" s="23">
        <v>3</v>
      </c>
      <c r="AS2997" s="23">
        <v>2</v>
      </c>
      <c r="AT2997" s="23"/>
      <c r="AU2997" s="14" t="str">
        <f>HYPERLINK("http://www.openstreetmap.org/?mlat=31.73&amp;mlon=44.6023&amp;zoom=12#map=12/31.73/44.6023","Maplink1")</f>
        <v>Maplink1</v>
      </c>
      <c r="AV2997" s="14" t="str">
        <f>HYPERLINK("https://www.google.iq/maps/search/+31.73,44.6023/@31.73,44.6023,14z?hl=en","Maplink2")</f>
        <v>Maplink2</v>
      </c>
      <c r="AW2997" s="14" t="str">
        <f>HYPERLINK("http://www.bing.com/maps/?lvl=14&amp;sty=h&amp;cp=31.73~44.6023&amp;sp=point.31.73_44.6023_Ghammas Al-Garb","Maplink3")</f>
        <v>Maplink3</v>
      </c>
    </row>
    <row r="2998" spans="1:49" ht="15" customHeight="1" x14ac:dyDescent="0.25">
      <c r="A2998" s="21">
        <v>25857</v>
      </c>
      <c r="B2998" s="22" t="s">
        <v>22</v>
      </c>
      <c r="C2998" s="22" t="s">
        <v>5799</v>
      </c>
      <c r="D2998" s="22" t="s">
        <v>5821</v>
      </c>
      <c r="E2998" s="22" t="s">
        <v>5822</v>
      </c>
      <c r="F2998" s="22">
        <v>31.733619999999998</v>
      </c>
      <c r="G2998" s="22">
        <v>44.605342</v>
      </c>
      <c r="H2998" s="21" t="s">
        <v>5725</v>
      </c>
      <c r="I2998" s="21" t="s">
        <v>5802</v>
      </c>
      <c r="J2998" s="21"/>
      <c r="K2998" s="24">
        <v>14</v>
      </c>
      <c r="L2998" s="24">
        <v>84</v>
      </c>
      <c r="M2998" s="23"/>
      <c r="N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>
        <v>14</v>
      </c>
      <c r="Z2998" s="23"/>
      <c r="AA2998" s="23"/>
      <c r="AB2998" s="23"/>
      <c r="AC2998" s="23"/>
      <c r="AD2998" s="23"/>
      <c r="AE2998" s="23"/>
      <c r="AF2998" s="23">
        <v>5</v>
      </c>
      <c r="AG2998" s="23"/>
      <c r="AH2998" s="23"/>
      <c r="AI2998" s="23"/>
      <c r="AJ2998" s="23"/>
      <c r="AK2998" s="23">
        <v>9</v>
      </c>
      <c r="AL2998" s="23"/>
      <c r="AM2998" s="23"/>
      <c r="AN2998" s="23"/>
      <c r="AO2998" s="23"/>
      <c r="AP2998" s="23"/>
      <c r="AQ2998" s="23">
        <v>14</v>
      </c>
      <c r="AR2998" s="23"/>
      <c r="AS2998" s="23"/>
      <c r="AT2998" s="23"/>
      <c r="AU2998" s="14" t="str">
        <f>HYPERLINK("http://www.openstreetmap.org/?mlat=31.7336&amp;mlon=44.6053&amp;zoom=12#map=12/31.7336/44.6053","Maplink1")</f>
        <v>Maplink1</v>
      </c>
      <c r="AV2998" s="14" t="str">
        <f>HYPERLINK("https://www.google.iq/maps/search/+31.7336,44.6053/@31.7336,44.6053,14z?hl=en","Maplink2")</f>
        <v>Maplink2</v>
      </c>
      <c r="AW2998" s="14" t="str">
        <f>HYPERLINK("http://www.bing.com/maps/?lvl=14&amp;sty=h&amp;cp=31.7336~44.6053&amp;sp=point.31.7336_44.6053_Ghammas Al-Sharq","Maplink3")</f>
        <v>Maplink3</v>
      </c>
    </row>
    <row r="2999" spans="1:49" ht="15" customHeight="1" x14ac:dyDescent="0.25">
      <c r="A2999" s="21">
        <v>2459</v>
      </c>
      <c r="B2999" s="22" t="s">
        <v>22</v>
      </c>
      <c r="C2999" s="22" t="s">
        <v>5799</v>
      </c>
      <c r="D2999" s="22" t="s">
        <v>7357</v>
      </c>
      <c r="E2999" s="22" t="s">
        <v>5824</v>
      </c>
      <c r="F2999" s="22">
        <v>31.758056</v>
      </c>
      <c r="G2999" s="22">
        <v>44.596111000000001</v>
      </c>
      <c r="H2999" s="21" t="s">
        <v>5725</v>
      </c>
      <c r="I2999" s="21" t="s">
        <v>5802</v>
      </c>
      <c r="J2999" s="21" t="s">
        <v>5825</v>
      </c>
      <c r="K2999" s="24">
        <v>50</v>
      </c>
      <c r="L2999" s="24">
        <v>300</v>
      </c>
      <c r="M2999" s="23"/>
      <c r="N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>
        <v>50</v>
      </c>
      <c r="Z2999" s="23"/>
      <c r="AA2999" s="23"/>
      <c r="AB2999" s="23"/>
      <c r="AC2999" s="23"/>
      <c r="AD2999" s="23"/>
      <c r="AE2999" s="23"/>
      <c r="AF2999" s="23">
        <v>9</v>
      </c>
      <c r="AG2999" s="23"/>
      <c r="AH2999" s="23"/>
      <c r="AI2999" s="23"/>
      <c r="AJ2999" s="23">
        <v>34</v>
      </c>
      <c r="AK2999" s="23">
        <v>7</v>
      </c>
      <c r="AL2999" s="23"/>
      <c r="AM2999" s="23"/>
      <c r="AN2999" s="23"/>
      <c r="AO2999" s="23"/>
      <c r="AP2999" s="23">
        <v>22</v>
      </c>
      <c r="AQ2999" s="23">
        <v>28</v>
      </c>
      <c r="AR2999" s="23"/>
      <c r="AS2999" s="23"/>
      <c r="AT2999" s="23"/>
      <c r="AU2999" s="14" t="str">
        <f>HYPERLINK("http://www.openstreetmap.org/?mlat=31.7581&amp;mlon=44.5961&amp;zoom=12#map=12/31.7581/44.5961","Maplink1")</f>
        <v>Maplink1</v>
      </c>
      <c r="AV2999" s="14" t="str">
        <f>HYPERLINK("https://www.google.iq/maps/search/+31.7581,44.5961/@31.7581,44.5961,14z?hl=en","Maplink2")</f>
        <v>Maplink2</v>
      </c>
      <c r="AW2999" s="14" t="str">
        <f>HYPERLINK("http://www.bing.com/maps/?lvl=14&amp;sty=h&amp;cp=31.7581~44.5961&amp;sp=point.31.7581_44.5961_Hawy","Maplink3")</f>
        <v>Maplink3</v>
      </c>
    </row>
    <row r="3000" spans="1:49" ht="15" customHeight="1" x14ac:dyDescent="0.25">
      <c r="A3000" s="21">
        <v>22593</v>
      </c>
      <c r="B3000" s="22" t="s">
        <v>22</v>
      </c>
      <c r="C3000" s="22" t="s">
        <v>5799</v>
      </c>
      <c r="D3000" s="22" t="s">
        <v>7358</v>
      </c>
      <c r="E3000" s="22" t="s">
        <v>8085</v>
      </c>
      <c r="F3000" s="22">
        <v>31.745902999999998</v>
      </c>
      <c r="G3000" s="22">
        <v>44.618322999999997</v>
      </c>
      <c r="H3000" s="21" t="s">
        <v>5725</v>
      </c>
      <c r="I3000" s="21" t="s">
        <v>5802</v>
      </c>
      <c r="J3000" s="21" t="s">
        <v>5826</v>
      </c>
      <c r="K3000" s="24">
        <v>46</v>
      </c>
      <c r="L3000" s="24">
        <v>276</v>
      </c>
      <c r="M3000" s="23">
        <v>3</v>
      </c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43</v>
      </c>
      <c r="Z3000" s="23"/>
      <c r="AA3000" s="23"/>
      <c r="AB3000" s="23"/>
      <c r="AC3000" s="23"/>
      <c r="AD3000" s="23"/>
      <c r="AE3000" s="23"/>
      <c r="AF3000" s="23">
        <v>15</v>
      </c>
      <c r="AG3000" s="23"/>
      <c r="AH3000" s="23"/>
      <c r="AI3000" s="23"/>
      <c r="AJ3000" s="23">
        <v>8</v>
      </c>
      <c r="AK3000" s="23">
        <v>21</v>
      </c>
      <c r="AL3000" s="23"/>
      <c r="AM3000" s="23">
        <v>2</v>
      </c>
      <c r="AN3000" s="23"/>
      <c r="AO3000" s="23"/>
      <c r="AP3000" s="23"/>
      <c r="AQ3000" s="23">
        <v>43</v>
      </c>
      <c r="AR3000" s="23">
        <v>3</v>
      </c>
      <c r="AS3000" s="23"/>
      <c r="AT3000" s="23"/>
      <c r="AU3000" s="14" t="str">
        <f>HYPERLINK("http://www.openstreetmap.org/?mlat=31.7459&amp;mlon=44.6183&amp;zoom=12#map=12/31.7459/44.6183","Maplink1")</f>
        <v>Maplink1</v>
      </c>
      <c r="AV3000" s="14" t="str">
        <f>HYPERLINK("https://www.google.iq/maps/search/+31.7459,44.6183/@31.7459,44.6183,14z?hl=en","Maplink2")</f>
        <v>Maplink2</v>
      </c>
      <c r="AW3000" s="14" t="str">
        <f>HYPERLINK("http://www.bing.com/maps/?lvl=14&amp;sty=h&amp;cp=31.7459~44.6183&amp;sp=point.31.7459_44.6183_Hay Al Tabqa-Shamiyah","Maplink3")</f>
        <v>Maplink3</v>
      </c>
    </row>
    <row r="3001" spans="1:49" ht="15" customHeight="1" x14ac:dyDescent="0.25">
      <c r="A3001" s="21">
        <v>25910</v>
      </c>
      <c r="B3001" s="22" t="s">
        <v>22</v>
      </c>
      <c r="C3001" s="22" t="s">
        <v>5799</v>
      </c>
      <c r="D3001" s="22" t="s">
        <v>7359</v>
      </c>
      <c r="E3001" s="22" t="s">
        <v>995</v>
      </c>
      <c r="F3001" s="22">
        <v>32.049297000000003</v>
      </c>
      <c r="G3001" s="22">
        <v>44.562963000000003</v>
      </c>
      <c r="H3001" s="21" t="s">
        <v>5725</v>
      </c>
      <c r="I3001" s="21" t="s">
        <v>5802</v>
      </c>
      <c r="J3001" s="21"/>
      <c r="K3001" s="24">
        <v>7</v>
      </c>
      <c r="L3001" s="24">
        <v>42</v>
      </c>
      <c r="M3001" s="23">
        <v>6</v>
      </c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>
        <v>1</v>
      </c>
      <c r="Z3001" s="23"/>
      <c r="AA3001" s="23"/>
      <c r="AB3001" s="23"/>
      <c r="AC3001" s="23"/>
      <c r="AD3001" s="23"/>
      <c r="AE3001" s="23"/>
      <c r="AF3001" s="23">
        <v>2</v>
      </c>
      <c r="AG3001" s="23"/>
      <c r="AH3001" s="23"/>
      <c r="AI3001" s="23"/>
      <c r="AJ3001" s="23"/>
      <c r="AK3001" s="23">
        <v>5</v>
      </c>
      <c r="AL3001" s="23"/>
      <c r="AM3001" s="23"/>
      <c r="AN3001" s="23"/>
      <c r="AO3001" s="23"/>
      <c r="AP3001" s="23"/>
      <c r="AQ3001" s="23">
        <v>1</v>
      </c>
      <c r="AR3001" s="23">
        <v>3</v>
      </c>
      <c r="AS3001" s="23">
        <v>3</v>
      </c>
      <c r="AT3001" s="23"/>
      <c r="AU3001" s="14" t="str">
        <f>HYPERLINK("http://www.openstreetmap.org/?mlat=32.0493&amp;mlon=44.563&amp;zoom=12#map=12/32.0493/44.563","Maplink1")</f>
        <v>Maplink1</v>
      </c>
      <c r="AV3001" s="14" t="str">
        <f>HYPERLINK("https://www.google.iq/maps/search/+32.0493,44.563/@32.0493,44.563,14z?hl=en","Maplink2")</f>
        <v>Maplink2</v>
      </c>
      <c r="AW3001" s="14" t="str">
        <f>HYPERLINK("http://www.bing.com/maps/?lvl=14&amp;sty=h&amp;cp=32.0493~44.563&amp;sp=point.32.0493_44.563_Al-Mihanawiya-Hay Al- Hussein","Maplink3")</f>
        <v>Maplink3</v>
      </c>
    </row>
    <row r="3002" spans="1:49" ht="15" customHeight="1" x14ac:dyDescent="0.25">
      <c r="A3002" s="21">
        <v>2749</v>
      </c>
      <c r="B3002" s="22" t="s">
        <v>22</v>
      </c>
      <c r="C3002" s="22" t="s">
        <v>5799</v>
      </c>
      <c r="D3002" s="22" t="s">
        <v>7360</v>
      </c>
      <c r="E3002" s="22" t="s">
        <v>5807</v>
      </c>
      <c r="F3002" s="22">
        <v>31.959444000000001</v>
      </c>
      <c r="G3002" s="22">
        <v>44.594721999999997</v>
      </c>
      <c r="H3002" s="21" t="s">
        <v>5725</v>
      </c>
      <c r="I3002" s="21" t="s">
        <v>5802</v>
      </c>
      <c r="J3002" s="21" t="s">
        <v>5808</v>
      </c>
      <c r="K3002" s="24">
        <v>60</v>
      </c>
      <c r="L3002" s="24">
        <v>360</v>
      </c>
      <c r="M3002" s="23">
        <v>5</v>
      </c>
      <c r="N3002" s="23"/>
      <c r="O3002" s="23"/>
      <c r="P3002" s="23"/>
      <c r="Q3002" s="23"/>
      <c r="R3002" s="23"/>
      <c r="S3002" s="23"/>
      <c r="T3002" s="23"/>
      <c r="U3002" s="23">
        <v>1</v>
      </c>
      <c r="V3002" s="23"/>
      <c r="W3002" s="23"/>
      <c r="X3002" s="23"/>
      <c r="Y3002" s="23">
        <v>50</v>
      </c>
      <c r="Z3002" s="23"/>
      <c r="AA3002" s="23">
        <v>4</v>
      </c>
      <c r="AB3002" s="23"/>
      <c r="AC3002" s="23"/>
      <c r="AD3002" s="23"/>
      <c r="AE3002" s="23"/>
      <c r="AF3002" s="23">
        <v>10</v>
      </c>
      <c r="AG3002" s="23"/>
      <c r="AH3002" s="23"/>
      <c r="AI3002" s="23"/>
      <c r="AJ3002" s="23">
        <v>30</v>
      </c>
      <c r="AK3002" s="23">
        <v>20</v>
      </c>
      <c r="AL3002" s="23"/>
      <c r="AM3002" s="23"/>
      <c r="AN3002" s="23"/>
      <c r="AO3002" s="23"/>
      <c r="AP3002" s="23">
        <v>27</v>
      </c>
      <c r="AQ3002" s="23">
        <v>26</v>
      </c>
      <c r="AR3002" s="23">
        <v>7</v>
      </c>
      <c r="AS3002" s="23"/>
      <c r="AT3002" s="23"/>
      <c r="AU3002" s="14" t="str">
        <f>HYPERLINK("http://www.openstreetmap.org/?mlat=31.9594&amp;mlon=44.5947&amp;zoom=12#map=12/31.9594/44.5947","Maplink1")</f>
        <v>Maplink1</v>
      </c>
      <c r="AV3002" s="14" t="str">
        <f>HYPERLINK("https://www.google.iq/maps/search/+31.9594,44.5947/@31.9594,44.5947,14z?hl=en","Maplink2")</f>
        <v>Maplink2</v>
      </c>
      <c r="AW3002" s="14" t="str">
        <f>HYPERLINK("http://www.bing.com/maps/?lvl=14&amp;sty=h&amp;cp=31.9594~44.5947&amp;sp=point.31.9594_44.5947_Al-aaskary al-gharby","Maplink3")</f>
        <v>Maplink3</v>
      </c>
    </row>
    <row r="3003" spans="1:49" ht="15" customHeight="1" x14ac:dyDescent="0.25">
      <c r="A3003" s="21">
        <v>2789</v>
      </c>
      <c r="B3003" s="22" t="s">
        <v>22</v>
      </c>
      <c r="C3003" s="22" t="s">
        <v>5799</v>
      </c>
      <c r="D3003" s="22" t="s">
        <v>7361</v>
      </c>
      <c r="E3003" s="22" t="s">
        <v>5809</v>
      </c>
      <c r="F3003" s="22">
        <v>31.969166999999999</v>
      </c>
      <c r="G3003" s="22">
        <v>44.605277999999998</v>
      </c>
      <c r="H3003" s="21" t="s">
        <v>5725</v>
      </c>
      <c r="I3003" s="21" t="s">
        <v>5802</v>
      </c>
      <c r="J3003" s="21" t="s">
        <v>5810</v>
      </c>
      <c r="K3003" s="24">
        <v>29</v>
      </c>
      <c r="L3003" s="24">
        <v>174</v>
      </c>
      <c r="M3003" s="23">
        <v>12</v>
      </c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>
        <v>17</v>
      </c>
      <c r="Z3003" s="23"/>
      <c r="AA3003" s="23"/>
      <c r="AB3003" s="23"/>
      <c r="AC3003" s="23"/>
      <c r="AD3003" s="23"/>
      <c r="AE3003" s="23"/>
      <c r="AF3003" s="23">
        <v>4</v>
      </c>
      <c r="AG3003" s="23"/>
      <c r="AH3003" s="23"/>
      <c r="AI3003" s="23"/>
      <c r="AJ3003" s="23"/>
      <c r="AK3003" s="23">
        <v>25</v>
      </c>
      <c r="AL3003" s="23"/>
      <c r="AM3003" s="23"/>
      <c r="AN3003" s="23"/>
      <c r="AO3003" s="23"/>
      <c r="AP3003" s="23">
        <v>3</v>
      </c>
      <c r="AQ3003" s="23">
        <v>14</v>
      </c>
      <c r="AR3003" s="23">
        <v>12</v>
      </c>
      <c r="AS3003" s="23"/>
      <c r="AT3003" s="23"/>
      <c r="AU3003" s="14" t="str">
        <f>HYPERLINK("http://www.openstreetmap.org/?mlat=31.9692&amp;mlon=44.6053&amp;zoom=12#map=12/31.9692/44.6053","Maplink1")</f>
        <v>Maplink1</v>
      </c>
      <c r="AV3003" s="14" t="str">
        <f>HYPERLINK("https://www.google.iq/maps/search/+31.9692,44.6053/@31.9692,44.6053,14z?hl=en","Maplink2")</f>
        <v>Maplink2</v>
      </c>
      <c r="AW3003" s="14" t="str">
        <f>HYPERLINK("http://www.bing.com/maps/?lvl=14&amp;sty=h&amp;cp=31.9692~44.6053&amp;sp=point.31.9692_44.6053_Al-aaskary al-sharqy","Maplink3")</f>
        <v>Maplink3</v>
      </c>
    </row>
    <row r="3004" spans="1:49" ht="15" customHeight="1" x14ac:dyDescent="0.25">
      <c r="A3004" s="21">
        <v>24490</v>
      </c>
      <c r="B3004" s="22" t="s">
        <v>22</v>
      </c>
      <c r="C3004" s="22" t="s">
        <v>5799</v>
      </c>
      <c r="D3004" s="22" t="s">
        <v>4778</v>
      </c>
      <c r="E3004" s="22" t="s">
        <v>967</v>
      </c>
      <c r="F3004" s="22">
        <v>32.055452000000002</v>
      </c>
      <c r="G3004" s="22">
        <v>44.559533000000002</v>
      </c>
      <c r="H3004" s="21" t="s">
        <v>5725</v>
      </c>
      <c r="I3004" s="21" t="s">
        <v>5802</v>
      </c>
      <c r="J3004" s="21"/>
      <c r="K3004" s="24">
        <v>15</v>
      </c>
      <c r="L3004" s="24">
        <v>90</v>
      </c>
      <c r="M3004" s="23">
        <v>6</v>
      </c>
      <c r="N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>
        <v>9</v>
      </c>
      <c r="Z3004" s="23"/>
      <c r="AA3004" s="23"/>
      <c r="AB3004" s="23"/>
      <c r="AC3004" s="23"/>
      <c r="AD3004" s="23"/>
      <c r="AE3004" s="23"/>
      <c r="AF3004" s="23">
        <v>6</v>
      </c>
      <c r="AG3004" s="23"/>
      <c r="AH3004" s="23"/>
      <c r="AI3004" s="23"/>
      <c r="AJ3004" s="23"/>
      <c r="AK3004" s="23">
        <v>9</v>
      </c>
      <c r="AL3004" s="23"/>
      <c r="AM3004" s="23"/>
      <c r="AN3004" s="23"/>
      <c r="AO3004" s="23"/>
      <c r="AP3004" s="23"/>
      <c r="AQ3004" s="23">
        <v>9</v>
      </c>
      <c r="AR3004" s="23">
        <v>5</v>
      </c>
      <c r="AS3004" s="23">
        <v>1</v>
      </c>
      <c r="AT3004" s="23"/>
      <c r="AU3004" s="14" t="str">
        <f>HYPERLINK("http://www.openstreetmap.org/?mlat=32.0555&amp;mlon=44.5595&amp;zoom=12#map=12/32.0555/44.5595","Maplink1")</f>
        <v>Maplink1</v>
      </c>
      <c r="AV3004" s="14" t="str">
        <f>HYPERLINK("https://www.google.iq/maps/search/+32.0555,44.5595/@32.0555,44.5595,14z?hl=en","Maplink2")</f>
        <v>Maplink2</v>
      </c>
      <c r="AW3004" s="14" t="str">
        <f>HYPERLINK("http://www.bing.com/maps/?lvl=14&amp;sty=h&amp;cp=32.0555~44.5595&amp;sp=point.32.0555_44.5595_Hay Al-Ameer-Al Mahnawiya","Maplink3")</f>
        <v>Maplink3</v>
      </c>
    </row>
    <row r="3005" spans="1:49" ht="15" customHeight="1" x14ac:dyDescent="0.25">
      <c r="A3005" s="21">
        <v>25566</v>
      </c>
      <c r="B3005" s="22" t="s">
        <v>22</v>
      </c>
      <c r="C3005" s="22" t="s">
        <v>5799</v>
      </c>
      <c r="D3005" s="22" t="s">
        <v>4565</v>
      </c>
      <c r="E3005" s="22" t="s">
        <v>120</v>
      </c>
      <c r="F3005" s="22">
        <v>32.052979999999998</v>
      </c>
      <c r="G3005" s="22">
        <v>44.564573000000003</v>
      </c>
      <c r="H3005" s="21" t="s">
        <v>5725</v>
      </c>
      <c r="I3005" s="21" t="s">
        <v>5802</v>
      </c>
      <c r="J3005" s="21"/>
      <c r="K3005" s="24">
        <v>11</v>
      </c>
      <c r="L3005" s="24">
        <v>66</v>
      </c>
      <c r="M3005" s="23">
        <v>5</v>
      </c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>
        <v>6</v>
      </c>
      <c r="Z3005" s="23"/>
      <c r="AA3005" s="23"/>
      <c r="AB3005" s="23"/>
      <c r="AC3005" s="23"/>
      <c r="AD3005" s="23"/>
      <c r="AE3005" s="23"/>
      <c r="AF3005" s="23">
        <v>3</v>
      </c>
      <c r="AG3005" s="23"/>
      <c r="AH3005" s="23"/>
      <c r="AI3005" s="23"/>
      <c r="AJ3005" s="23"/>
      <c r="AK3005" s="23">
        <v>8</v>
      </c>
      <c r="AL3005" s="23"/>
      <c r="AM3005" s="23"/>
      <c r="AN3005" s="23"/>
      <c r="AO3005" s="23"/>
      <c r="AP3005" s="23"/>
      <c r="AQ3005" s="23">
        <v>6</v>
      </c>
      <c r="AR3005" s="23">
        <v>2</v>
      </c>
      <c r="AS3005" s="23">
        <v>3</v>
      </c>
      <c r="AT3005" s="23"/>
      <c r="AU3005" s="14" t="str">
        <f>HYPERLINK("http://www.openstreetmap.org/?mlat=32.053&amp;mlon=44.5646&amp;zoom=12#map=12/32.053/44.5646","Maplink1")</f>
        <v>Maplink1</v>
      </c>
      <c r="AV3005" s="14" t="str">
        <f>HYPERLINK("https://www.google.iq/maps/search/+32.053,44.5646/@32.053,44.5646,14z?hl=en","Maplink2")</f>
        <v>Maplink2</v>
      </c>
      <c r="AW3005" s="14" t="str">
        <f>HYPERLINK("http://www.bing.com/maps/?lvl=14&amp;sty=h&amp;cp=32.053~44.5646&amp;sp=point.32.053_44.5646_Al Mahnawiya-Hay Al-Askary","Maplink3")</f>
        <v>Maplink3</v>
      </c>
    </row>
    <row r="3006" spans="1:49" ht="15" customHeight="1" x14ac:dyDescent="0.25">
      <c r="A3006" s="21">
        <v>25506</v>
      </c>
      <c r="B3006" s="22" t="s">
        <v>22</v>
      </c>
      <c r="C3006" s="22" t="s">
        <v>5799</v>
      </c>
      <c r="D3006" s="22" t="s">
        <v>5827</v>
      </c>
      <c r="E3006" s="22" t="s">
        <v>4949</v>
      </c>
      <c r="F3006" s="22">
        <v>32.052079999999997</v>
      </c>
      <c r="G3006" s="22">
        <v>44.560870000000001</v>
      </c>
      <c r="H3006" s="21" t="s">
        <v>5725</v>
      </c>
      <c r="I3006" s="21" t="s">
        <v>5802</v>
      </c>
      <c r="J3006" s="21"/>
      <c r="K3006" s="24">
        <v>8</v>
      </c>
      <c r="L3006" s="24">
        <v>48</v>
      </c>
      <c r="M3006" s="23">
        <v>4</v>
      </c>
      <c r="N3006" s="23"/>
      <c r="O3006" s="23"/>
      <c r="P3006" s="23"/>
      <c r="Q3006" s="23"/>
      <c r="R3006" s="23">
        <v>2</v>
      </c>
      <c r="S3006" s="23"/>
      <c r="T3006" s="23"/>
      <c r="U3006" s="23"/>
      <c r="V3006" s="23"/>
      <c r="W3006" s="23"/>
      <c r="X3006" s="23"/>
      <c r="Y3006" s="23">
        <v>2</v>
      </c>
      <c r="Z3006" s="23"/>
      <c r="AA3006" s="23"/>
      <c r="AB3006" s="23"/>
      <c r="AC3006" s="23"/>
      <c r="AD3006" s="23"/>
      <c r="AE3006" s="23"/>
      <c r="AF3006" s="23">
        <v>2</v>
      </c>
      <c r="AG3006" s="23"/>
      <c r="AH3006" s="23"/>
      <c r="AI3006" s="23"/>
      <c r="AJ3006" s="23"/>
      <c r="AK3006" s="23">
        <v>6</v>
      </c>
      <c r="AL3006" s="23"/>
      <c r="AM3006" s="23"/>
      <c r="AN3006" s="23"/>
      <c r="AO3006" s="23"/>
      <c r="AP3006" s="23">
        <v>3</v>
      </c>
      <c r="AQ3006" s="23">
        <v>1</v>
      </c>
      <c r="AR3006" s="23">
        <v>4</v>
      </c>
      <c r="AS3006" s="23"/>
      <c r="AT3006" s="23"/>
      <c r="AU3006" s="14" t="str">
        <f>HYPERLINK("http://www.openstreetmap.org/?mlat=32.0521&amp;mlon=44.5609&amp;zoom=12#map=12/32.0521/44.5609","Maplink1")</f>
        <v>Maplink1</v>
      </c>
      <c r="AV3006" s="14" t="str">
        <f>HYPERLINK("https://www.google.iq/maps/search/+32.0521,44.5609/@32.0521,44.5609,14z?hl=en","Maplink2")</f>
        <v>Maplink2</v>
      </c>
      <c r="AW3006" s="14" t="str">
        <f>HYPERLINK("http://www.bing.com/maps/?lvl=14&amp;sty=h&amp;cp=32.0521~44.5609&amp;sp=point.32.0521_44.5609_Hay Al-Hakim","Maplink3")</f>
        <v>Maplink3</v>
      </c>
    </row>
    <row r="3007" spans="1:49" ht="15" customHeight="1" x14ac:dyDescent="0.25">
      <c r="A3007" s="21">
        <v>2741</v>
      </c>
      <c r="B3007" s="22" t="s">
        <v>22</v>
      </c>
      <c r="C3007" s="22" t="s">
        <v>5799</v>
      </c>
      <c r="D3007" s="22" t="s">
        <v>5828</v>
      </c>
      <c r="E3007" s="22" t="s">
        <v>995</v>
      </c>
      <c r="F3007" s="22">
        <v>31.956666999999999</v>
      </c>
      <c r="G3007" s="22">
        <v>44.586666999999998</v>
      </c>
      <c r="H3007" s="21" t="s">
        <v>5725</v>
      </c>
      <c r="I3007" s="21" t="s">
        <v>5802</v>
      </c>
      <c r="J3007" s="21" t="s">
        <v>5829</v>
      </c>
      <c r="K3007" s="24">
        <v>10</v>
      </c>
      <c r="L3007" s="24">
        <v>60</v>
      </c>
      <c r="M3007" s="23">
        <v>7</v>
      </c>
      <c r="N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>
        <v>3</v>
      </c>
      <c r="Z3007" s="23"/>
      <c r="AA3007" s="23"/>
      <c r="AB3007" s="23"/>
      <c r="AC3007" s="23"/>
      <c r="AD3007" s="23"/>
      <c r="AE3007" s="23"/>
      <c r="AF3007" s="23">
        <v>4</v>
      </c>
      <c r="AG3007" s="23"/>
      <c r="AH3007" s="23"/>
      <c r="AI3007" s="23"/>
      <c r="AJ3007" s="23"/>
      <c r="AK3007" s="23">
        <v>6</v>
      </c>
      <c r="AL3007" s="23"/>
      <c r="AM3007" s="23"/>
      <c r="AN3007" s="23"/>
      <c r="AO3007" s="23">
        <v>1</v>
      </c>
      <c r="AP3007" s="23">
        <v>4</v>
      </c>
      <c r="AQ3007" s="23">
        <v>3</v>
      </c>
      <c r="AR3007" s="23">
        <v>2</v>
      </c>
      <c r="AS3007" s="23"/>
      <c r="AT3007" s="23"/>
      <c r="AU3007" s="14" t="str">
        <f>HYPERLINK("http://www.openstreetmap.org/?mlat=31.9567&amp;mlon=44.5867&amp;zoom=12#map=12/31.9567/44.5867","Maplink1")</f>
        <v>Maplink1</v>
      </c>
      <c r="AV3007" s="14" t="str">
        <f>HYPERLINK("https://www.google.iq/maps/search/+31.9567,44.5867/@31.9567,44.5867,14z?hl=en","Maplink2")</f>
        <v>Maplink2</v>
      </c>
      <c r="AW3007" s="14" t="str">
        <f>HYPERLINK("http://www.bing.com/maps/?lvl=14&amp;sty=h&amp;cp=31.9567~44.5867&amp;sp=point.31.9567_44.5867_Hay al-husien","Maplink3")</f>
        <v>Maplink3</v>
      </c>
    </row>
    <row r="3008" spans="1:49" ht="15" customHeight="1" x14ac:dyDescent="0.25">
      <c r="A3008" s="21">
        <v>2759</v>
      </c>
      <c r="B3008" s="22" t="s">
        <v>22</v>
      </c>
      <c r="C3008" s="22" t="s">
        <v>5799</v>
      </c>
      <c r="D3008" s="22" t="s">
        <v>5830</v>
      </c>
      <c r="E3008" s="22" t="s">
        <v>5831</v>
      </c>
      <c r="F3008" s="22">
        <v>31.964451</v>
      </c>
      <c r="G3008" s="22">
        <v>44.606895000000002</v>
      </c>
      <c r="H3008" s="21" t="s">
        <v>5725</v>
      </c>
      <c r="I3008" s="21" t="s">
        <v>5802</v>
      </c>
      <c r="J3008" s="21" t="s">
        <v>5832</v>
      </c>
      <c r="K3008" s="24">
        <v>17</v>
      </c>
      <c r="L3008" s="24">
        <v>102</v>
      </c>
      <c r="M3008" s="23">
        <v>9</v>
      </c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>
        <v>8</v>
      </c>
      <c r="Z3008" s="23"/>
      <c r="AA3008" s="23"/>
      <c r="AB3008" s="23"/>
      <c r="AC3008" s="23"/>
      <c r="AD3008" s="23"/>
      <c r="AE3008" s="23"/>
      <c r="AF3008" s="23">
        <v>2</v>
      </c>
      <c r="AG3008" s="23"/>
      <c r="AH3008" s="23"/>
      <c r="AI3008" s="23"/>
      <c r="AJ3008" s="23"/>
      <c r="AK3008" s="23">
        <v>15</v>
      </c>
      <c r="AL3008" s="23"/>
      <c r="AM3008" s="23"/>
      <c r="AN3008" s="23"/>
      <c r="AO3008" s="23"/>
      <c r="AP3008" s="23"/>
      <c r="AQ3008" s="23">
        <v>8</v>
      </c>
      <c r="AR3008" s="23">
        <v>8</v>
      </c>
      <c r="AS3008" s="23">
        <v>1</v>
      </c>
      <c r="AT3008" s="23"/>
      <c r="AU3008" s="14" t="str">
        <f>HYPERLINK("http://www.openstreetmap.org/?mlat=31.9645&amp;mlon=44.6069&amp;zoom=12#map=12/31.9645/44.6069","Maplink1")</f>
        <v>Maplink1</v>
      </c>
      <c r="AV3008" s="14" t="str">
        <f>HYPERLINK("https://www.google.iq/maps/search/+31.9645,44.6069/@31.9645,44.6069,14z?hl=en","Maplink2")</f>
        <v>Maplink2</v>
      </c>
      <c r="AW3008" s="14" t="str">
        <f>HYPERLINK("http://www.bing.com/maps/?lvl=14&amp;sty=h&amp;cp=31.9645~44.6069&amp;sp=point.31.9645_44.6069_Hay al-joumhoury","Maplink3")</f>
        <v>Maplink3</v>
      </c>
    </row>
    <row r="3009" spans="1:49" ht="15" customHeight="1" x14ac:dyDescent="0.25">
      <c r="A3009" s="21">
        <v>2792</v>
      </c>
      <c r="B3009" s="22" t="s">
        <v>22</v>
      </c>
      <c r="C3009" s="22" t="s">
        <v>5799</v>
      </c>
      <c r="D3009" s="22" t="s">
        <v>5833</v>
      </c>
      <c r="E3009" s="22" t="s">
        <v>258</v>
      </c>
      <c r="F3009" s="22">
        <v>31.963671000000001</v>
      </c>
      <c r="G3009" s="22">
        <v>44.601227000000002</v>
      </c>
      <c r="H3009" s="21" t="s">
        <v>5725</v>
      </c>
      <c r="I3009" s="21" t="s">
        <v>5802</v>
      </c>
      <c r="J3009" s="21" t="s">
        <v>5834</v>
      </c>
      <c r="K3009" s="24">
        <v>6</v>
      </c>
      <c r="L3009" s="24">
        <v>36</v>
      </c>
      <c r="M3009" s="23"/>
      <c r="N3009" s="23"/>
      <c r="O3009" s="23">
        <v>5</v>
      </c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1</v>
      </c>
      <c r="Z3009" s="23"/>
      <c r="AA3009" s="23"/>
      <c r="AB3009" s="23"/>
      <c r="AC3009" s="23"/>
      <c r="AD3009" s="23"/>
      <c r="AE3009" s="23"/>
      <c r="AF3009" s="23">
        <v>1</v>
      </c>
      <c r="AG3009" s="23"/>
      <c r="AH3009" s="23"/>
      <c r="AI3009" s="23"/>
      <c r="AJ3009" s="23"/>
      <c r="AK3009" s="23">
        <v>5</v>
      </c>
      <c r="AL3009" s="23"/>
      <c r="AM3009" s="23"/>
      <c r="AN3009" s="23"/>
      <c r="AO3009" s="23"/>
      <c r="AP3009" s="23"/>
      <c r="AQ3009" s="23">
        <v>1</v>
      </c>
      <c r="AR3009" s="23">
        <v>5</v>
      </c>
      <c r="AS3009" s="23"/>
      <c r="AT3009" s="23"/>
      <c r="AU3009" s="14" t="str">
        <f>HYPERLINK("http://www.openstreetmap.org/?mlat=31.9637&amp;mlon=44.6012&amp;zoom=12#map=12/31.9637/44.6012","Maplink1")</f>
        <v>Maplink1</v>
      </c>
      <c r="AV3009" s="14" t="str">
        <f>HYPERLINK("https://www.google.iq/maps/search/+31.9637,44.6012/@31.9637,44.6012,14z?hl=en","Maplink2")</f>
        <v>Maplink2</v>
      </c>
      <c r="AW3009" s="14" t="str">
        <f>HYPERLINK("http://www.bing.com/maps/?lvl=14&amp;sty=h&amp;cp=31.9637~44.6012&amp;sp=point.31.9637_44.6012_Hay al-mualamien","Maplink3")</f>
        <v>Maplink3</v>
      </c>
    </row>
    <row r="3010" spans="1:49" ht="15" customHeight="1" x14ac:dyDescent="0.25">
      <c r="A3010" s="21">
        <v>25908</v>
      </c>
      <c r="B3010" s="22" t="s">
        <v>22</v>
      </c>
      <c r="C3010" s="22" t="s">
        <v>5799</v>
      </c>
      <c r="D3010" s="22" t="s">
        <v>5770</v>
      </c>
      <c r="E3010" s="22" t="s">
        <v>5771</v>
      </c>
      <c r="F3010" s="22">
        <v>32.047933</v>
      </c>
      <c r="G3010" s="22">
        <v>44.557543000000003</v>
      </c>
      <c r="H3010" s="21" t="s">
        <v>5725</v>
      </c>
      <c r="I3010" s="21" t="s">
        <v>5802</v>
      </c>
      <c r="J3010" s="21"/>
      <c r="K3010" s="24">
        <v>9</v>
      </c>
      <c r="L3010" s="24">
        <v>54</v>
      </c>
      <c r="M3010" s="23">
        <v>4</v>
      </c>
      <c r="N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>
        <v>5</v>
      </c>
      <c r="Z3010" s="23"/>
      <c r="AA3010" s="23"/>
      <c r="AB3010" s="23"/>
      <c r="AC3010" s="23"/>
      <c r="AD3010" s="23"/>
      <c r="AE3010" s="23"/>
      <c r="AF3010" s="23">
        <v>3</v>
      </c>
      <c r="AG3010" s="23"/>
      <c r="AH3010" s="23"/>
      <c r="AI3010" s="23"/>
      <c r="AJ3010" s="23"/>
      <c r="AK3010" s="23">
        <v>6</v>
      </c>
      <c r="AL3010" s="23"/>
      <c r="AM3010" s="23"/>
      <c r="AN3010" s="23"/>
      <c r="AO3010" s="23"/>
      <c r="AP3010" s="23"/>
      <c r="AQ3010" s="23">
        <v>5</v>
      </c>
      <c r="AR3010" s="23">
        <v>4</v>
      </c>
      <c r="AS3010" s="23"/>
      <c r="AT3010" s="23"/>
      <c r="AU3010" s="14" t="str">
        <f>HYPERLINK("http://www.openstreetmap.org/?mlat=32.5403&amp;mlon=44.5589&amp;zoom=12#map=12/32.5403/44.5589","Maplink1")</f>
        <v>Maplink1</v>
      </c>
      <c r="AV3010" s="14" t="str">
        <f>HYPERLINK("https://www.google.iq/maps/search/+32.5403,44.5589/@32.5403,44.5589,14z?hl=en","Maplink2")</f>
        <v>Maplink2</v>
      </c>
      <c r="AW3010" s="14" t="str">
        <f>HYPERLINK("http://www.bing.com/maps/?lvl=14&amp;sty=h&amp;cp=32.5403~44.5589&amp;sp=point.32.5403_44.5589_Hay Al-Sadrain","Maplink3")</f>
        <v>Maplink3</v>
      </c>
    </row>
    <row r="3011" spans="1:49" ht="15" customHeight="1" x14ac:dyDescent="0.25">
      <c r="A3011" s="21">
        <v>2447</v>
      </c>
      <c r="B3011" s="22" t="s">
        <v>22</v>
      </c>
      <c r="C3011" s="22" t="s">
        <v>5799</v>
      </c>
      <c r="D3011" s="22" t="s">
        <v>1382</v>
      </c>
      <c r="E3011" s="22" t="s">
        <v>150</v>
      </c>
      <c r="F3011" s="22">
        <v>31.741944</v>
      </c>
      <c r="G3011" s="22">
        <v>44.609166999999999</v>
      </c>
      <c r="H3011" s="21" t="s">
        <v>5725</v>
      </c>
      <c r="I3011" s="21" t="s">
        <v>5802</v>
      </c>
      <c r="J3011" s="21" t="s">
        <v>5835</v>
      </c>
      <c r="K3011" s="24">
        <v>24</v>
      </c>
      <c r="L3011" s="24">
        <v>144</v>
      </c>
      <c r="M3011" s="23">
        <v>3</v>
      </c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>
        <v>21</v>
      </c>
      <c r="Z3011" s="23"/>
      <c r="AA3011" s="23"/>
      <c r="AB3011" s="23"/>
      <c r="AC3011" s="23"/>
      <c r="AD3011" s="23"/>
      <c r="AE3011" s="23"/>
      <c r="AF3011" s="23"/>
      <c r="AG3011" s="23"/>
      <c r="AH3011" s="23"/>
      <c r="AI3011" s="23"/>
      <c r="AJ3011" s="23">
        <v>4</v>
      </c>
      <c r="AK3011" s="23">
        <v>20</v>
      </c>
      <c r="AL3011" s="23"/>
      <c r="AM3011" s="23"/>
      <c r="AN3011" s="23"/>
      <c r="AO3011" s="23"/>
      <c r="AP3011" s="23">
        <v>7</v>
      </c>
      <c r="AQ3011" s="23">
        <v>14</v>
      </c>
      <c r="AR3011" s="23">
        <v>3</v>
      </c>
      <c r="AS3011" s="23"/>
      <c r="AT3011" s="23"/>
      <c r="AU3011" s="14" t="str">
        <f>HYPERLINK("http://www.openstreetmap.org/?mlat=31.7419&amp;mlon=44.6092&amp;zoom=12#map=12/31.7419/44.6092","Maplink1")</f>
        <v>Maplink1</v>
      </c>
      <c r="AV3011" s="14" t="str">
        <f>HYPERLINK("https://www.google.iq/maps/search/+31.7419,44.6092/@31.7419,44.6092,14z?hl=en","Maplink2")</f>
        <v>Maplink2</v>
      </c>
      <c r="AW3011" s="14" t="str">
        <f>HYPERLINK("http://www.bing.com/maps/?lvl=14&amp;sty=h&amp;cp=31.7419~44.6092&amp;sp=point.31.7419_44.6092_Hay al-salam","Maplink3")</f>
        <v>Maplink3</v>
      </c>
    </row>
    <row r="3012" spans="1:49" ht="15" customHeight="1" x14ac:dyDescent="0.25">
      <c r="A3012" s="21">
        <v>24245</v>
      </c>
      <c r="B3012" s="22" t="s">
        <v>22</v>
      </c>
      <c r="C3012" s="22" t="s">
        <v>5799</v>
      </c>
      <c r="D3012" s="22" t="s">
        <v>3293</v>
      </c>
      <c r="E3012" s="22" t="s">
        <v>5836</v>
      </c>
      <c r="F3012" s="22">
        <v>31.937543000000002</v>
      </c>
      <c r="G3012" s="22">
        <v>44.577531999999998</v>
      </c>
      <c r="H3012" s="21" t="s">
        <v>5725</v>
      </c>
      <c r="I3012" s="21" t="s">
        <v>5802</v>
      </c>
      <c r="J3012" s="21" t="s">
        <v>5837</v>
      </c>
      <c r="K3012" s="24">
        <v>22</v>
      </c>
      <c r="L3012" s="24">
        <v>132</v>
      </c>
      <c r="M3012" s="23">
        <v>12</v>
      </c>
      <c r="N3012" s="23"/>
      <c r="O3012" s="23"/>
      <c r="P3012" s="23"/>
      <c r="Q3012" s="23"/>
      <c r="R3012" s="23">
        <v>2</v>
      </c>
      <c r="S3012" s="23"/>
      <c r="T3012" s="23"/>
      <c r="U3012" s="23">
        <v>2</v>
      </c>
      <c r="V3012" s="23"/>
      <c r="W3012" s="23"/>
      <c r="X3012" s="23"/>
      <c r="Y3012" s="23">
        <v>6</v>
      </c>
      <c r="Z3012" s="23"/>
      <c r="AA3012" s="23"/>
      <c r="AB3012" s="23"/>
      <c r="AC3012" s="23"/>
      <c r="AD3012" s="23"/>
      <c r="AE3012" s="23"/>
      <c r="AF3012" s="23">
        <v>10</v>
      </c>
      <c r="AG3012" s="23"/>
      <c r="AH3012" s="23"/>
      <c r="AI3012" s="23"/>
      <c r="AJ3012" s="23"/>
      <c r="AK3012" s="23">
        <v>12</v>
      </c>
      <c r="AL3012" s="23"/>
      <c r="AM3012" s="23"/>
      <c r="AN3012" s="23"/>
      <c r="AO3012" s="23"/>
      <c r="AP3012" s="23">
        <v>4</v>
      </c>
      <c r="AQ3012" s="23">
        <v>6</v>
      </c>
      <c r="AR3012" s="23">
        <v>12</v>
      </c>
      <c r="AS3012" s="23"/>
      <c r="AT3012" s="23"/>
      <c r="AU3012" s="14" t="str">
        <f>HYPERLINK("http://www.openstreetmap.org/?mlat=31.9375&amp;mlon=44.5775&amp;zoom=12#map=12/31.9375/44.5775","Maplink1")</f>
        <v>Maplink1</v>
      </c>
      <c r="AV3012" s="14" t="str">
        <f>HYPERLINK("https://www.google.iq/maps/search/+31.9375,44.5775/@31.9375,44.5775,14z?hl=en","Maplink2")</f>
        <v>Maplink2</v>
      </c>
      <c r="AW3012" s="14" t="str">
        <f>HYPERLINK("http://www.bing.com/maps/?lvl=14&amp;sty=h&amp;cp=31.9375~44.5775&amp;sp=point.31.9375_44.5775_Hay Al-Shuhada","Maplink3")</f>
        <v>Maplink3</v>
      </c>
    </row>
    <row r="3013" spans="1:49" ht="15" customHeight="1" x14ac:dyDescent="0.25">
      <c r="A3013" s="21">
        <v>25565</v>
      </c>
      <c r="B3013" s="22" t="s">
        <v>22</v>
      </c>
      <c r="C3013" s="22" t="s">
        <v>5799</v>
      </c>
      <c r="D3013" s="22" t="s">
        <v>5838</v>
      </c>
      <c r="E3013" s="22" t="s">
        <v>5839</v>
      </c>
      <c r="F3013" s="22">
        <v>32.058045999999997</v>
      </c>
      <c r="G3013" s="22">
        <v>44.571806000000002</v>
      </c>
      <c r="H3013" s="21" t="s">
        <v>5725</v>
      </c>
      <c r="I3013" s="21" t="s">
        <v>5802</v>
      </c>
      <c r="J3013" s="21"/>
      <c r="K3013" s="24">
        <v>4</v>
      </c>
      <c r="L3013" s="24">
        <v>24</v>
      </c>
      <c r="M3013" s="23">
        <v>1</v>
      </c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>
        <v>3</v>
      </c>
      <c r="Z3013" s="23"/>
      <c r="AA3013" s="23"/>
      <c r="AB3013" s="23"/>
      <c r="AC3013" s="23"/>
      <c r="AD3013" s="23"/>
      <c r="AE3013" s="23"/>
      <c r="AF3013" s="23">
        <v>2</v>
      </c>
      <c r="AG3013" s="23"/>
      <c r="AH3013" s="23"/>
      <c r="AI3013" s="23"/>
      <c r="AJ3013" s="23"/>
      <c r="AK3013" s="23">
        <v>2</v>
      </c>
      <c r="AL3013" s="23"/>
      <c r="AM3013" s="23"/>
      <c r="AN3013" s="23"/>
      <c r="AO3013" s="23"/>
      <c r="AP3013" s="23"/>
      <c r="AQ3013" s="23">
        <v>3</v>
      </c>
      <c r="AR3013" s="23">
        <v>1</v>
      </c>
      <c r="AS3013" s="23"/>
      <c r="AT3013" s="23"/>
      <c r="AU3013" s="14" t="str">
        <f>HYPERLINK("http://www.openstreetmap.org/?mlat=32.058&amp;mlon=44.5718&amp;zoom=12#map=12/32.058/44.5718","Maplink1")</f>
        <v>Maplink1</v>
      </c>
      <c r="AV3013" s="14" t="str">
        <f>HYPERLINK("https://www.google.iq/maps/search/+32.058,44.5718/@32.058,44.5718,14z?hl=en","Maplink2")</f>
        <v>Maplink2</v>
      </c>
      <c r="AW3013" s="14" t="str">
        <f>HYPERLINK("http://www.bing.com/maps/?lvl=14&amp;sty=h&amp;cp=32.058~44.5718&amp;sp=point.32.058_44.5718_Hay Al-Sifana","Maplink3")</f>
        <v>Maplink3</v>
      </c>
    </row>
    <row r="3014" spans="1:49" ht="15" customHeight="1" x14ac:dyDescent="0.25">
      <c r="A3014" s="21">
        <v>25909</v>
      </c>
      <c r="B3014" s="22" t="s">
        <v>22</v>
      </c>
      <c r="C3014" s="22" t="s">
        <v>5799</v>
      </c>
      <c r="D3014" s="22" t="s">
        <v>1156</v>
      </c>
      <c r="E3014" s="22" t="s">
        <v>2196</v>
      </c>
      <c r="F3014" s="22">
        <v>32.053513000000002</v>
      </c>
      <c r="G3014" s="22">
        <v>44.556679000000003</v>
      </c>
      <c r="H3014" s="21" t="s">
        <v>5725</v>
      </c>
      <c r="I3014" s="21" t="s">
        <v>5802</v>
      </c>
      <c r="J3014" s="21"/>
      <c r="K3014" s="24">
        <v>6</v>
      </c>
      <c r="L3014" s="24">
        <v>36</v>
      </c>
      <c r="M3014" s="23">
        <v>3</v>
      </c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>
        <v>3</v>
      </c>
      <c r="Z3014" s="23"/>
      <c r="AA3014" s="23"/>
      <c r="AB3014" s="23"/>
      <c r="AC3014" s="23"/>
      <c r="AD3014" s="23"/>
      <c r="AE3014" s="23"/>
      <c r="AF3014" s="23">
        <v>1</v>
      </c>
      <c r="AG3014" s="23"/>
      <c r="AH3014" s="23"/>
      <c r="AI3014" s="23"/>
      <c r="AJ3014" s="23"/>
      <c r="AK3014" s="23">
        <v>5</v>
      </c>
      <c r="AL3014" s="23"/>
      <c r="AM3014" s="23"/>
      <c r="AN3014" s="23"/>
      <c r="AO3014" s="23"/>
      <c r="AP3014" s="23"/>
      <c r="AQ3014" s="23">
        <v>3</v>
      </c>
      <c r="AR3014" s="23">
        <v>1</v>
      </c>
      <c r="AS3014" s="23">
        <v>2</v>
      </c>
      <c r="AT3014" s="23"/>
      <c r="AU3014" s="14" t="str">
        <f>HYPERLINK("http://www.openstreetmap.org/?mlat=32.0535&amp;mlon=44.5567&amp;zoom=12#map=12/32.0535/44.5567","Maplink1")</f>
        <v>Maplink1</v>
      </c>
      <c r="AV3014" s="14" t="str">
        <f>HYPERLINK("https://www.google.iq/maps/search/+32.0535,44.5567/@32.0535,44.5567,14z?hl=en","Maplink2")</f>
        <v>Maplink2</v>
      </c>
      <c r="AW3014" s="14" t="str">
        <f>HYPERLINK("http://www.bing.com/maps/?lvl=14&amp;sty=h&amp;cp=32.0535~44.5567&amp;sp=point.32.0535_44.5567_Al-Mihanawiya-Hay Al-Zahraa","Maplink3")</f>
        <v>Maplink3</v>
      </c>
    </row>
    <row r="3015" spans="1:49" ht="15" customHeight="1" x14ac:dyDescent="0.25">
      <c r="A3015" s="21">
        <v>2766</v>
      </c>
      <c r="B3015" s="22" t="s">
        <v>22</v>
      </c>
      <c r="C3015" s="22" t="s">
        <v>5799</v>
      </c>
      <c r="D3015" s="22" t="s">
        <v>5840</v>
      </c>
      <c r="E3015" s="22" t="s">
        <v>5818</v>
      </c>
      <c r="F3015" s="22">
        <v>31.963332999999999</v>
      </c>
      <c r="G3015" s="22">
        <v>44.601388999999998</v>
      </c>
      <c r="H3015" s="21" t="s">
        <v>5725</v>
      </c>
      <c r="I3015" s="21" t="s">
        <v>5802</v>
      </c>
      <c r="J3015" s="21" t="s">
        <v>5841</v>
      </c>
      <c r="K3015" s="24">
        <v>43</v>
      </c>
      <c r="L3015" s="24">
        <v>258</v>
      </c>
      <c r="M3015" s="23">
        <v>7</v>
      </c>
      <c r="N3015" s="23"/>
      <c r="O3015" s="23"/>
      <c r="P3015" s="23"/>
      <c r="Q3015" s="23"/>
      <c r="R3015" s="23"/>
      <c r="S3015" s="23"/>
      <c r="T3015" s="23"/>
      <c r="U3015" s="23">
        <v>2</v>
      </c>
      <c r="V3015" s="23"/>
      <c r="W3015" s="23"/>
      <c r="X3015" s="23"/>
      <c r="Y3015" s="23">
        <v>34</v>
      </c>
      <c r="Z3015" s="23"/>
      <c r="AA3015" s="23"/>
      <c r="AB3015" s="23"/>
      <c r="AC3015" s="23"/>
      <c r="AD3015" s="23"/>
      <c r="AE3015" s="23"/>
      <c r="AF3015" s="23">
        <v>15</v>
      </c>
      <c r="AG3015" s="23"/>
      <c r="AH3015" s="23"/>
      <c r="AI3015" s="23"/>
      <c r="AJ3015" s="23"/>
      <c r="AK3015" s="23">
        <v>28</v>
      </c>
      <c r="AL3015" s="23"/>
      <c r="AM3015" s="23"/>
      <c r="AN3015" s="23"/>
      <c r="AO3015" s="23"/>
      <c r="AP3015" s="23">
        <v>27</v>
      </c>
      <c r="AQ3015" s="23">
        <v>13</v>
      </c>
      <c r="AR3015" s="23">
        <v>3</v>
      </c>
      <c r="AS3015" s="23"/>
      <c r="AT3015" s="23"/>
      <c r="AU3015" s="14" t="str">
        <f>HYPERLINK("http://www.openstreetmap.org/?mlat=31.9633&amp;mlon=44.6014&amp;zoom=12#map=12/31.9633/44.6014","Maplink1")</f>
        <v>Maplink1</v>
      </c>
      <c r="AV3015" s="14" t="str">
        <f>HYPERLINK("https://www.google.iq/maps/search/+31.9633,44.6014/@31.9633,44.6014,14z?hl=en","Maplink2")</f>
        <v>Maplink2</v>
      </c>
      <c r="AW3015" s="14" t="str">
        <f>HYPERLINK("http://www.bing.com/maps/?lvl=14&amp;sty=h&amp;cp=31.9633~44.6014&amp;sp=point.31.9633_44.6014_Mahlat al-souq","Maplink3")</f>
        <v>Maplink3</v>
      </c>
    </row>
    <row r="3016" spans="1:49" ht="15" customHeight="1" x14ac:dyDescent="0.25">
      <c r="A3016" s="21">
        <v>25913</v>
      </c>
      <c r="B3016" s="22" t="s">
        <v>22</v>
      </c>
      <c r="C3016" s="22" t="s">
        <v>5799</v>
      </c>
      <c r="D3016" s="22" t="s">
        <v>7362</v>
      </c>
      <c r="E3016" s="22" t="s">
        <v>5818</v>
      </c>
      <c r="F3016" s="22">
        <v>32.016646000000001</v>
      </c>
      <c r="G3016" s="22">
        <v>44.546971999999997</v>
      </c>
      <c r="H3016" s="21" t="s">
        <v>5725</v>
      </c>
      <c r="I3016" s="21" t="s">
        <v>5802</v>
      </c>
      <c r="J3016" s="21"/>
      <c r="K3016" s="24">
        <v>11</v>
      </c>
      <c r="L3016" s="24">
        <v>66</v>
      </c>
      <c r="M3016" s="23"/>
      <c r="N3016" s="23"/>
      <c r="O3016" s="23"/>
      <c r="P3016" s="23"/>
      <c r="Q3016" s="23"/>
      <c r="R3016" s="23"/>
      <c r="S3016" s="23"/>
      <c r="T3016" s="23"/>
      <c r="U3016" s="23">
        <v>2</v>
      </c>
      <c r="V3016" s="23"/>
      <c r="W3016" s="23"/>
      <c r="X3016" s="23"/>
      <c r="Y3016" s="23">
        <v>9</v>
      </c>
      <c r="Z3016" s="23"/>
      <c r="AA3016" s="23"/>
      <c r="AB3016" s="23"/>
      <c r="AC3016" s="23"/>
      <c r="AD3016" s="23"/>
      <c r="AE3016" s="23"/>
      <c r="AF3016" s="23"/>
      <c r="AG3016" s="23"/>
      <c r="AH3016" s="23"/>
      <c r="AI3016" s="23"/>
      <c r="AJ3016" s="23"/>
      <c r="AK3016" s="23">
        <v>1</v>
      </c>
      <c r="AL3016" s="23">
        <v>7</v>
      </c>
      <c r="AM3016" s="23">
        <v>3</v>
      </c>
      <c r="AN3016" s="23"/>
      <c r="AO3016" s="23"/>
      <c r="AP3016" s="23">
        <v>11</v>
      </c>
      <c r="AQ3016" s="23"/>
      <c r="AR3016" s="23"/>
      <c r="AS3016" s="23"/>
      <c r="AT3016" s="23"/>
      <c r="AU3016" s="14" t="str">
        <f>HYPERLINK("http://www.openstreetmap.org/?mlat=32.0166&amp;mlon=44.547&amp;zoom=12#map=12/32.0166/44.547","Maplink1")</f>
        <v>Maplink1</v>
      </c>
      <c r="AV3016" s="14" t="str">
        <f>HYPERLINK("https://www.google.iq/maps/search/+32.0166,44.547/@32.0166,44.547,14z?hl=en","Maplink2")</f>
        <v>Maplink2</v>
      </c>
      <c r="AW3016" s="14" t="str">
        <f>HYPERLINK("http://www.bing.com/maps/?lvl=14&amp;sty=h&amp;cp=32.0166~44.547&amp;sp=point.32.0166_44.547_Al-Salahiay-Mahlat Al-Souq","Maplink3")</f>
        <v>Maplink3</v>
      </c>
    </row>
    <row r="3017" spans="1:49" ht="15" customHeight="1" x14ac:dyDescent="0.25">
      <c r="A3017" s="21">
        <v>22683</v>
      </c>
      <c r="B3017" s="22" t="s">
        <v>22</v>
      </c>
      <c r="C3017" s="22" t="s">
        <v>5799</v>
      </c>
      <c r="D3017" s="22" t="s">
        <v>9036</v>
      </c>
      <c r="E3017" s="22" t="s">
        <v>5805</v>
      </c>
      <c r="F3017" s="22">
        <v>31.738961</v>
      </c>
      <c r="G3017" s="22">
        <v>44.621327999999998</v>
      </c>
      <c r="H3017" s="21" t="s">
        <v>5725</v>
      </c>
      <c r="I3017" s="21" t="s">
        <v>5802</v>
      </c>
      <c r="J3017" s="21" t="s">
        <v>5806</v>
      </c>
      <c r="K3017" s="24">
        <v>10</v>
      </c>
      <c r="L3017" s="24">
        <v>60</v>
      </c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>
        <v>10</v>
      </c>
      <c r="Z3017" s="23"/>
      <c r="AA3017" s="23"/>
      <c r="AB3017" s="23"/>
      <c r="AC3017" s="23"/>
      <c r="AD3017" s="23"/>
      <c r="AE3017" s="23"/>
      <c r="AF3017" s="23">
        <v>2</v>
      </c>
      <c r="AG3017" s="23"/>
      <c r="AH3017" s="23"/>
      <c r="AI3017" s="23"/>
      <c r="AJ3017" s="23">
        <v>8</v>
      </c>
      <c r="AK3017" s="23"/>
      <c r="AL3017" s="23"/>
      <c r="AM3017" s="23"/>
      <c r="AN3017" s="23"/>
      <c r="AO3017" s="23"/>
      <c r="AP3017" s="23">
        <v>4</v>
      </c>
      <c r="AQ3017" s="23">
        <v>6</v>
      </c>
      <c r="AR3017" s="23"/>
      <c r="AS3017" s="23"/>
      <c r="AT3017" s="23"/>
      <c r="AU3017" s="14" t="str">
        <f>HYPERLINK("http://www.openstreetmap.org/?mlat=31.739&amp;mlon=44.6213&amp;zoom=12#map=12/31.739/44.6213","Maplink1")</f>
        <v>Maplink1</v>
      </c>
      <c r="AV3017" s="14" t="str">
        <f>HYPERLINK("https://www.google.iq/maps/search/+31.739,44.6213/@31.739,44.6213,14z?hl=en","Maplink2")</f>
        <v>Maplink2</v>
      </c>
      <c r="AW3017" s="14" t="str">
        <f>HYPERLINK("http://www.bing.com/maps/?lvl=14&amp;sty=h&amp;cp=31.739~44.6213&amp;sp=point.31.739_44.6213_Al Hezam Al Akhdhar","Maplink3")</f>
        <v>Maplink3</v>
      </c>
    </row>
    <row r="3018" spans="1:49" ht="15" customHeight="1" x14ac:dyDescent="0.25">
      <c r="A3018" s="21">
        <v>25560</v>
      </c>
      <c r="B3018" s="22" t="s">
        <v>22</v>
      </c>
      <c r="C3018" s="22" t="s">
        <v>5799</v>
      </c>
      <c r="D3018" s="22" t="s">
        <v>5842</v>
      </c>
      <c r="E3018" s="22" t="s">
        <v>5843</v>
      </c>
      <c r="F3018" s="22">
        <v>31.968788</v>
      </c>
      <c r="G3018" s="22">
        <v>44.616193000000003</v>
      </c>
      <c r="H3018" s="21" t="s">
        <v>5725</v>
      </c>
      <c r="I3018" s="21" t="s">
        <v>5802</v>
      </c>
      <c r="J3018" s="21"/>
      <c r="K3018" s="24">
        <v>32</v>
      </c>
      <c r="L3018" s="24">
        <v>192</v>
      </c>
      <c r="M3018" s="23">
        <v>16</v>
      </c>
      <c r="N3018" s="23"/>
      <c r="O3018" s="23"/>
      <c r="P3018" s="23"/>
      <c r="Q3018" s="23"/>
      <c r="R3018" s="23"/>
      <c r="S3018" s="23"/>
      <c r="T3018" s="23"/>
      <c r="U3018" s="23">
        <v>1</v>
      </c>
      <c r="V3018" s="23"/>
      <c r="W3018" s="23"/>
      <c r="X3018" s="23"/>
      <c r="Y3018" s="23">
        <v>15</v>
      </c>
      <c r="Z3018" s="23"/>
      <c r="AA3018" s="23"/>
      <c r="AB3018" s="23"/>
      <c r="AC3018" s="23"/>
      <c r="AD3018" s="23"/>
      <c r="AE3018" s="23"/>
      <c r="AF3018" s="23">
        <v>6</v>
      </c>
      <c r="AG3018" s="23"/>
      <c r="AH3018" s="23"/>
      <c r="AI3018" s="23"/>
      <c r="AJ3018" s="23"/>
      <c r="AK3018" s="23">
        <v>26</v>
      </c>
      <c r="AL3018" s="23"/>
      <c r="AM3018" s="23"/>
      <c r="AN3018" s="23"/>
      <c r="AO3018" s="23"/>
      <c r="AP3018" s="23">
        <v>5</v>
      </c>
      <c r="AQ3018" s="23">
        <v>11</v>
      </c>
      <c r="AR3018" s="23">
        <v>12</v>
      </c>
      <c r="AS3018" s="23">
        <v>4</v>
      </c>
      <c r="AT3018" s="23"/>
      <c r="AU3018" s="14" t="str">
        <f>HYPERLINK("http://www.openstreetmap.org/?mlat=31.9688&amp;mlon=44.6162&amp;zoom=12#map=12/31.9688/44.6162","Maplink1")</f>
        <v>Maplink1</v>
      </c>
      <c r="AV3018" s="14" t="str">
        <f>HYPERLINK("https://www.google.iq/maps/search/+31.9688,44.6162/@31.9688,44.6162,14z?hl=en","Maplink2")</f>
        <v>Maplink2</v>
      </c>
      <c r="AW3018" s="14" t="str">
        <f>HYPERLINK("http://www.bing.com/maps/?lvl=14&amp;sty=h&amp;cp=31.9688~44.6162&amp;sp=point.31.9688_44.6162_Mantaket Al-Aagmai","Maplink3")</f>
        <v>Maplink3</v>
      </c>
    </row>
    <row r="3019" spans="1:49" ht="15" customHeight="1" x14ac:dyDescent="0.25">
      <c r="A3019" s="21">
        <v>25912</v>
      </c>
      <c r="B3019" s="22" t="s">
        <v>22</v>
      </c>
      <c r="C3019" s="22" t="s">
        <v>5799</v>
      </c>
      <c r="D3019" s="22" t="s">
        <v>5844</v>
      </c>
      <c r="E3019" s="22" t="s">
        <v>5845</v>
      </c>
      <c r="F3019" s="22">
        <v>32.049382000000001</v>
      </c>
      <c r="G3019" s="22">
        <v>44.559469</v>
      </c>
      <c r="H3019" s="21" t="s">
        <v>5725</v>
      </c>
      <c r="I3019" s="21" t="s">
        <v>5802</v>
      </c>
      <c r="J3019" s="21"/>
      <c r="K3019" s="24">
        <v>4</v>
      </c>
      <c r="L3019" s="24">
        <v>24</v>
      </c>
      <c r="M3019" s="23">
        <v>2</v>
      </c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2</v>
      </c>
      <c r="Z3019" s="23"/>
      <c r="AA3019" s="23"/>
      <c r="AB3019" s="23"/>
      <c r="AC3019" s="23"/>
      <c r="AD3019" s="23"/>
      <c r="AE3019" s="23"/>
      <c r="AF3019" s="23">
        <v>2</v>
      </c>
      <c r="AG3019" s="23"/>
      <c r="AH3019" s="23"/>
      <c r="AI3019" s="23"/>
      <c r="AJ3019" s="23"/>
      <c r="AK3019" s="23">
        <v>2</v>
      </c>
      <c r="AL3019" s="23"/>
      <c r="AM3019" s="23"/>
      <c r="AN3019" s="23"/>
      <c r="AO3019" s="23"/>
      <c r="AP3019" s="23"/>
      <c r="AQ3019" s="23">
        <v>2</v>
      </c>
      <c r="AR3019" s="23"/>
      <c r="AS3019" s="23">
        <v>2</v>
      </c>
      <c r="AT3019" s="23"/>
      <c r="AU3019" s="14" t="str">
        <f>HYPERLINK("http://www.openstreetmap.org/?mlat=32.0494&amp;mlon=44.5595&amp;zoom=12#map=12/32.0494/44.5595","Maplink1")</f>
        <v>Maplink1</v>
      </c>
      <c r="AV3019" s="14" t="str">
        <f>HYPERLINK("https://www.google.iq/maps/search/+32.0494,44.5595/@32.0494,44.5595,14z?hl=en","Maplink2")</f>
        <v>Maplink2</v>
      </c>
      <c r="AW3019" s="14" t="str">
        <f>HYPERLINK("http://www.bing.com/maps/?lvl=14&amp;sty=h&amp;cp=32.0494~44.5595&amp;sp=point.32.0494_44.5595_Mantaket Al-Taraba","Maplink3")</f>
        <v>Maplink3</v>
      </c>
    </row>
    <row r="3020" spans="1:49" ht="15" customHeight="1" x14ac:dyDescent="0.25">
      <c r="A3020" s="21">
        <v>25559</v>
      </c>
      <c r="B3020" s="22" t="s">
        <v>22</v>
      </c>
      <c r="C3020" s="22" t="s">
        <v>5799</v>
      </c>
      <c r="D3020" s="22" t="s">
        <v>9037</v>
      </c>
      <c r="E3020" s="22" t="s">
        <v>9038</v>
      </c>
      <c r="F3020" s="22">
        <v>31.973966999999998</v>
      </c>
      <c r="G3020" s="22">
        <v>44.605010999999998</v>
      </c>
      <c r="H3020" s="21" t="s">
        <v>5725</v>
      </c>
      <c r="I3020" s="21" t="s">
        <v>5802</v>
      </c>
      <c r="J3020" s="21"/>
      <c r="K3020" s="24">
        <v>11</v>
      </c>
      <c r="L3020" s="24">
        <v>66</v>
      </c>
      <c r="M3020" s="23">
        <v>4</v>
      </c>
      <c r="N3020" s="23"/>
      <c r="O3020" s="23">
        <v>2</v>
      </c>
      <c r="P3020" s="23"/>
      <c r="Q3020" s="23"/>
      <c r="R3020" s="23">
        <v>5</v>
      </c>
      <c r="S3020" s="23"/>
      <c r="T3020" s="23"/>
      <c r="U3020" s="23"/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23">
        <v>4</v>
      </c>
      <c r="AG3020" s="23"/>
      <c r="AH3020" s="23"/>
      <c r="AI3020" s="23"/>
      <c r="AJ3020" s="23"/>
      <c r="AK3020" s="23">
        <v>7</v>
      </c>
      <c r="AL3020" s="23"/>
      <c r="AM3020" s="23"/>
      <c r="AN3020" s="23"/>
      <c r="AO3020" s="23"/>
      <c r="AP3020" s="23">
        <v>2</v>
      </c>
      <c r="AQ3020" s="23">
        <v>6</v>
      </c>
      <c r="AR3020" s="23">
        <v>3</v>
      </c>
      <c r="AS3020" s="23"/>
      <c r="AT3020" s="23"/>
      <c r="AU3020" s="14" t="str">
        <f>HYPERLINK("http://www.openstreetmap.org/?mlat=31.974&amp;mlon=44.605&amp;zoom=12#map=12/31.974/44.605","Maplink1")</f>
        <v>Maplink1</v>
      </c>
      <c r="AV3020" s="14" t="str">
        <f>HYPERLINK("https://www.google.iq/maps/search/+31.974,44.605/@31.974,44.605,14z?hl=en","Maplink2")</f>
        <v>Maplink2</v>
      </c>
      <c r="AW3020" s="14" t="str">
        <f>HYPERLINK("http://www.bing.com/maps/?lvl=14&amp;sty=h&amp;cp=31.974~44.605&amp;sp=point.31.974_44.605_Said Nafei village","Maplink3")</f>
        <v>Maplink3</v>
      </c>
    </row>
    <row r="3021" spans="1:49" ht="15" customHeight="1" x14ac:dyDescent="0.25">
      <c r="A3021" s="21">
        <v>25859</v>
      </c>
      <c r="B3021" s="22" t="s">
        <v>22</v>
      </c>
      <c r="C3021" s="22" t="s">
        <v>5799</v>
      </c>
      <c r="D3021" s="22" t="s">
        <v>5846</v>
      </c>
      <c r="E3021" s="22" t="s">
        <v>5847</v>
      </c>
      <c r="F3021" s="22">
        <v>31.749472999999998</v>
      </c>
      <c r="G3021" s="22">
        <v>44.611547999999999</v>
      </c>
      <c r="H3021" s="21" t="s">
        <v>5725</v>
      </c>
      <c r="I3021" s="21" t="s">
        <v>5802</v>
      </c>
      <c r="J3021" s="21"/>
      <c r="K3021" s="24">
        <v>14</v>
      </c>
      <c r="L3021" s="24">
        <v>84</v>
      </c>
      <c r="M3021" s="23"/>
      <c r="N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>
        <v>14</v>
      </c>
      <c r="Z3021" s="23"/>
      <c r="AA3021" s="23"/>
      <c r="AB3021" s="23"/>
      <c r="AC3021" s="23"/>
      <c r="AD3021" s="23"/>
      <c r="AE3021" s="23"/>
      <c r="AF3021" s="23">
        <v>5</v>
      </c>
      <c r="AG3021" s="23"/>
      <c r="AH3021" s="23"/>
      <c r="AI3021" s="23"/>
      <c r="AJ3021" s="23">
        <v>9</v>
      </c>
      <c r="AK3021" s="23"/>
      <c r="AL3021" s="23"/>
      <c r="AM3021" s="23"/>
      <c r="AN3021" s="23"/>
      <c r="AO3021" s="23"/>
      <c r="AP3021" s="23"/>
      <c r="AQ3021" s="23">
        <v>14</v>
      </c>
      <c r="AR3021" s="23"/>
      <c r="AS3021" s="23"/>
      <c r="AT3021" s="23"/>
      <c r="AU3021" s="14" t="str">
        <f>HYPERLINK("http://www.openstreetmap.org/?mlat=31.7495&amp;mlon=44.6115&amp;zoom=12#map=12/31.7495/44.6115","Maplink1")</f>
        <v>Maplink1</v>
      </c>
      <c r="AV3021" s="14" t="str">
        <f>HYPERLINK("https://www.google.iq/maps/search/+31.7495,44.6115/@31.7495,44.6115,14z?hl=en","Maplink2")</f>
        <v>Maplink2</v>
      </c>
      <c r="AW3021" s="14" t="str">
        <f>HYPERLINK("http://www.bing.com/maps/?lvl=14&amp;sty=h&amp;cp=31.7495~44.6115&amp;sp=point.31.7495_44.6115_Um Showareef village","Maplink3")</f>
        <v>Maplink3</v>
      </c>
    </row>
    <row r="3022" spans="1:49" ht="15" customHeight="1" x14ac:dyDescent="0.25">
      <c r="A3022" s="21">
        <v>25792</v>
      </c>
      <c r="B3022" s="22" t="s">
        <v>22</v>
      </c>
      <c r="C3022" s="22" t="s">
        <v>5848</v>
      </c>
      <c r="D3022" s="22" t="s">
        <v>7363</v>
      </c>
      <c r="E3022" s="22" t="s">
        <v>5874</v>
      </c>
      <c r="F3022" s="22">
        <v>32.140388999999999</v>
      </c>
      <c r="G3022" s="22">
        <v>44.938516999999997</v>
      </c>
      <c r="H3022" s="21" t="s">
        <v>5725</v>
      </c>
      <c r="I3022" s="21" t="s">
        <v>5850</v>
      </c>
      <c r="J3022" s="21"/>
      <c r="K3022" s="24">
        <v>4</v>
      </c>
      <c r="L3022" s="24">
        <v>24</v>
      </c>
      <c r="M3022" s="23">
        <v>4</v>
      </c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>
        <v>4</v>
      </c>
      <c r="AG3022" s="23"/>
      <c r="AH3022" s="23"/>
      <c r="AI3022" s="23"/>
      <c r="AJ3022" s="23"/>
      <c r="AK3022" s="23"/>
      <c r="AL3022" s="23"/>
      <c r="AM3022" s="23"/>
      <c r="AN3022" s="23"/>
      <c r="AO3022" s="23"/>
      <c r="AP3022" s="23"/>
      <c r="AQ3022" s="23"/>
      <c r="AR3022" s="23">
        <v>4</v>
      </c>
      <c r="AS3022" s="23"/>
      <c r="AT3022" s="23"/>
      <c r="AU3022" s="14" t="str">
        <f>HYPERLINK("http://www.openstreetmap.org/?mlat=32.1404&amp;mlon=44.9385&amp;zoom=12#map=12/32.1404/44.9385","Maplink1")</f>
        <v>Maplink1</v>
      </c>
      <c r="AV3022" s="14" t="str">
        <f>HYPERLINK("https://www.google.iq/maps/search/+32.1404,44.9385/@32.1404,44.9385,14z?hl=en","Maplink2")</f>
        <v>Maplink2</v>
      </c>
      <c r="AW3022" s="14" t="str">
        <f>HYPERLINK("http://www.bing.com/maps/?lvl=14&amp;sty=h&amp;cp=32.1404~44.9385&amp;sp=point.32.1404_44.9385_Al-Daghara-Al Amish village","Maplink3")</f>
        <v>Maplink3</v>
      </c>
    </row>
    <row r="3023" spans="1:49" ht="15" customHeight="1" x14ac:dyDescent="0.25">
      <c r="A3023" s="21">
        <v>2943</v>
      </c>
      <c r="B3023" s="22" t="s">
        <v>22</v>
      </c>
      <c r="C3023" s="22" t="s">
        <v>5848</v>
      </c>
      <c r="D3023" s="22" t="s">
        <v>7364</v>
      </c>
      <c r="E3023" s="22" t="s">
        <v>5853</v>
      </c>
      <c r="F3023" s="22">
        <v>31.998982999999999</v>
      </c>
      <c r="G3023" s="22">
        <v>44.974117999999997</v>
      </c>
      <c r="H3023" s="21" t="s">
        <v>5725</v>
      </c>
      <c r="I3023" s="21" t="s">
        <v>5850</v>
      </c>
      <c r="J3023" s="21" t="s">
        <v>5854</v>
      </c>
      <c r="K3023" s="24">
        <v>44</v>
      </c>
      <c r="L3023" s="24">
        <v>264</v>
      </c>
      <c r="M3023" s="23"/>
      <c r="N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>
        <v>44</v>
      </c>
      <c r="Z3023" s="23"/>
      <c r="AA3023" s="23"/>
      <c r="AB3023" s="23"/>
      <c r="AC3023" s="23"/>
      <c r="AD3023" s="23"/>
      <c r="AE3023" s="23"/>
      <c r="AF3023" s="23">
        <v>12</v>
      </c>
      <c r="AG3023" s="23"/>
      <c r="AH3023" s="23"/>
      <c r="AI3023" s="23"/>
      <c r="AJ3023" s="23">
        <v>14</v>
      </c>
      <c r="AK3023" s="23">
        <v>11</v>
      </c>
      <c r="AL3023" s="23"/>
      <c r="AM3023" s="23">
        <v>7</v>
      </c>
      <c r="AN3023" s="23"/>
      <c r="AO3023" s="23"/>
      <c r="AP3023" s="23"/>
      <c r="AQ3023" s="23">
        <v>44</v>
      </c>
      <c r="AR3023" s="23"/>
      <c r="AS3023" s="23"/>
      <c r="AT3023" s="23"/>
      <c r="AU3023" s="14" t="str">
        <f>HYPERLINK("http://www.openstreetmap.org/?mlat=31.999&amp;mlon=44.9741&amp;zoom=12#map=12/31.999/44.9741","Maplink1")</f>
        <v>Maplink1</v>
      </c>
      <c r="AV3023" s="14" t="str">
        <f>HYPERLINK("https://www.google.iq/maps/search/+31.999,44.9741/@31.999,44.9741,14z?hl=en","Maplink2")</f>
        <v>Maplink2</v>
      </c>
      <c r="AW3023" s="14" t="str">
        <f>HYPERLINK("http://www.bing.com/maps/?lvl=14&amp;sty=h&amp;cp=31.999~44.9741&amp;sp=point.31.999_44.9741_Al hamad","Maplink3")</f>
        <v>Maplink3</v>
      </c>
    </row>
    <row r="3024" spans="1:49" ht="15" customHeight="1" x14ac:dyDescent="0.25">
      <c r="A3024" s="21">
        <v>24905</v>
      </c>
      <c r="B3024" s="22" t="s">
        <v>22</v>
      </c>
      <c r="C3024" s="22" t="s">
        <v>5848</v>
      </c>
      <c r="D3024" s="22" t="s">
        <v>7365</v>
      </c>
      <c r="E3024" s="22" t="s">
        <v>8086</v>
      </c>
      <c r="F3024" s="22">
        <v>32.026913999999998</v>
      </c>
      <c r="G3024" s="22">
        <v>44.801558</v>
      </c>
      <c r="H3024" s="21" t="s">
        <v>5725</v>
      </c>
      <c r="I3024" s="21" t="s">
        <v>5850</v>
      </c>
      <c r="J3024" s="21"/>
      <c r="K3024" s="24">
        <v>30</v>
      </c>
      <c r="L3024" s="24">
        <v>180</v>
      </c>
      <c r="M3024" s="23"/>
      <c r="N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>
        <v>30</v>
      </c>
      <c r="Z3024" s="23"/>
      <c r="AA3024" s="23"/>
      <c r="AB3024" s="23"/>
      <c r="AC3024" s="23"/>
      <c r="AD3024" s="23"/>
      <c r="AE3024" s="23"/>
      <c r="AF3024" s="23">
        <v>3</v>
      </c>
      <c r="AG3024" s="23"/>
      <c r="AH3024" s="23"/>
      <c r="AI3024" s="23"/>
      <c r="AJ3024" s="23">
        <v>19</v>
      </c>
      <c r="AK3024" s="23"/>
      <c r="AL3024" s="23"/>
      <c r="AM3024" s="23">
        <v>8</v>
      </c>
      <c r="AN3024" s="23"/>
      <c r="AO3024" s="23"/>
      <c r="AP3024" s="23">
        <v>29</v>
      </c>
      <c r="AQ3024" s="23">
        <v>1</v>
      </c>
      <c r="AR3024" s="23"/>
      <c r="AS3024" s="23"/>
      <c r="AT3024" s="23"/>
      <c r="AU3024" s="14" t="str">
        <f>HYPERLINK("http://www.openstreetmap.org/?mlat=32.0269&amp;mlon=44.8016&amp;zoom=12#map=12/32.0269/44.8016","Maplink1")</f>
        <v>Maplink1</v>
      </c>
      <c r="AV3024" s="14" t="str">
        <f>HYPERLINK("https://www.google.iq/maps/search/+32.0269,44.8016/@32.0269,44.8016,14z?hl=en","Maplink2")</f>
        <v>Maplink2</v>
      </c>
      <c r="AW3024" s="14" t="str">
        <f>HYPERLINK("http://www.bing.com/maps/?lvl=14&amp;sty=h&amp;cp=32.0269~44.8016&amp;sp=point.32.0269_44.8016_Al Suniyah - Al himran village","Maplink3")</f>
        <v>Maplink3</v>
      </c>
    </row>
    <row r="3025" spans="1:49" ht="15" customHeight="1" x14ac:dyDescent="0.25">
      <c r="A3025" s="21">
        <v>25793</v>
      </c>
      <c r="B3025" s="22" t="s">
        <v>22</v>
      </c>
      <c r="C3025" s="22" t="s">
        <v>5848</v>
      </c>
      <c r="D3025" s="22" t="s">
        <v>7366</v>
      </c>
      <c r="E3025" s="22" t="s">
        <v>5875</v>
      </c>
      <c r="F3025" s="22">
        <v>32.139006000000002</v>
      </c>
      <c r="G3025" s="22">
        <v>44.921464999999998</v>
      </c>
      <c r="H3025" s="21" t="s">
        <v>5725</v>
      </c>
      <c r="I3025" s="21" t="s">
        <v>5850</v>
      </c>
      <c r="J3025" s="21"/>
      <c r="K3025" s="24">
        <v>5</v>
      </c>
      <c r="L3025" s="24">
        <v>30</v>
      </c>
      <c r="M3025" s="23">
        <v>3</v>
      </c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>
        <v>2</v>
      </c>
      <c r="Z3025" s="23"/>
      <c r="AA3025" s="23"/>
      <c r="AB3025" s="23"/>
      <c r="AC3025" s="23"/>
      <c r="AD3025" s="23"/>
      <c r="AE3025" s="23"/>
      <c r="AF3025" s="23">
        <v>3</v>
      </c>
      <c r="AG3025" s="23"/>
      <c r="AH3025" s="23"/>
      <c r="AI3025" s="23"/>
      <c r="AJ3025" s="23"/>
      <c r="AK3025" s="23">
        <v>2</v>
      </c>
      <c r="AL3025" s="23"/>
      <c r="AM3025" s="23"/>
      <c r="AN3025" s="23"/>
      <c r="AO3025" s="23"/>
      <c r="AP3025" s="23"/>
      <c r="AQ3025" s="23">
        <v>2</v>
      </c>
      <c r="AR3025" s="23">
        <v>2</v>
      </c>
      <c r="AS3025" s="23">
        <v>1</v>
      </c>
      <c r="AT3025" s="23"/>
      <c r="AU3025" s="14" t="str">
        <f>HYPERLINK("http://www.openstreetmap.org/?mlat=32.139&amp;mlon=44.9215&amp;zoom=12#map=12/32.139/44.9215","Maplink1")</f>
        <v>Maplink1</v>
      </c>
      <c r="AV3025" s="14" t="str">
        <f>HYPERLINK("https://www.google.iq/maps/search/+32.139,44.9215/@32.139,44.9215,14z?hl=en","Maplink2")</f>
        <v>Maplink2</v>
      </c>
      <c r="AW3025" s="14" t="str">
        <f>HYPERLINK("http://www.bing.com/maps/?lvl=14&amp;sty=h&amp;cp=32.139~44.9215&amp;sp=point.32.139_44.9215_Al-Daghara-Al Marmad Village","Maplink3")</f>
        <v>Maplink3</v>
      </c>
    </row>
    <row r="3026" spans="1:49" ht="15" customHeight="1" x14ac:dyDescent="0.25">
      <c r="A3026" s="21">
        <v>22326</v>
      </c>
      <c r="B3026" s="22" t="s">
        <v>22</v>
      </c>
      <c r="C3026" s="22" t="s">
        <v>5848</v>
      </c>
      <c r="D3026" s="22" t="s">
        <v>9039</v>
      </c>
      <c r="E3026" s="22" t="s">
        <v>5849</v>
      </c>
      <c r="F3026" s="22">
        <v>31.982631000000001</v>
      </c>
      <c r="G3026" s="22">
        <v>44.974276000000003</v>
      </c>
      <c r="H3026" s="21" t="s">
        <v>5725</v>
      </c>
      <c r="I3026" s="21" t="s">
        <v>5850</v>
      </c>
      <c r="J3026" s="21" t="s">
        <v>5851</v>
      </c>
      <c r="K3026" s="24">
        <v>393</v>
      </c>
      <c r="L3026" s="24">
        <v>2358</v>
      </c>
      <c r="M3026" s="23">
        <v>5</v>
      </c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>
        <v>388</v>
      </c>
      <c r="Z3026" s="23"/>
      <c r="AA3026" s="23"/>
      <c r="AB3026" s="23"/>
      <c r="AC3026" s="23"/>
      <c r="AD3026" s="23"/>
      <c r="AE3026" s="23"/>
      <c r="AF3026" s="23"/>
      <c r="AG3026" s="23"/>
      <c r="AH3026" s="23"/>
      <c r="AI3026" s="23">
        <v>393</v>
      </c>
      <c r="AJ3026" s="23"/>
      <c r="AK3026" s="23"/>
      <c r="AL3026" s="23"/>
      <c r="AM3026" s="23"/>
      <c r="AN3026" s="23"/>
      <c r="AO3026" s="23"/>
      <c r="AP3026" s="23">
        <v>5</v>
      </c>
      <c r="AQ3026" s="23">
        <v>383</v>
      </c>
      <c r="AR3026" s="23">
        <v>4</v>
      </c>
      <c r="AS3026" s="23">
        <v>1</v>
      </c>
      <c r="AT3026" s="23"/>
      <c r="AU3026" s="14" t="str">
        <f>HYPERLINK("http://www.openstreetmap.org/?mlat=31.9826&amp;mlon=44.9743&amp;zoom=12#map=12/31.9826/44.9743","Maplink1")</f>
        <v>Maplink1</v>
      </c>
      <c r="AV3026" s="14" t="str">
        <f>HYPERLINK("https://www.google.iq/maps/search/+31.9826,44.9743/@31.9826,44.9743,14z?hl=en","Maplink2")</f>
        <v>Maplink2</v>
      </c>
      <c r="AW3026" s="14" t="str">
        <f>HYPERLINK("http://www.bing.com/maps/?lvl=14&amp;sty=h&amp;cp=31.9826~44.9743&amp;sp=point.31.9826_44.9743_Al Emarat Al Sakaniyah","Maplink3")</f>
        <v>Maplink3</v>
      </c>
    </row>
    <row r="3027" spans="1:49" ht="15" customHeight="1" x14ac:dyDescent="0.25">
      <c r="A3027" s="21">
        <v>25515</v>
      </c>
      <c r="B3027" s="22" t="s">
        <v>22</v>
      </c>
      <c r="C3027" s="22" t="s">
        <v>5848</v>
      </c>
      <c r="D3027" s="22" t="s">
        <v>5863</v>
      </c>
      <c r="E3027" s="22" t="s">
        <v>5864</v>
      </c>
      <c r="F3027" s="22">
        <v>32.151837</v>
      </c>
      <c r="G3027" s="22">
        <v>44.904530999999999</v>
      </c>
      <c r="H3027" s="21" t="s">
        <v>5725</v>
      </c>
      <c r="I3027" s="21" t="s">
        <v>5850</v>
      </c>
      <c r="J3027" s="21"/>
      <c r="K3027" s="24">
        <v>10</v>
      </c>
      <c r="L3027" s="24">
        <v>60</v>
      </c>
      <c r="M3027" s="23"/>
      <c r="N3027" s="23"/>
      <c r="O3027" s="23"/>
      <c r="P3027" s="23"/>
      <c r="Q3027" s="23"/>
      <c r="R3027" s="23"/>
      <c r="S3027" s="23"/>
      <c r="T3027" s="23"/>
      <c r="U3027" s="23">
        <v>3</v>
      </c>
      <c r="V3027" s="23"/>
      <c r="W3027" s="23"/>
      <c r="X3027" s="23"/>
      <c r="Y3027" s="23">
        <v>7</v>
      </c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>
        <v>7</v>
      </c>
      <c r="AK3027" s="23">
        <v>3</v>
      </c>
      <c r="AL3027" s="23"/>
      <c r="AM3027" s="23"/>
      <c r="AN3027" s="23"/>
      <c r="AO3027" s="23"/>
      <c r="AP3027" s="23">
        <v>3</v>
      </c>
      <c r="AQ3027" s="23">
        <v>7</v>
      </c>
      <c r="AR3027" s="23"/>
      <c r="AS3027" s="23"/>
      <c r="AT3027" s="23"/>
      <c r="AU3027" s="14" t="str">
        <f>HYPERLINK("http://www.openstreetmap.org/?mlat=32.1518&amp;mlon=44.9045&amp;zoom=12#map=12/32.1518/44.9045","Maplink1")</f>
        <v>Maplink1</v>
      </c>
      <c r="AV3027" s="14" t="str">
        <f>HYPERLINK("https://www.google.iq/maps/search/+32.1518,44.9045/@32.1518,44.9045,14z?hl=en","Maplink2")</f>
        <v>Maplink2</v>
      </c>
      <c r="AW3027" s="14" t="str">
        <f>HYPERLINK("http://www.bing.com/maps/?lvl=14&amp;sty=h&amp;cp=32.1518~44.9045&amp;sp=point.32.1518_44.9045_Al- Dorees village","Maplink3")</f>
        <v>Maplink3</v>
      </c>
    </row>
    <row r="3028" spans="1:49" ht="15" customHeight="1" x14ac:dyDescent="0.25">
      <c r="A3028" s="21">
        <v>2672</v>
      </c>
      <c r="B3028" s="22" t="s">
        <v>22</v>
      </c>
      <c r="C3028" s="22" t="s">
        <v>5848</v>
      </c>
      <c r="D3028" s="22" t="s">
        <v>7367</v>
      </c>
      <c r="E3028" s="22" t="s">
        <v>5865</v>
      </c>
      <c r="F3028" s="22">
        <v>31.924061999999999</v>
      </c>
      <c r="G3028" s="22">
        <v>44.911974999999998</v>
      </c>
      <c r="H3028" s="21" t="s">
        <v>5725</v>
      </c>
      <c r="I3028" s="21" t="s">
        <v>5850</v>
      </c>
      <c r="J3028" s="21" t="s">
        <v>5866</v>
      </c>
      <c r="K3028" s="24">
        <v>22</v>
      </c>
      <c r="L3028" s="24">
        <v>132</v>
      </c>
      <c r="M3028" s="23"/>
      <c r="N3028" s="23"/>
      <c r="O3028" s="23"/>
      <c r="P3028" s="23"/>
      <c r="Q3028" s="23"/>
      <c r="R3028" s="23"/>
      <c r="S3028" s="23"/>
      <c r="T3028" s="23"/>
      <c r="U3028" s="23">
        <v>2</v>
      </c>
      <c r="V3028" s="23"/>
      <c r="W3028" s="23"/>
      <c r="X3028" s="23"/>
      <c r="Y3028" s="23">
        <v>20</v>
      </c>
      <c r="Z3028" s="23"/>
      <c r="AA3028" s="23"/>
      <c r="AB3028" s="23"/>
      <c r="AC3028" s="23"/>
      <c r="AD3028" s="23"/>
      <c r="AE3028" s="23"/>
      <c r="AF3028" s="23">
        <v>5</v>
      </c>
      <c r="AG3028" s="23"/>
      <c r="AH3028" s="23"/>
      <c r="AI3028" s="23"/>
      <c r="AJ3028" s="23">
        <v>17</v>
      </c>
      <c r="AK3028" s="23"/>
      <c r="AL3028" s="23"/>
      <c r="AM3028" s="23"/>
      <c r="AN3028" s="23"/>
      <c r="AO3028" s="23"/>
      <c r="AP3028" s="23">
        <v>12</v>
      </c>
      <c r="AQ3028" s="23">
        <v>10</v>
      </c>
      <c r="AR3028" s="23"/>
      <c r="AS3028" s="23"/>
      <c r="AT3028" s="23"/>
      <c r="AU3028" s="14" t="str">
        <f>HYPERLINK("http://www.openstreetmap.org/?mlat=31.9225&amp;mlon=44.9119&amp;zoom=12#map=12/31.9225/44.9119","Maplink1")</f>
        <v>Maplink1</v>
      </c>
      <c r="AV3028" s="14" t="str">
        <f>HYPERLINK("https://www.google.iq/maps/search/+31.9225,44.9119/@31.9225,44.9119,14z?hl=en","Maplink2")</f>
        <v>Maplink2</v>
      </c>
      <c r="AW3028" s="14" t="str">
        <f>HYPERLINK("http://www.bing.com/maps/?lvl=14&amp;sty=h&amp;cp=31.9225~44.9119&amp;sp=point.31.9225_44.9119_Al-ataa","Maplink3")</f>
        <v>Maplink3</v>
      </c>
    </row>
    <row r="3029" spans="1:49" ht="15" customHeight="1" x14ac:dyDescent="0.25">
      <c r="A3029" s="21">
        <v>3033</v>
      </c>
      <c r="B3029" s="22" t="s">
        <v>22</v>
      </c>
      <c r="C3029" s="22" t="s">
        <v>5848</v>
      </c>
      <c r="D3029" s="22" t="s">
        <v>5867</v>
      </c>
      <c r="E3029" s="22" t="s">
        <v>5868</v>
      </c>
      <c r="F3029" s="22">
        <v>32.029722</v>
      </c>
      <c r="G3029" s="22">
        <v>44.867522000000001</v>
      </c>
      <c r="H3029" s="21" t="s">
        <v>5725</v>
      </c>
      <c r="I3029" s="21" t="s">
        <v>5850</v>
      </c>
      <c r="J3029" s="21" t="s">
        <v>5869</v>
      </c>
      <c r="K3029" s="24">
        <v>15</v>
      </c>
      <c r="L3029" s="24">
        <v>90</v>
      </c>
      <c r="M3029" s="23">
        <v>3</v>
      </c>
      <c r="N3029" s="23">
        <v>7</v>
      </c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>
        <v>5</v>
      </c>
      <c r="Z3029" s="23"/>
      <c r="AA3029" s="23"/>
      <c r="AB3029" s="23"/>
      <c r="AC3029" s="23"/>
      <c r="AD3029" s="23"/>
      <c r="AE3029" s="23"/>
      <c r="AF3029" s="23">
        <v>6</v>
      </c>
      <c r="AG3029" s="23"/>
      <c r="AH3029" s="23"/>
      <c r="AI3029" s="23"/>
      <c r="AJ3029" s="23"/>
      <c r="AK3029" s="23">
        <v>9</v>
      </c>
      <c r="AL3029" s="23"/>
      <c r="AM3029" s="23"/>
      <c r="AN3029" s="23"/>
      <c r="AO3029" s="23"/>
      <c r="AP3029" s="23"/>
      <c r="AQ3029" s="23">
        <v>12</v>
      </c>
      <c r="AR3029" s="23">
        <v>3</v>
      </c>
      <c r="AS3029" s="23"/>
      <c r="AT3029" s="23"/>
      <c r="AU3029" s="14" t="str">
        <f>HYPERLINK("http://www.openstreetmap.org/?mlat=32.0297&amp;mlon=44.8675&amp;zoom=12#map=12/32.0297/44.8675","Maplink1")</f>
        <v>Maplink1</v>
      </c>
      <c r="AV3029" s="14" t="str">
        <f>HYPERLINK("https://www.google.iq/maps/search/+32.0297,44.8675/@32.0297,44.8675,14z?hl=en","Maplink2")</f>
        <v>Maplink2</v>
      </c>
      <c r="AW3029" s="14" t="str">
        <f>HYPERLINK("http://www.bing.com/maps/?lvl=14&amp;sty=h&amp;cp=32.0297~44.8675&amp;sp=point.32.0297_44.8675_Al-bo Hay Alaa Village","Maplink3")</f>
        <v>Maplink3</v>
      </c>
    </row>
    <row r="3030" spans="1:49" ht="15" customHeight="1" x14ac:dyDescent="0.25">
      <c r="A3030" s="21">
        <v>3248</v>
      </c>
      <c r="B3030" s="22" t="s">
        <v>22</v>
      </c>
      <c r="C3030" s="22" t="s">
        <v>5848</v>
      </c>
      <c r="D3030" s="22" t="s">
        <v>9040</v>
      </c>
      <c r="E3030" s="22" t="s">
        <v>5870</v>
      </c>
      <c r="F3030" s="22">
        <v>32.159722000000002</v>
      </c>
      <c r="G3030" s="22">
        <v>44.890278000000002</v>
      </c>
      <c r="H3030" s="21" t="s">
        <v>5725</v>
      </c>
      <c r="I3030" s="21" t="s">
        <v>5850</v>
      </c>
      <c r="J3030" s="21" t="s">
        <v>5871</v>
      </c>
      <c r="K3030" s="24">
        <v>12</v>
      </c>
      <c r="L3030" s="24">
        <v>72</v>
      </c>
      <c r="M3030" s="23">
        <v>1</v>
      </c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>
        <v>11</v>
      </c>
      <c r="Z3030" s="23"/>
      <c r="AA3030" s="23"/>
      <c r="AB3030" s="23"/>
      <c r="AC3030" s="23"/>
      <c r="AD3030" s="23"/>
      <c r="AE3030" s="23"/>
      <c r="AF3030" s="23">
        <v>1</v>
      </c>
      <c r="AG3030" s="23"/>
      <c r="AH3030" s="23"/>
      <c r="AI3030" s="23"/>
      <c r="AJ3030" s="23">
        <v>9</v>
      </c>
      <c r="AK3030" s="23">
        <v>2</v>
      </c>
      <c r="AL3030" s="23"/>
      <c r="AM3030" s="23"/>
      <c r="AN3030" s="23"/>
      <c r="AO3030" s="23"/>
      <c r="AP3030" s="23"/>
      <c r="AQ3030" s="23">
        <v>11</v>
      </c>
      <c r="AR3030" s="23">
        <v>1</v>
      </c>
      <c r="AS3030" s="23"/>
      <c r="AT3030" s="23"/>
      <c r="AU3030" s="14" t="str">
        <f>HYPERLINK("http://www.openstreetmap.org/?mlat=32.1597&amp;mlon=44.8903&amp;zoom=12#map=12/32.1597/44.8903","Maplink1")</f>
        <v>Maplink1</v>
      </c>
      <c r="AV3030" s="14" t="str">
        <f>HYPERLINK("https://www.google.iq/maps/search/+32.1597,44.8903/@32.1597,44.8903,14z?hl=en","Maplink2")</f>
        <v>Maplink2</v>
      </c>
      <c r="AW3030" s="14" t="str">
        <f>HYPERLINK("http://www.bing.com/maps/?lvl=14&amp;sty=h&amp;cp=32.1597~44.8903&amp;sp=point.32.1597_44.8903_Al-bu huwaila","Maplink3")</f>
        <v>Maplink3</v>
      </c>
    </row>
    <row r="3031" spans="1:49" ht="15" customHeight="1" x14ac:dyDescent="0.25">
      <c r="A3031" s="21">
        <v>3250</v>
      </c>
      <c r="B3031" s="22" t="s">
        <v>22</v>
      </c>
      <c r="C3031" s="22" t="s">
        <v>5848</v>
      </c>
      <c r="D3031" s="22" t="s">
        <v>7368</v>
      </c>
      <c r="E3031" s="22" t="s">
        <v>5872</v>
      </c>
      <c r="F3031" s="22">
        <v>32.153970999999999</v>
      </c>
      <c r="G3031" s="22">
        <v>44.900435999999999</v>
      </c>
      <c r="H3031" s="21" t="s">
        <v>5725</v>
      </c>
      <c r="I3031" s="21" t="s">
        <v>5850</v>
      </c>
      <c r="J3031" s="21" t="s">
        <v>5873</v>
      </c>
      <c r="K3031" s="24">
        <v>8</v>
      </c>
      <c r="L3031" s="24">
        <v>48</v>
      </c>
      <c r="M3031" s="23">
        <v>2</v>
      </c>
      <c r="N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>
        <v>6</v>
      </c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23"/>
      <c r="AJ3031" s="23">
        <v>6</v>
      </c>
      <c r="AK3031" s="23">
        <v>2</v>
      </c>
      <c r="AL3031" s="23"/>
      <c r="AM3031" s="23"/>
      <c r="AN3031" s="23"/>
      <c r="AO3031" s="23"/>
      <c r="AP3031" s="23"/>
      <c r="AQ3031" s="23">
        <v>6</v>
      </c>
      <c r="AR3031" s="23">
        <v>2</v>
      </c>
      <c r="AS3031" s="23"/>
      <c r="AT3031" s="23"/>
      <c r="AU3031" s="14" t="str">
        <f>HYPERLINK("http://www.openstreetmap.org/?mlat=32.154&amp;mlon=44.9004&amp;zoom=12#map=12/32.154/44.9004","Maplink1")</f>
        <v>Maplink1</v>
      </c>
      <c r="AV3031" s="14" t="str">
        <f>HYPERLINK("https://www.google.iq/maps/search/+32.154,44.9004/@32.154,44.9004,14z?hl=en","Maplink2")</f>
        <v>Maplink2</v>
      </c>
      <c r="AW3031" s="14" t="str">
        <f>HYPERLINK("http://www.bing.com/maps/?lvl=14&amp;sty=h&amp;cp=32.154~44.9004&amp;sp=point.32.154_44.9004_Al-bu jamal","Maplink3")</f>
        <v>Maplink3</v>
      </c>
    </row>
    <row r="3032" spans="1:49" ht="15" customHeight="1" x14ac:dyDescent="0.25">
      <c r="A3032" s="21">
        <v>2892</v>
      </c>
      <c r="B3032" s="22" t="s">
        <v>22</v>
      </c>
      <c r="C3032" s="22" t="s">
        <v>5848</v>
      </c>
      <c r="D3032" s="22" t="s">
        <v>5876</v>
      </c>
      <c r="E3032" s="22" t="s">
        <v>5877</v>
      </c>
      <c r="F3032" s="22">
        <v>32.102347999999999</v>
      </c>
      <c r="G3032" s="22">
        <v>44.925001000000002</v>
      </c>
      <c r="H3032" s="21" t="s">
        <v>5725</v>
      </c>
      <c r="I3032" s="21" t="s">
        <v>5850</v>
      </c>
      <c r="J3032" s="21" t="s">
        <v>5878</v>
      </c>
      <c r="K3032" s="24">
        <v>7</v>
      </c>
      <c r="L3032" s="24">
        <v>42</v>
      </c>
      <c r="M3032" s="23"/>
      <c r="N3032" s="23"/>
      <c r="O3032" s="23"/>
      <c r="P3032" s="23"/>
      <c r="Q3032" s="23"/>
      <c r="R3032" s="23"/>
      <c r="S3032" s="23"/>
      <c r="T3032" s="23"/>
      <c r="U3032" s="23">
        <v>2</v>
      </c>
      <c r="V3032" s="23"/>
      <c r="W3032" s="23"/>
      <c r="X3032" s="23"/>
      <c r="Y3032" s="23">
        <v>5</v>
      </c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23"/>
      <c r="AJ3032" s="23"/>
      <c r="AK3032" s="23">
        <v>4</v>
      </c>
      <c r="AL3032" s="23">
        <v>3</v>
      </c>
      <c r="AM3032" s="23"/>
      <c r="AN3032" s="23"/>
      <c r="AO3032" s="23"/>
      <c r="AP3032" s="23">
        <v>5</v>
      </c>
      <c r="AQ3032" s="23">
        <v>2</v>
      </c>
      <c r="AR3032" s="23"/>
      <c r="AS3032" s="23"/>
      <c r="AT3032" s="23"/>
      <c r="AU3032" s="14" t="str">
        <f>HYPERLINK("http://www.openstreetmap.org/?mlat=32.1023&amp;mlon=44.925&amp;zoom=12#map=12/32.1023/44.925","Maplink1")</f>
        <v>Maplink1</v>
      </c>
      <c r="AV3032" s="14" t="str">
        <f>HYPERLINK("https://www.google.iq/maps/search/+32.1023,44.925/@32.1023,44.925,14z?hl=en","Maplink2")</f>
        <v>Maplink2</v>
      </c>
      <c r="AW3032" s="14" t="str">
        <f>HYPERLINK("http://www.bing.com/maps/?lvl=14&amp;sty=h&amp;cp=32.1023~44.925&amp;sp=point.32.1023_44.925_Al-Hacham Village","Maplink3")</f>
        <v>Maplink3</v>
      </c>
    </row>
    <row r="3033" spans="1:49" ht="15" customHeight="1" x14ac:dyDescent="0.25">
      <c r="A3033" s="21">
        <v>25071</v>
      </c>
      <c r="B3033" s="22" t="s">
        <v>22</v>
      </c>
      <c r="C3033" s="22" t="s">
        <v>5848</v>
      </c>
      <c r="D3033" s="22" t="s">
        <v>7369</v>
      </c>
      <c r="E3033" s="22" t="s">
        <v>5901</v>
      </c>
      <c r="F3033" s="22">
        <v>32.085636000000001</v>
      </c>
      <c r="G3033" s="22">
        <v>44.763855999999997</v>
      </c>
      <c r="H3033" s="21" t="s">
        <v>5725</v>
      </c>
      <c r="I3033" s="21" t="s">
        <v>5850</v>
      </c>
      <c r="J3033" s="21"/>
      <c r="K3033" s="24">
        <v>22</v>
      </c>
      <c r="L3033" s="24">
        <v>132</v>
      </c>
      <c r="M3033" s="23"/>
      <c r="N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>
        <v>22</v>
      </c>
      <c r="Z3033" s="23"/>
      <c r="AA3033" s="23"/>
      <c r="AB3033" s="23"/>
      <c r="AC3033" s="23"/>
      <c r="AD3033" s="23"/>
      <c r="AE3033" s="23"/>
      <c r="AF3033" s="23"/>
      <c r="AG3033" s="23"/>
      <c r="AH3033" s="23"/>
      <c r="AI3033" s="23"/>
      <c r="AJ3033" s="23">
        <v>20</v>
      </c>
      <c r="AK3033" s="23">
        <v>2</v>
      </c>
      <c r="AL3033" s="23"/>
      <c r="AM3033" s="23"/>
      <c r="AN3033" s="23"/>
      <c r="AO3033" s="23"/>
      <c r="AP3033" s="23">
        <v>4</v>
      </c>
      <c r="AQ3033" s="23">
        <v>18</v>
      </c>
      <c r="AR3033" s="23"/>
      <c r="AS3033" s="23"/>
      <c r="AT3033" s="23"/>
      <c r="AU3033" s="14" t="str">
        <f>HYPERLINK("http://www.openstreetmap.org/?mlat=32.0856&amp;mlon=44.7639&amp;zoom=12#map=12/32.0856/44.7639","Maplink1")</f>
        <v>Maplink1</v>
      </c>
      <c r="AV3033" s="14" t="str">
        <f>HYPERLINK("https://www.google.iq/maps/search/+32.0856,44.7639/@32.0856,44.7639,14z?hl=en","Maplink2")</f>
        <v>Maplink2</v>
      </c>
      <c r="AW3033" s="14" t="str">
        <f>HYPERLINK("http://www.bing.com/maps/?lvl=14&amp;sty=h&amp;cp=32.0856~44.7639&amp;sp=point.32.0856_44.7639_Al-Saniya-Al-Jabaar village","Maplink3")</f>
        <v>Maplink3</v>
      </c>
    </row>
    <row r="3034" spans="1:49" ht="15" customHeight="1" x14ac:dyDescent="0.25">
      <c r="A3034" s="21">
        <v>3381</v>
      </c>
      <c r="B3034" s="22" t="s">
        <v>22</v>
      </c>
      <c r="C3034" s="22" t="s">
        <v>5848</v>
      </c>
      <c r="D3034" s="22" t="s">
        <v>5879</v>
      </c>
      <c r="E3034" s="22" t="s">
        <v>636</v>
      </c>
      <c r="F3034" s="22">
        <v>32.000940999999997</v>
      </c>
      <c r="G3034" s="22">
        <v>44.930717999999999</v>
      </c>
      <c r="H3034" s="21" t="s">
        <v>5725</v>
      </c>
      <c r="I3034" s="21" t="s">
        <v>5850</v>
      </c>
      <c r="J3034" s="21" t="s">
        <v>5880</v>
      </c>
      <c r="K3034" s="24">
        <v>9</v>
      </c>
      <c r="L3034" s="24">
        <v>54</v>
      </c>
      <c r="M3034" s="23">
        <v>6</v>
      </c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3</v>
      </c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/>
      <c r="AK3034" s="23">
        <v>9</v>
      </c>
      <c r="AL3034" s="23"/>
      <c r="AM3034" s="23"/>
      <c r="AN3034" s="23"/>
      <c r="AO3034" s="23"/>
      <c r="AP3034" s="23"/>
      <c r="AQ3034" s="23">
        <v>3</v>
      </c>
      <c r="AR3034" s="23">
        <v>6</v>
      </c>
      <c r="AS3034" s="23"/>
      <c r="AT3034" s="23"/>
      <c r="AU3034" s="14" t="str">
        <f>HYPERLINK("http://www.openstreetmap.org/?mlat=32.0009&amp;mlon=44.9309&amp;zoom=12#map=12/32.0009/44.9309","Maplink1")</f>
        <v>Maplink1</v>
      </c>
      <c r="AV3034" s="14" t="str">
        <f>HYPERLINK("https://www.google.iq/maps/search/+32.0009,44.9309/@32.0009,44.9309,14z?hl=en","Maplink2")</f>
        <v>Maplink2</v>
      </c>
      <c r="AW3034" s="14" t="str">
        <f>HYPERLINK("http://www.bing.com/maps/?lvl=14&amp;sty=h&amp;cp=32.0009~44.9309&amp;sp=point.32.0009_44.9309_AL-Jamiyah 2","Maplink3")</f>
        <v>Maplink3</v>
      </c>
    </row>
    <row r="3035" spans="1:49" ht="15" customHeight="1" x14ac:dyDescent="0.25">
      <c r="A3035" s="21">
        <v>25288</v>
      </c>
      <c r="B3035" s="22" t="s">
        <v>22</v>
      </c>
      <c r="C3035" s="22" t="s">
        <v>5848</v>
      </c>
      <c r="D3035" s="22" t="s">
        <v>5881</v>
      </c>
      <c r="E3035" s="22" t="s">
        <v>5882</v>
      </c>
      <c r="F3035" s="22">
        <v>32.019762999999998</v>
      </c>
      <c r="G3035" s="22">
        <v>44.928500999999997</v>
      </c>
      <c r="H3035" s="21" t="s">
        <v>5725</v>
      </c>
      <c r="I3035" s="21" t="s">
        <v>5850</v>
      </c>
      <c r="J3035" s="21"/>
      <c r="K3035" s="24">
        <v>16</v>
      </c>
      <c r="L3035" s="24">
        <v>96</v>
      </c>
      <c r="M3035" s="23">
        <v>3</v>
      </c>
      <c r="N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>
        <v>13</v>
      </c>
      <c r="Z3035" s="23"/>
      <c r="AA3035" s="23"/>
      <c r="AB3035" s="23"/>
      <c r="AC3035" s="23"/>
      <c r="AD3035" s="23"/>
      <c r="AE3035" s="23"/>
      <c r="AF3035" s="23">
        <v>9</v>
      </c>
      <c r="AG3035" s="23"/>
      <c r="AH3035" s="23"/>
      <c r="AI3035" s="23"/>
      <c r="AJ3035" s="23"/>
      <c r="AK3035" s="23">
        <v>7</v>
      </c>
      <c r="AL3035" s="23"/>
      <c r="AM3035" s="23"/>
      <c r="AN3035" s="23"/>
      <c r="AO3035" s="23"/>
      <c r="AP3035" s="23">
        <v>10</v>
      </c>
      <c r="AQ3035" s="23">
        <v>3</v>
      </c>
      <c r="AR3035" s="23">
        <v>1</v>
      </c>
      <c r="AS3035" s="23">
        <v>2</v>
      </c>
      <c r="AT3035" s="23"/>
      <c r="AU3035" s="14" t="str">
        <f>HYPERLINK("http://www.openstreetmap.org/?mlat=32.0198&amp;mlon=44.9285&amp;zoom=12#map=12/32.0198/44.9285","Maplink1")</f>
        <v>Maplink1</v>
      </c>
      <c r="AV3035" s="14" t="str">
        <f>HYPERLINK("https://www.google.iq/maps/search/+32.0198,44.9285/@32.0198,44.9285,14z?hl=en","Maplink2")</f>
        <v>Maplink2</v>
      </c>
      <c r="AW3035" s="14" t="str">
        <f>HYPERLINK("http://www.bing.com/maps/?lvl=14&amp;sty=h&amp;cp=32.0198~44.9285&amp;sp=point.32.0198_44.9285_Al-Jasem Village","Maplink3")</f>
        <v>Maplink3</v>
      </c>
    </row>
    <row r="3036" spans="1:49" ht="15" customHeight="1" x14ac:dyDescent="0.25">
      <c r="A3036" s="21">
        <v>25957</v>
      </c>
      <c r="B3036" s="22" t="s">
        <v>22</v>
      </c>
      <c r="C3036" s="22" t="s">
        <v>5848</v>
      </c>
      <c r="D3036" s="22" t="s">
        <v>5883</v>
      </c>
      <c r="E3036" s="22" t="s">
        <v>5884</v>
      </c>
      <c r="F3036" s="22">
        <v>31.984237</v>
      </c>
      <c r="G3036" s="22">
        <v>44.903075999999999</v>
      </c>
      <c r="H3036" s="21" t="s">
        <v>5725</v>
      </c>
      <c r="I3036" s="21" t="s">
        <v>5850</v>
      </c>
      <c r="J3036" s="21"/>
      <c r="K3036" s="24">
        <v>14</v>
      </c>
      <c r="L3036" s="24">
        <v>84</v>
      </c>
      <c r="M3036" s="23">
        <v>6</v>
      </c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>
        <v>8</v>
      </c>
      <c r="Z3036" s="23"/>
      <c r="AA3036" s="23"/>
      <c r="AB3036" s="23"/>
      <c r="AC3036" s="23"/>
      <c r="AD3036" s="23"/>
      <c r="AE3036" s="23"/>
      <c r="AF3036" s="23">
        <v>5</v>
      </c>
      <c r="AG3036" s="23"/>
      <c r="AH3036" s="23"/>
      <c r="AI3036" s="23"/>
      <c r="AJ3036" s="23"/>
      <c r="AK3036" s="23">
        <v>9</v>
      </c>
      <c r="AL3036" s="23"/>
      <c r="AM3036" s="23"/>
      <c r="AN3036" s="23"/>
      <c r="AO3036" s="23"/>
      <c r="AP3036" s="23">
        <v>6</v>
      </c>
      <c r="AQ3036" s="23">
        <v>2</v>
      </c>
      <c r="AR3036" s="23">
        <v>2</v>
      </c>
      <c r="AS3036" s="23">
        <v>4</v>
      </c>
      <c r="AT3036" s="23"/>
      <c r="AU3036" s="14" t="str">
        <f>HYPERLINK("http://www.openstreetmap.org/?mlat=31.9842&amp;mlon=44.9031&amp;zoom=12#map=12/31.9842/44.9031","Maplink1")</f>
        <v>Maplink1</v>
      </c>
      <c r="AV3036" s="14" t="str">
        <f>HYPERLINK("https://www.google.iq/maps/search/+31.9842,44.9031/@31.9842,44.9031,14z?hl=en","Maplink2")</f>
        <v>Maplink2</v>
      </c>
      <c r="AW3036" s="14" t="str">
        <f>HYPERLINK("http://www.bing.com/maps/?lvl=14&amp;sty=h&amp;cp=31.9842~44.9031&amp;sp=point.31.9842_44.9031_Al-Jazaair 1","Maplink3")</f>
        <v>Maplink3</v>
      </c>
    </row>
    <row r="3037" spans="1:49" ht="15" customHeight="1" x14ac:dyDescent="0.25">
      <c r="A3037" s="21">
        <v>2885</v>
      </c>
      <c r="B3037" s="22" t="s">
        <v>22</v>
      </c>
      <c r="C3037" s="22" t="s">
        <v>5848</v>
      </c>
      <c r="D3037" s="22" t="s">
        <v>5885</v>
      </c>
      <c r="E3037" s="22" t="s">
        <v>5886</v>
      </c>
      <c r="F3037" s="22">
        <v>31.987777999999999</v>
      </c>
      <c r="G3037" s="22">
        <v>44.908332999999999</v>
      </c>
      <c r="H3037" s="21" t="s">
        <v>5725</v>
      </c>
      <c r="I3037" s="21" t="s">
        <v>5850</v>
      </c>
      <c r="J3037" s="21" t="s">
        <v>5887</v>
      </c>
      <c r="K3037" s="24">
        <v>24</v>
      </c>
      <c r="L3037" s="24">
        <v>144</v>
      </c>
      <c r="M3037" s="23">
        <v>3</v>
      </c>
      <c r="N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>
        <v>21</v>
      </c>
      <c r="Z3037" s="23"/>
      <c r="AA3037" s="23"/>
      <c r="AB3037" s="23"/>
      <c r="AC3037" s="23"/>
      <c r="AD3037" s="23"/>
      <c r="AE3037" s="23"/>
      <c r="AF3037" s="23">
        <v>4</v>
      </c>
      <c r="AG3037" s="23"/>
      <c r="AH3037" s="23"/>
      <c r="AI3037" s="23"/>
      <c r="AJ3037" s="23">
        <v>9</v>
      </c>
      <c r="AK3037" s="23">
        <v>11</v>
      </c>
      <c r="AL3037" s="23"/>
      <c r="AM3037" s="23"/>
      <c r="AN3037" s="23"/>
      <c r="AO3037" s="23"/>
      <c r="AP3037" s="23">
        <v>12</v>
      </c>
      <c r="AQ3037" s="23">
        <v>9</v>
      </c>
      <c r="AR3037" s="23">
        <v>3</v>
      </c>
      <c r="AS3037" s="23"/>
      <c r="AT3037" s="23"/>
      <c r="AU3037" s="14" t="str">
        <f>HYPERLINK("http://www.openstreetmap.org/?mlat=31.9878&amp;mlon=44.9083&amp;zoom=12#map=12/31.9878/44.9083","Maplink1")</f>
        <v>Maplink1</v>
      </c>
      <c r="AV3037" s="14" t="str">
        <f>HYPERLINK("https://www.google.iq/maps/search/+31.9878,44.9083/@31.9878,44.9083,14z?hl=en","Maplink2")</f>
        <v>Maplink2</v>
      </c>
      <c r="AW3037" s="14" t="str">
        <f>HYPERLINK("http://www.bing.com/maps/?lvl=14&amp;sty=h&amp;cp=31.9878~44.9083&amp;sp=point.31.9878_44.9083_Al-Jazaair 2","Maplink3")</f>
        <v>Maplink3</v>
      </c>
    </row>
    <row r="3038" spans="1:49" ht="15" customHeight="1" x14ac:dyDescent="0.25">
      <c r="A3038" s="21">
        <v>25514</v>
      </c>
      <c r="B3038" s="22" t="s">
        <v>22</v>
      </c>
      <c r="C3038" s="22" t="s">
        <v>5848</v>
      </c>
      <c r="D3038" s="22" t="s">
        <v>9041</v>
      </c>
      <c r="E3038" s="22" t="s">
        <v>5891</v>
      </c>
      <c r="F3038" s="22">
        <v>32.022846999999999</v>
      </c>
      <c r="G3038" s="22">
        <v>44.898933</v>
      </c>
      <c r="H3038" s="21" t="s">
        <v>5725</v>
      </c>
      <c r="I3038" s="21" t="s">
        <v>5850</v>
      </c>
      <c r="J3038" s="21"/>
      <c r="K3038" s="24">
        <v>12</v>
      </c>
      <c r="L3038" s="24">
        <v>72</v>
      </c>
      <c r="M3038" s="23">
        <v>10</v>
      </c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>
        <v>2</v>
      </c>
      <c r="Z3038" s="23"/>
      <c r="AA3038" s="23"/>
      <c r="AB3038" s="23"/>
      <c r="AC3038" s="23"/>
      <c r="AD3038" s="23"/>
      <c r="AE3038" s="23"/>
      <c r="AF3038" s="23">
        <v>6</v>
      </c>
      <c r="AG3038" s="23"/>
      <c r="AH3038" s="23"/>
      <c r="AI3038" s="23"/>
      <c r="AJ3038" s="23"/>
      <c r="AK3038" s="23">
        <v>6</v>
      </c>
      <c r="AL3038" s="23"/>
      <c r="AM3038" s="23"/>
      <c r="AN3038" s="23"/>
      <c r="AO3038" s="23"/>
      <c r="AP3038" s="23"/>
      <c r="AQ3038" s="23">
        <v>2</v>
      </c>
      <c r="AR3038" s="23">
        <v>7</v>
      </c>
      <c r="AS3038" s="23">
        <v>3</v>
      </c>
      <c r="AT3038" s="23"/>
      <c r="AU3038" s="14" t="str">
        <f>HYPERLINK("http://www.openstreetmap.org/?mlat=32.0228&amp;mlon=44.8989&amp;zoom=12#map=12/32.0228/44.8989","Maplink1")</f>
        <v>Maplink1</v>
      </c>
      <c r="AV3038" s="14" t="str">
        <f>HYPERLINK("https://www.google.iq/maps/search/+32.0228,44.8989/@32.0228,44.8989,14z?hl=en","Maplink2")</f>
        <v>Maplink2</v>
      </c>
      <c r="AW3038" s="14" t="str">
        <f>HYPERLINK("http://www.bing.com/maps/?lvl=14&amp;sty=h&amp;cp=32.0228~44.8989&amp;sp=point.32.0228_44.8989_Al-khalifa Village -2","Maplink3")</f>
        <v>Maplink3</v>
      </c>
    </row>
    <row r="3039" spans="1:49" ht="15" customHeight="1" x14ac:dyDescent="0.25">
      <c r="A3039" s="21">
        <v>3011</v>
      </c>
      <c r="B3039" s="22" t="s">
        <v>22</v>
      </c>
      <c r="C3039" s="22" t="s">
        <v>5848</v>
      </c>
      <c r="D3039" s="22" t="s">
        <v>7370</v>
      </c>
      <c r="E3039" s="22" t="s">
        <v>5889</v>
      </c>
      <c r="F3039" s="22">
        <v>32.021110999999998</v>
      </c>
      <c r="G3039" s="22">
        <v>44.822221999999996</v>
      </c>
      <c r="H3039" s="21" t="s">
        <v>5725</v>
      </c>
      <c r="I3039" s="21" t="s">
        <v>5850</v>
      </c>
      <c r="J3039" s="21" t="s">
        <v>5890</v>
      </c>
      <c r="K3039" s="24">
        <v>20</v>
      </c>
      <c r="L3039" s="24">
        <v>120</v>
      </c>
      <c r="M3039" s="23">
        <v>6</v>
      </c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>
        <v>14</v>
      </c>
      <c r="Z3039" s="23"/>
      <c r="AA3039" s="23"/>
      <c r="AB3039" s="23"/>
      <c r="AC3039" s="23"/>
      <c r="AD3039" s="23"/>
      <c r="AE3039" s="23"/>
      <c r="AF3039" s="23">
        <v>4</v>
      </c>
      <c r="AG3039" s="23"/>
      <c r="AH3039" s="23"/>
      <c r="AI3039" s="23"/>
      <c r="AJ3039" s="23">
        <v>16</v>
      </c>
      <c r="AK3039" s="23"/>
      <c r="AL3039" s="23"/>
      <c r="AM3039" s="23"/>
      <c r="AN3039" s="23"/>
      <c r="AO3039" s="23"/>
      <c r="AP3039" s="23"/>
      <c r="AQ3039" s="23">
        <v>14</v>
      </c>
      <c r="AR3039" s="23"/>
      <c r="AS3039" s="23">
        <v>6</v>
      </c>
      <c r="AT3039" s="23"/>
      <c r="AU3039" s="14" t="str">
        <f>HYPERLINK("http://www.openstreetmap.org/?mlat=32.0211&amp;mlon=44.8222&amp;zoom=12#map=12/32.0211/44.8222","Maplink1")</f>
        <v>Maplink1</v>
      </c>
      <c r="AV3039" s="14" t="str">
        <f>HYPERLINK("https://www.google.iq/maps/search/+32.0211,44.8222/@32.0211,44.8222,14z?hl=en","Maplink2")</f>
        <v>Maplink2</v>
      </c>
      <c r="AW3039" s="14" t="str">
        <f>HYPERLINK("http://www.bing.com/maps/?lvl=14&amp;sty=h&amp;cp=32.0211~44.8222&amp;sp=point.32.0211_44.8222_al-khalifa","Maplink3")</f>
        <v>Maplink3</v>
      </c>
    </row>
    <row r="3040" spans="1:49" ht="15" customHeight="1" x14ac:dyDescent="0.25">
      <c r="A3040" s="21">
        <v>25075</v>
      </c>
      <c r="B3040" s="22" t="s">
        <v>22</v>
      </c>
      <c r="C3040" s="22" t="s">
        <v>5848</v>
      </c>
      <c r="D3040" s="22" t="s">
        <v>5892</v>
      </c>
      <c r="E3040" s="22" t="s">
        <v>5893</v>
      </c>
      <c r="F3040" s="22">
        <v>32.053953999999997</v>
      </c>
      <c r="G3040" s="22">
        <v>44.755175999999999</v>
      </c>
      <c r="H3040" s="21" t="s">
        <v>5725</v>
      </c>
      <c r="I3040" s="21" t="s">
        <v>5850</v>
      </c>
      <c r="J3040" s="21"/>
      <c r="K3040" s="24">
        <v>20</v>
      </c>
      <c r="L3040" s="24">
        <v>120</v>
      </c>
      <c r="M3040" s="23"/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>
        <v>20</v>
      </c>
      <c r="Z3040" s="23"/>
      <c r="AA3040" s="23"/>
      <c r="AB3040" s="23"/>
      <c r="AC3040" s="23"/>
      <c r="AD3040" s="23"/>
      <c r="AE3040" s="23"/>
      <c r="AF3040" s="23">
        <v>4</v>
      </c>
      <c r="AG3040" s="23"/>
      <c r="AH3040" s="23"/>
      <c r="AI3040" s="23"/>
      <c r="AJ3040" s="23">
        <v>16</v>
      </c>
      <c r="AK3040" s="23"/>
      <c r="AL3040" s="23"/>
      <c r="AM3040" s="23"/>
      <c r="AN3040" s="23"/>
      <c r="AO3040" s="23"/>
      <c r="AP3040" s="23">
        <v>2</v>
      </c>
      <c r="AQ3040" s="23">
        <v>18</v>
      </c>
      <c r="AR3040" s="23"/>
      <c r="AS3040" s="23"/>
      <c r="AT3040" s="23"/>
      <c r="AU3040" s="14" t="str">
        <f>HYPERLINK("http://www.openstreetmap.org/?mlat=32.054&amp;mlon=44.7552&amp;zoom=12#map=12/32.054/44.7552","Maplink1")</f>
        <v>Maplink1</v>
      </c>
      <c r="AV3040" s="14" t="str">
        <f>HYPERLINK("https://www.google.iq/maps/search/+32.054,44.7552/@32.054,44.7552,14z?hl=en","Maplink2")</f>
        <v>Maplink2</v>
      </c>
      <c r="AW3040" s="14" t="str">
        <f>HYPERLINK("http://www.bing.com/maps/?lvl=14&amp;sty=h&amp;cp=32.054~44.7552&amp;sp=point.32.054_44.7552_Al-khozaal Village","Maplink3")</f>
        <v>Maplink3</v>
      </c>
    </row>
    <row r="3041" spans="1:49" ht="15" customHeight="1" x14ac:dyDescent="0.25">
      <c r="A3041" s="21">
        <v>25370</v>
      </c>
      <c r="B3041" s="22" t="s">
        <v>22</v>
      </c>
      <c r="C3041" s="22" t="s">
        <v>5848</v>
      </c>
      <c r="D3041" s="22" t="s">
        <v>5894</v>
      </c>
      <c r="E3041" s="22" t="s">
        <v>5895</v>
      </c>
      <c r="F3041" s="22">
        <v>31.980004000000001</v>
      </c>
      <c r="G3041" s="22">
        <v>44.922727000000002</v>
      </c>
      <c r="H3041" s="21" t="s">
        <v>5725</v>
      </c>
      <c r="I3041" s="21" t="s">
        <v>5850</v>
      </c>
      <c r="J3041" s="21"/>
      <c r="K3041" s="24">
        <v>15</v>
      </c>
      <c r="L3041" s="24">
        <v>90</v>
      </c>
      <c r="M3041" s="23"/>
      <c r="N3041" s="23"/>
      <c r="O3041" s="23"/>
      <c r="P3041" s="23"/>
      <c r="Q3041" s="23"/>
      <c r="R3041" s="23"/>
      <c r="S3041" s="23"/>
      <c r="T3041" s="23"/>
      <c r="U3041" s="23">
        <v>11</v>
      </c>
      <c r="V3041" s="23"/>
      <c r="W3041" s="23"/>
      <c r="X3041" s="23"/>
      <c r="Y3041" s="23">
        <v>4</v>
      </c>
      <c r="Z3041" s="23"/>
      <c r="AA3041" s="23"/>
      <c r="AB3041" s="23"/>
      <c r="AC3041" s="23"/>
      <c r="AD3041" s="23"/>
      <c r="AE3041" s="23"/>
      <c r="AF3041" s="23"/>
      <c r="AG3041" s="23"/>
      <c r="AH3041" s="23">
        <v>5</v>
      </c>
      <c r="AI3041" s="23"/>
      <c r="AJ3041" s="23"/>
      <c r="AK3041" s="23"/>
      <c r="AL3041" s="23"/>
      <c r="AM3041" s="23">
        <v>10</v>
      </c>
      <c r="AN3041" s="23"/>
      <c r="AO3041" s="23"/>
      <c r="AP3041" s="23">
        <v>11</v>
      </c>
      <c r="AQ3041" s="23">
        <v>4</v>
      </c>
      <c r="AR3041" s="23"/>
      <c r="AS3041" s="23"/>
      <c r="AT3041" s="23"/>
      <c r="AU3041" s="14" t="str">
        <f>HYPERLINK("http://www.openstreetmap.org/?mlat=31.98&amp;mlon=44.9227&amp;zoom=12#map=12/31.98/44.9227","Maplink1")</f>
        <v>Maplink1</v>
      </c>
      <c r="AV3041" s="14" t="str">
        <f>HYPERLINK("https://www.google.iq/maps/search/+31.98,44.9227/@31.98,44.9227,14z?hl=en","Maplink2")</f>
        <v>Maplink2</v>
      </c>
      <c r="AW3041" s="14" t="str">
        <f>HYPERLINK("http://www.bing.com/maps/?lvl=14&amp;sty=h&amp;cp=31.98~44.9227&amp;sp=point.31.98_44.9227_Al-Mawqee Al-Askary","Maplink3")</f>
        <v>Maplink3</v>
      </c>
    </row>
    <row r="3042" spans="1:49" ht="15" customHeight="1" x14ac:dyDescent="0.25">
      <c r="A3042" s="21">
        <v>3364</v>
      </c>
      <c r="B3042" s="22" t="s">
        <v>22</v>
      </c>
      <c r="C3042" s="22" t="s">
        <v>5848</v>
      </c>
      <c r="D3042" s="22" t="s">
        <v>5896</v>
      </c>
      <c r="E3042" s="22" t="s">
        <v>5897</v>
      </c>
      <c r="F3042" s="22">
        <v>31.976617999999998</v>
      </c>
      <c r="G3042" s="22">
        <v>44.935009000000001</v>
      </c>
      <c r="H3042" s="21" t="s">
        <v>5725</v>
      </c>
      <c r="I3042" s="21" t="s">
        <v>5850</v>
      </c>
      <c r="J3042" s="21" t="s">
        <v>5898</v>
      </c>
      <c r="K3042" s="24">
        <v>5</v>
      </c>
      <c r="L3042" s="24">
        <v>30</v>
      </c>
      <c r="M3042" s="23">
        <v>3</v>
      </c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>
        <v>2</v>
      </c>
      <c r="Z3042" s="23"/>
      <c r="AA3042" s="23"/>
      <c r="AB3042" s="23"/>
      <c r="AC3042" s="23"/>
      <c r="AD3042" s="23"/>
      <c r="AE3042" s="23"/>
      <c r="AF3042" s="23">
        <v>2</v>
      </c>
      <c r="AG3042" s="23"/>
      <c r="AH3042" s="23"/>
      <c r="AI3042" s="23"/>
      <c r="AJ3042" s="23"/>
      <c r="AK3042" s="23">
        <v>3</v>
      </c>
      <c r="AL3042" s="23"/>
      <c r="AM3042" s="23"/>
      <c r="AN3042" s="23"/>
      <c r="AO3042" s="23"/>
      <c r="AP3042" s="23">
        <v>2</v>
      </c>
      <c r="AQ3042" s="23">
        <v>2</v>
      </c>
      <c r="AR3042" s="23">
        <v>1</v>
      </c>
      <c r="AS3042" s="23"/>
      <c r="AT3042" s="23"/>
      <c r="AU3042" s="14" t="str">
        <f>HYPERLINK("http://www.openstreetmap.org/?mlat=31.9766&amp;mlon=44.935&amp;zoom=12#map=12/31.9766/44.935","Maplink1")</f>
        <v>Maplink1</v>
      </c>
      <c r="AV3042" s="14" t="str">
        <f>HYPERLINK("https://www.google.iq/maps/search/+31.9766,44.935/@31.9766,44.935,14z?hl=en","Maplink2")</f>
        <v>Maplink2</v>
      </c>
      <c r="AW3042" s="14" t="str">
        <f>HYPERLINK("http://www.bing.com/maps/?lvl=14&amp;sty=h&amp;cp=31.9766~44.935&amp;sp=point.31.9766_44.935_Al-Sadiq (1)","Maplink3")</f>
        <v>Maplink3</v>
      </c>
    </row>
    <row r="3043" spans="1:49" ht="15" customHeight="1" x14ac:dyDescent="0.25">
      <c r="A3043" s="21">
        <v>25069</v>
      </c>
      <c r="B3043" s="22" t="s">
        <v>22</v>
      </c>
      <c r="C3043" s="22" t="s">
        <v>5848</v>
      </c>
      <c r="D3043" s="22" t="s">
        <v>5899</v>
      </c>
      <c r="E3043" s="22" t="s">
        <v>5900</v>
      </c>
      <c r="F3043" s="22">
        <v>31.978307000000001</v>
      </c>
      <c r="G3043" s="22">
        <v>44.935158000000001</v>
      </c>
      <c r="H3043" s="21" t="s">
        <v>5725</v>
      </c>
      <c r="I3043" s="21" t="s">
        <v>5850</v>
      </c>
      <c r="J3043" s="21"/>
      <c r="K3043" s="24">
        <v>18</v>
      </c>
      <c r="L3043" s="24">
        <v>108</v>
      </c>
      <c r="M3043" s="23">
        <v>5</v>
      </c>
      <c r="N3043" s="23"/>
      <c r="O3043" s="23">
        <v>1</v>
      </c>
      <c r="P3043" s="23"/>
      <c r="Q3043" s="23"/>
      <c r="R3043" s="23"/>
      <c r="S3043" s="23"/>
      <c r="T3043" s="23"/>
      <c r="U3043" s="23">
        <v>4</v>
      </c>
      <c r="V3043" s="23"/>
      <c r="W3043" s="23"/>
      <c r="X3043" s="23"/>
      <c r="Y3043" s="23">
        <v>7</v>
      </c>
      <c r="Z3043" s="23"/>
      <c r="AA3043" s="23">
        <v>1</v>
      </c>
      <c r="AB3043" s="23"/>
      <c r="AC3043" s="23"/>
      <c r="AD3043" s="23"/>
      <c r="AE3043" s="23"/>
      <c r="AF3043" s="23">
        <v>5</v>
      </c>
      <c r="AG3043" s="23"/>
      <c r="AH3043" s="23"/>
      <c r="AI3043" s="23"/>
      <c r="AJ3043" s="23">
        <v>3</v>
      </c>
      <c r="AK3043" s="23">
        <v>10</v>
      </c>
      <c r="AL3043" s="23"/>
      <c r="AM3043" s="23"/>
      <c r="AN3043" s="23"/>
      <c r="AO3043" s="23"/>
      <c r="AP3043" s="23">
        <v>7</v>
      </c>
      <c r="AQ3043" s="23">
        <v>6</v>
      </c>
      <c r="AR3043" s="23">
        <v>5</v>
      </c>
      <c r="AS3043" s="23"/>
      <c r="AT3043" s="23"/>
      <c r="AU3043" s="14" t="str">
        <f>HYPERLINK("http://www.openstreetmap.org/?mlat=31.9783&amp;mlon=44.9352&amp;zoom=12#map=12/31.9783/44.9352","Maplink1")</f>
        <v>Maplink1</v>
      </c>
      <c r="AV3043" s="14" t="str">
        <f>HYPERLINK("https://www.google.iq/maps/search/+31.9783,44.9352/@31.9783,44.9352,14z?hl=en","Maplink2")</f>
        <v>Maplink2</v>
      </c>
      <c r="AW3043" s="14" t="str">
        <f>HYPERLINK("http://www.bing.com/maps/?lvl=14&amp;sty=h&amp;cp=31.9783~44.9352&amp;sp=point.31.9783_44.9352_Al-Sadiq (2)","Maplink3")</f>
        <v>Maplink3</v>
      </c>
    </row>
    <row r="3044" spans="1:49" ht="15" customHeight="1" x14ac:dyDescent="0.25">
      <c r="A3044" s="21">
        <v>25509</v>
      </c>
      <c r="B3044" s="22" t="s">
        <v>22</v>
      </c>
      <c r="C3044" s="22" t="s">
        <v>5848</v>
      </c>
      <c r="D3044" s="22" t="s">
        <v>7543</v>
      </c>
      <c r="E3044" s="22" t="s">
        <v>5902</v>
      </c>
      <c r="F3044" s="22">
        <v>31.97935</v>
      </c>
      <c r="G3044" s="22">
        <v>44.949441999999998</v>
      </c>
      <c r="H3044" s="21" t="s">
        <v>5725</v>
      </c>
      <c r="I3044" s="21" t="s">
        <v>5850</v>
      </c>
      <c r="J3044" s="21"/>
      <c r="K3044" s="24">
        <v>11</v>
      </c>
      <c r="L3044" s="24">
        <v>66</v>
      </c>
      <c r="M3044" s="23">
        <v>5</v>
      </c>
      <c r="N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>
        <v>6</v>
      </c>
      <c r="Z3044" s="23"/>
      <c r="AA3044" s="23"/>
      <c r="AB3044" s="23"/>
      <c r="AC3044" s="23"/>
      <c r="AD3044" s="23"/>
      <c r="AE3044" s="23"/>
      <c r="AF3044" s="23"/>
      <c r="AG3044" s="23"/>
      <c r="AH3044" s="23"/>
      <c r="AI3044" s="23"/>
      <c r="AJ3044" s="23"/>
      <c r="AK3044" s="23">
        <v>11</v>
      </c>
      <c r="AL3044" s="23"/>
      <c r="AM3044" s="23"/>
      <c r="AN3044" s="23"/>
      <c r="AO3044" s="23"/>
      <c r="AP3044" s="23"/>
      <c r="AQ3044" s="23">
        <v>6</v>
      </c>
      <c r="AR3044" s="23"/>
      <c r="AS3044" s="23">
        <v>5</v>
      </c>
      <c r="AT3044" s="23"/>
      <c r="AU3044" s="14" t="str">
        <f>HYPERLINK("http://www.openstreetmap.org/?mlat=31.9794&amp;mlon=44.9494&amp;zoom=12#map=12/31.9794/44.9494","Maplink1")</f>
        <v>Maplink1</v>
      </c>
      <c r="AV3044" s="14" t="str">
        <f>HYPERLINK("https://www.google.iq/maps/search/+31.9794,44.9494/@31.9794,44.9494,14z?hl=en","Maplink2")</f>
        <v>Maplink2</v>
      </c>
      <c r="AW3044" s="14" t="str">
        <f>HYPERLINK("http://www.bing.com/maps/?lvl=14&amp;sty=h&amp;cp=31.9794~44.9494&amp;sp=point.31.9794_44.9494_Al-Taamem -2","Maplink3")</f>
        <v>Maplink3</v>
      </c>
    </row>
    <row r="3045" spans="1:49" ht="15" customHeight="1" x14ac:dyDescent="0.25">
      <c r="A3045" s="21">
        <v>24381</v>
      </c>
      <c r="B3045" s="22" t="s">
        <v>22</v>
      </c>
      <c r="C3045" s="22" t="s">
        <v>5848</v>
      </c>
      <c r="D3045" s="22" t="s">
        <v>5903</v>
      </c>
      <c r="E3045" s="22" t="s">
        <v>5904</v>
      </c>
      <c r="F3045" s="22">
        <v>31.969913999999999</v>
      </c>
      <c r="G3045" s="22">
        <v>44.899698000000001</v>
      </c>
      <c r="H3045" s="21" t="s">
        <v>5725</v>
      </c>
      <c r="I3045" s="21" t="s">
        <v>5850</v>
      </c>
      <c r="J3045" s="21"/>
      <c r="K3045" s="24">
        <v>55</v>
      </c>
      <c r="L3045" s="24">
        <v>330</v>
      </c>
      <c r="M3045" s="23"/>
      <c r="N3045" s="23"/>
      <c r="O3045" s="23"/>
      <c r="P3045" s="23"/>
      <c r="Q3045" s="23"/>
      <c r="R3045" s="23"/>
      <c r="S3045" s="23"/>
      <c r="T3045" s="23"/>
      <c r="U3045" s="23">
        <v>2</v>
      </c>
      <c r="V3045" s="23"/>
      <c r="W3045" s="23"/>
      <c r="X3045" s="23"/>
      <c r="Y3045" s="23">
        <v>53</v>
      </c>
      <c r="Z3045" s="23"/>
      <c r="AA3045" s="23"/>
      <c r="AB3045" s="23"/>
      <c r="AC3045" s="23"/>
      <c r="AD3045" s="23"/>
      <c r="AE3045" s="23"/>
      <c r="AF3045" s="23">
        <v>8</v>
      </c>
      <c r="AG3045" s="23"/>
      <c r="AH3045" s="23"/>
      <c r="AI3045" s="23"/>
      <c r="AJ3045" s="23">
        <v>47</v>
      </c>
      <c r="AK3045" s="23"/>
      <c r="AL3045" s="23"/>
      <c r="AM3045" s="23"/>
      <c r="AN3045" s="23"/>
      <c r="AO3045" s="23"/>
      <c r="AP3045" s="23">
        <v>4</v>
      </c>
      <c r="AQ3045" s="23">
        <v>51</v>
      </c>
      <c r="AR3045" s="23"/>
      <c r="AS3045" s="23"/>
      <c r="AT3045" s="23"/>
      <c r="AU3045" s="14" t="str">
        <f>HYPERLINK("http://www.openstreetmap.org/?mlat=31.9699&amp;mlon=44.8997&amp;zoom=12#map=12/31.9699/44.8997","Maplink1")</f>
        <v>Maplink1</v>
      </c>
      <c r="AV3045" s="14" t="str">
        <f>HYPERLINK("https://www.google.iq/maps/search/+31.9699,44.8997/@31.9699,44.8997,14z?hl=en","Maplink2")</f>
        <v>Maplink2</v>
      </c>
      <c r="AW3045" s="14" t="str">
        <f>HYPERLINK("http://www.bing.com/maps/?lvl=14&amp;sty=h&amp;cp=31.9699~44.8997&amp;sp=point.31.9699_44.8997_Al-Taqiya 2","Maplink3")</f>
        <v>Maplink3</v>
      </c>
    </row>
    <row r="3046" spans="1:49" ht="15" customHeight="1" x14ac:dyDescent="0.25">
      <c r="A3046" s="21">
        <v>25068</v>
      </c>
      <c r="B3046" s="22" t="s">
        <v>22</v>
      </c>
      <c r="C3046" s="22" t="s">
        <v>5848</v>
      </c>
      <c r="D3046" s="22" t="s">
        <v>5905</v>
      </c>
      <c r="E3046" s="22" t="s">
        <v>5906</v>
      </c>
      <c r="F3046" s="22">
        <v>31.970172999999999</v>
      </c>
      <c r="G3046" s="22">
        <v>44.891590999999998</v>
      </c>
      <c r="H3046" s="21" t="s">
        <v>5725</v>
      </c>
      <c r="I3046" s="21" t="s">
        <v>5850</v>
      </c>
      <c r="J3046" s="21"/>
      <c r="K3046" s="24">
        <v>60</v>
      </c>
      <c r="L3046" s="24">
        <v>360</v>
      </c>
      <c r="M3046" s="23"/>
      <c r="N3046" s="23"/>
      <c r="O3046" s="23"/>
      <c r="P3046" s="23"/>
      <c r="Q3046" s="23"/>
      <c r="R3046" s="23"/>
      <c r="S3046" s="23"/>
      <c r="T3046" s="23"/>
      <c r="U3046" s="23">
        <v>1</v>
      </c>
      <c r="V3046" s="23"/>
      <c r="W3046" s="23"/>
      <c r="X3046" s="23"/>
      <c r="Y3046" s="23">
        <v>59</v>
      </c>
      <c r="Z3046" s="23"/>
      <c r="AA3046" s="23"/>
      <c r="AB3046" s="23"/>
      <c r="AC3046" s="23"/>
      <c r="AD3046" s="23"/>
      <c r="AE3046" s="23"/>
      <c r="AF3046" s="23">
        <v>14</v>
      </c>
      <c r="AG3046" s="23"/>
      <c r="AH3046" s="23"/>
      <c r="AI3046" s="23"/>
      <c r="AJ3046" s="23">
        <v>46</v>
      </c>
      <c r="AK3046" s="23"/>
      <c r="AL3046" s="23"/>
      <c r="AM3046" s="23"/>
      <c r="AN3046" s="23"/>
      <c r="AO3046" s="23"/>
      <c r="AP3046" s="23">
        <v>32</v>
      </c>
      <c r="AQ3046" s="23">
        <v>28</v>
      </c>
      <c r="AR3046" s="23"/>
      <c r="AS3046" s="23"/>
      <c r="AT3046" s="23"/>
      <c r="AU3046" s="14" t="str">
        <f>HYPERLINK("http://www.openstreetmap.org/?mlat=31.9702&amp;mlon=44.8916&amp;zoom=12#map=12/31.9702/44.8916","Maplink1")</f>
        <v>Maplink1</v>
      </c>
      <c r="AV3046" s="14" t="str">
        <f>HYPERLINK("https://www.google.iq/maps/search/+31.9702,44.8916/@31.9702,44.8916,14z?hl=en","Maplink2")</f>
        <v>Maplink2</v>
      </c>
      <c r="AW3046" s="14" t="str">
        <f>HYPERLINK("http://www.bing.com/maps/?lvl=14&amp;sty=h&amp;cp=31.9702~44.8916&amp;sp=point.31.9702_44.8916_Al-Taqiya 3","Maplink3")</f>
        <v>Maplink3</v>
      </c>
    </row>
    <row r="3047" spans="1:49" ht="15" customHeight="1" x14ac:dyDescent="0.25">
      <c r="A3047" s="21">
        <v>2705</v>
      </c>
      <c r="B3047" s="22" t="s">
        <v>22</v>
      </c>
      <c r="C3047" s="22" t="s">
        <v>5848</v>
      </c>
      <c r="D3047" s="22" t="s">
        <v>5907</v>
      </c>
      <c r="E3047" s="22" t="s">
        <v>9042</v>
      </c>
      <c r="F3047" s="22">
        <v>31.941666999999999</v>
      </c>
      <c r="G3047" s="22">
        <v>44.753610999999999</v>
      </c>
      <c r="H3047" s="21" t="s">
        <v>5725</v>
      </c>
      <c r="I3047" s="21" t="s">
        <v>5850</v>
      </c>
      <c r="J3047" s="21" t="s">
        <v>5908</v>
      </c>
      <c r="K3047" s="24">
        <v>28</v>
      </c>
      <c r="L3047" s="24">
        <v>168</v>
      </c>
      <c r="M3047" s="23"/>
      <c r="N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>
        <v>28</v>
      </c>
      <c r="Z3047" s="23"/>
      <c r="AA3047" s="23"/>
      <c r="AB3047" s="23"/>
      <c r="AC3047" s="23"/>
      <c r="AD3047" s="23"/>
      <c r="AE3047" s="23"/>
      <c r="AF3047" s="23">
        <v>7</v>
      </c>
      <c r="AG3047" s="23"/>
      <c r="AH3047" s="23"/>
      <c r="AI3047" s="23"/>
      <c r="AJ3047" s="23">
        <v>13</v>
      </c>
      <c r="AK3047" s="23"/>
      <c r="AL3047" s="23"/>
      <c r="AM3047" s="23">
        <v>8</v>
      </c>
      <c r="AN3047" s="23"/>
      <c r="AO3047" s="23"/>
      <c r="AP3047" s="23">
        <v>8</v>
      </c>
      <c r="AQ3047" s="23">
        <v>20</v>
      </c>
      <c r="AR3047" s="23"/>
      <c r="AS3047" s="23"/>
      <c r="AT3047" s="23"/>
      <c r="AU3047" s="14" t="str">
        <f>HYPERLINK("http://www.openstreetmap.org/?mlat=31.9417&amp;mlon=44.7536&amp;zoom=12#map=12/31.9417/44.7536","Maplink1")</f>
        <v>Maplink1</v>
      </c>
      <c r="AV3047" s="14" t="str">
        <f>HYPERLINK("https://www.google.iq/maps/search/+31.9417,44.7536/@31.9417,44.7536,14z?hl=en","Maplink2")</f>
        <v>Maplink2</v>
      </c>
      <c r="AW3047" s="14" t="str">
        <f>HYPERLINK("http://www.bing.com/maps/?lvl=14&amp;sty=h&amp;cp=31.9417~44.7536&amp;sp=point.31.9417_44.7536_Al-tharwa al- alhaiwaniya","Maplink3")</f>
        <v>Maplink3</v>
      </c>
    </row>
    <row r="3048" spans="1:49" ht="15" customHeight="1" x14ac:dyDescent="0.25">
      <c r="A3048" s="21">
        <v>24756</v>
      </c>
      <c r="B3048" s="22" t="s">
        <v>22</v>
      </c>
      <c r="C3048" s="22" t="s">
        <v>5848</v>
      </c>
      <c r="D3048" s="22" t="s">
        <v>5909</v>
      </c>
      <c r="E3048" s="22" t="s">
        <v>5910</v>
      </c>
      <c r="F3048" s="22">
        <v>32.018273999999998</v>
      </c>
      <c r="G3048" s="22">
        <v>45.045591999999999</v>
      </c>
      <c r="H3048" s="21" t="s">
        <v>5725</v>
      </c>
      <c r="I3048" s="21" t="s">
        <v>5850</v>
      </c>
      <c r="J3048" s="21"/>
      <c r="K3048" s="24">
        <v>20</v>
      </c>
      <c r="L3048" s="24">
        <v>120</v>
      </c>
      <c r="M3048" s="23"/>
      <c r="N3048" s="23"/>
      <c r="O3048" s="23"/>
      <c r="P3048" s="23"/>
      <c r="Q3048" s="23"/>
      <c r="R3048" s="23"/>
      <c r="S3048" s="23"/>
      <c r="T3048" s="23"/>
      <c r="U3048" s="23">
        <v>5</v>
      </c>
      <c r="V3048" s="23"/>
      <c r="W3048" s="23"/>
      <c r="X3048" s="23"/>
      <c r="Y3048" s="23">
        <v>15</v>
      </c>
      <c r="Z3048" s="23"/>
      <c r="AA3048" s="23"/>
      <c r="AB3048" s="23"/>
      <c r="AC3048" s="23"/>
      <c r="AD3048" s="23"/>
      <c r="AE3048" s="23"/>
      <c r="AF3048" s="23">
        <v>3</v>
      </c>
      <c r="AG3048" s="23"/>
      <c r="AH3048" s="23"/>
      <c r="AI3048" s="23"/>
      <c r="AJ3048" s="23">
        <v>13</v>
      </c>
      <c r="AK3048" s="23">
        <v>4</v>
      </c>
      <c r="AL3048" s="23"/>
      <c r="AM3048" s="23"/>
      <c r="AN3048" s="23"/>
      <c r="AO3048" s="23"/>
      <c r="AP3048" s="23">
        <v>11</v>
      </c>
      <c r="AQ3048" s="23">
        <v>9</v>
      </c>
      <c r="AR3048" s="23"/>
      <c r="AS3048" s="23"/>
      <c r="AT3048" s="23"/>
      <c r="AU3048" s="14" t="str">
        <f>HYPERLINK("http://www.openstreetmap.org/?mlat=32.0183&amp;mlon=45.0456&amp;zoom=12#map=12/32.0183/45.0456","Maplink1")</f>
        <v>Maplink1</v>
      </c>
      <c r="AV3048" s="14" t="str">
        <f>HYPERLINK("https://www.google.iq/maps/search/+32.0183,45.0456/@32.0183,45.0456,14z?hl=en","Maplink2")</f>
        <v>Maplink2</v>
      </c>
      <c r="AW3048" s="14" t="str">
        <f>HYPERLINK("http://www.bing.com/maps/?lvl=14&amp;sty=h&amp;cp=32.0183~45.0456&amp;sp=point.32.0183_45.0456_Al-Zawad village","Maplink3")</f>
        <v>Maplink3</v>
      </c>
    </row>
    <row r="3049" spans="1:49" ht="15" customHeight="1" x14ac:dyDescent="0.25">
      <c r="A3049" s="21">
        <v>24436</v>
      </c>
      <c r="B3049" s="22" t="s">
        <v>22</v>
      </c>
      <c r="C3049" s="22" t="s">
        <v>5848</v>
      </c>
      <c r="D3049" s="22" t="s">
        <v>7371</v>
      </c>
      <c r="E3049" s="22" t="s">
        <v>8087</v>
      </c>
      <c r="F3049" s="22">
        <v>32.016305000000003</v>
      </c>
      <c r="G3049" s="22">
        <v>44.829799000000001</v>
      </c>
      <c r="H3049" s="21" t="s">
        <v>5725</v>
      </c>
      <c r="I3049" s="21" t="s">
        <v>5850</v>
      </c>
      <c r="J3049" s="21"/>
      <c r="K3049" s="24">
        <v>22</v>
      </c>
      <c r="L3049" s="24">
        <v>132</v>
      </c>
      <c r="M3049" s="23">
        <v>5</v>
      </c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>
        <v>17</v>
      </c>
      <c r="Z3049" s="23"/>
      <c r="AA3049" s="23"/>
      <c r="AB3049" s="23"/>
      <c r="AC3049" s="23"/>
      <c r="AD3049" s="23"/>
      <c r="AE3049" s="23"/>
      <c r="AF3049" s="23">
        <v>4</v>
      </c>
      <c r="AG3049" s="23"/>
      <c r="AH3049" s="23"/>
      <c r="AI3049" s="23"/>
      <c r="AJ3049" s="23">
        <v>10</v>
      </c>
      <c r="AK3049" s="23">
        <v>8</v>
      </c>
      <c r="AL3049" s="23"/>
      <c r="AM3049" s="23"/>
      <c r="AN3049" s="23"/>
      <c r="AO3049" s="23"/>
      <c r="AP3049" s="23"/>
      <c r="AQ3049" s="23">
        <v>16</v>
      </c>
      <c r="AR3049" s="23"/>
      <c r="AS3049" s="23">
        <v>6</v>
      </c>
      <c r="AT3049" s="23"/>
      <c r="AU3049" s="14" t="str">
        <f>HYPERLINK("http://www.openstreetmap.org/?mlat=32.0163&amp;mlon=44.8298&amp;zoom=12#map=12/32.0163/44.8298","Maplink1")</f>
        <v>Maplink1</v>
      </c>
      <c r="AV3049" s="14" t="str">
        <f>HYPERLINK("https://www.google.iq/maps/search/+32.0163,44.8298/@32.0163,44.8298,14z?hl=en","Maplink2")</f>
        <v>Maplink2</v>
      </c>
      <c r="AW3049" s="14" t="str">
        <f>HYPERLINK("http://www.bing.com/maps/?lvl=14&amp;sty=h&amp;cp=32.0163~44.8298&amp;sp=point.32.0163_44.8298_Al Suniyah Area-Albo Hasan","Maplink3")</f>
        <v>Maplink3</v>
      </c>
    </row>
    <row r="3050" spans="1:49" ht="15" customHeight="1" x14ac:dyDescent="0.25">
      <c r="A3050" s="21">
        <v>2621</v>
      </c>
      <c r="B3050" s="22" t="s">
        <v>22</v>
      </c>
      <c r="C3050" s="22" t="s">
        <v>5848</v>
      </c>
      <c r="D3050" s="22" t="s">
        <v>5911</v>
      </c>
      <c r="E3050" s="22" t="s">
        <v>5912</v>
      </c>
      <c r="F3050" s="22">
        <v>32.020336999999998</v>
      </c>
      <c r="G3050" s="22">
        <v>44.841918</v>
      </c>
      <c r="H3050" s="21" t="s">
        <v>5725</v>
      </c>
      <c r="I3050" s="21" t="s">
        <v>5850</v>
      </c>
      <c r="J3050" s="21" t="s">
        <v>5913</v>
      </c>
      <c r="K3050" s="24">
        <v>15</v>
      </c>
      <c r="L3050" s="24">
        <v>90</v>
      </c>
      <c r="M3050" s="23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>
        <v>15</v>
      </c>
      <c r="Z3050" s="23"/>
      <c r="AA3050" s="23"/>
      <c r="AB3050" s="23"/>
      <c r="AC3050" s="23"/>
      <c r="AD3050" s="23"/>
      <c r="AE3050" s="23"/>
      <c r="AF3050" s="23">
        <v>6</v>
      </c>
      <c r="AG3050" s="23"/>
      <c r="AH3050" s="23"/>
      <c r="AI3050" s="23"/>
      <c r="AJ3050" s="23">
        <v>9</v>
      </c>
      <c r="AK3050" s="23"/>
      <c r="AL3050" s="23"/>
      <c r="AM3050" s="23"/>
      <c r="AN3050" s="23"/>
      <c r="AO3050" s="23"/>
      <c r="AP3050" s="23">
        <v>6</v>
      </c>
      <c r="AQ3050" s="23">
        <v>9</v>
      </c>
      <c r="AR3050" s="23"/>
      <c r="AS3050" s="23"/>
      <c r="AT3050" s="23"/>
      <c r="AU3050" s="14" t="str">
        <f>HYPERLINK("http://www.openstreetmap.org/?mlat=32.0203&amp;mlon=44.8419&amp;zoom=12#map=12/32.0203/44.8419","Maplink1")</f>
        <v>Maplink1</v>
      </c>
      <c r="AV3050" s="14" t="str">
        <f>HYPERLINK("https://www.google.iq/maps/search/+32.0203,44.8419/@32.0203,44.8419,14z?hl=en","Maplink2")</f>
        <v>Maplink2</v>
      </c>
      <c r="AW3050" s="14" t="str">
        <f>HYPERLINK("http://www.bing.com/maps/?lvl=14&amp;sty=h&amp;cp=32.0203~44.8419&amp;sp=point.32.0203_44.8419_Albu Khnefis village","Maplink3")</f>
        <v>Maplink3</v>
      </c>
    </row>
    <row r="3051" spans="1:49" ht="15" customHeight="1" x14ac:dyDescent="0.25">
      <c r="A3051" s="21">
        <v>25072</v>
      </c>
      <c r="B3051" s="22" t="s">
        <v>22</v>
      </c>
      <c r="C3051" s="22" t="s">
        <v>5848</v>
      </c>
      <c r="D3051" s="22" t="s">
        <v>5914</v>
      </c>
      <c r="E3051" s="22" t="s">
        <v>5915</v>
      </c>
      <c r="F3051" s="22">
        <v>32.036062000000001</v>
      </c>
      <c r="G3051" s="22">
        <v>44.914772999999997</v>
      </c>
      <c r="H3051" s="21" t="s">
        <v>5725</v>
      </c>
      <c r="I3051" s="21" t="s">
        <v>5850</v>
      </c>
      <c r="J3051" s="21"/>
      <c r="K3051" s="24">
        <v>6</v>
      </c>
      <c r="L3051" s="24">
        <v>36</v>
      </c>
      <c r="M3051" s="23"/>
      <c r="N3051" s="23"/>
      <c r="O3051" s="23"/>
      <c r="P3051" s="23"/>
      <c r="Q3051" s="23"/>
      <c r="R3051" s="23">
        <v>4</v>
      </c>
      <c r="S3051" s="23"/>
      <c r="T3051" s="23"/>
      <c r="U3051" s="23"/>
      <c r="V3051" s="23"/>
      <c r="W3051" s="23"/>
      <c r="X3051" s="23"/>
      <c r="Y3051" s="23">
        <v>2</v>
      </c>
      <c r="Z3051" s="23"/>
      <c r="AA3051" s="23"/>
      <c r="AB3051" s="23"/>
      <c r="AC3051" s="23"/>
      <c r="AD3051" s="23"/>
      <c r="AE3051" s="23"/>
      <c r="AF3051" s="23"/>
      <c r="AG3051" s="23"/>
      <c r="AH3051" s="23"/>
      <c r="AI3051" s="23"/>
      <c r="AJ3051" s="23">
        <v>5</v>
      </c>
      <c r="AK3051" s="23">
        <v>1</v>
      </c>
      <c r="AL3051" s="23"/>
      <c r="AM3051" s="23"/>
      <c r="AN3051" s="23"/>
      <c r="AO3051" s="23"/>
      <c r="AP3051" s="23"/>
      <c r="AQ3051" s="23">
        <v>2</v>
      </c>
      <c r="AR3051" s="23">
        <v>4</v>
      </c>
      <c r="AS3051" s="23"/>
      <c r="AT3051" s="23"/>
      <c r="AU3051" s="14" t="str">
        <f>HYPERLINK("http://www.openstreetmap.org/?mlat=32.0361&amp;mlon=44.9148&amp;zoom=12#map=12/32.0361/44.9148","Maplink1")</f>
        <v>Maplink1</v>
      </c>
      <c r="AV3051" s="14" t="str">
        <f>HYPERLINK("https://www.google.iq/maps/search/+32.0361,44.9148/@32.0361,44.9148,14z?hl=en","Maplink2")</f>
        <v>Maplink2</v>
      </c>
      <c r="AW3051" s="14" t="str">
        <f>HYPERLINK("http://www.bing.com/maps/?lvl=14&amp;sty=h&amp;cp=32.0361~44.9148&amp;sp=point.32.0361_44.9148_Ataiwarev Village","Maplink3")</f>
        <v>Maplink3</v>
      </c>
    </row>
    <row r="3052" spans="1:49" ht="15" customHeight="1" x14ac:dyDescent="0.25">
      <c r="A3052" s="21">
        <v>2700</v>
      </c>
      <c r="B3052" s="22" t="s">
        <v>22</v>
      </c>
      <c r="C3052" s="22" t="s">
        <v>5848</v>
      </c>
      <c r="D3052" s="22" t="s">
        <v>5917</v>
      </c>
      <c r="E3052" s="22" t="s">
        <v>5918</v>
      </c>
      <c r="F3052" s="22">
        <v>31.938333</v>
      </c>
      <c r="G3052" s="22">
        <v>44.978889000000002</v>
      </c>
      <c r="H3052" s="21" t="s">
        <v>5725</v>
      </c>
      <c r="I3052" s="21" t="s">
        <v>5850</v>
      </c>
      <c r="J3052" s="21" t="s">
        <v>5919</v>
      </c>
      <c r="K3052" s="24">
        <v>4</v>
      </c>
      <c r="L3052" s="24">
        <v>24</v>
      </c>
      <c r="M3052" s="23">
        <v>2</v>
      </c>
      <c r="N3052" s="23"/>
      <c r="O3052" s="23"/>
      <c r="P3052" s="23"/>
      <c r="Q3052" s="23"/>
      <c r="R3052" s="23"/>
      <c r="S3052" s="23"/>
      <c r="T3052" s="23"/>
      <c r="U3052" s="23">
        <v>1</v>
      </c>
      <c r="V3052" s="23"/>
      <c r="W3052" s="23"/>
      <c r="X3052" s="23"/>
      <c r="Y3052" s="23">
        <v>1</v>
      </c>
      <c r="Z3052" s="23"/>
      <c r="AA3052" s="23"/>
      <c r="AB3052" s="23"/>
      <c r="AC3052" s="23"/>
      <c r="AD3052" s="23"/>
      <c r="AE3052" s="23"/>
      <c r="AF3052" s="23">
        <v>1</v>
      </c>
      <c r="AG3052" s="23"/>
      <c r="AH3052" s="23"/>
      <c r="AI3052" s="23"/>
      <c r="AJ3052" s="23"/>
      <c r="AK3052" s="23">
        <v>3</v>
      </c>
      <c r="AL3052" s="23"/>
      <c r="AM3052" s="23"/>
      <c r="AN3052" s="23"/>
      <c r="AO3052" s="23"/>
      <c r="AP3052" s="23">
        <v>1</v>
      </c>
      <c r="AQ3052" s="23">
        <v>1</v>
      </c>
      <c r="AR3052" s="23">
        <v>2</v>
      </c>
      <c r="AS3052" s="23"/>
      <c r="AT3052" s="23"/>
      <c r="AU3052" s="14" t="str">
        <f>HYPERLINK("http://www.openstreetmap.org/?mlat=31.9383&amp;mlon=44.9789&amp;zoom=12#map=12/31.9383/44.9789","Maplink1")</f>
        <v>Maplink1</v>
      </c>
      <c r="AV3052" s="14" t="str">
        <f>HYPERLINK("https://www.google.iq/maps/search/+31.9383,44.9789/@31.9383,44.9789,14z?hl=en","Maplink2")</f>
        <v>Maplink2</v>
      </c>
      <c r="AW3052" s="14" t="str">
        <f>HYPERLINK("http://www.bing.com/maps/?lvl=14&amp;sty=h&amp;cp=31.9383~44.9789&amp;sp=point.31.9383_44.9789_Dour al-akrad","Maplink3")</f>
        <v>Maplink3</v>
      </c>
    </row>
    <row r="3053" spans="1:49" ht="15" customHeight="1" x14ac:dyDescent="0.25">
      <c r="A3053" s="21">
        <v>25513</v>
      </c>
      <c r="B3053" s="22" t="s">
        <v>22</v>
      </c>
      <c r="C3053" s="22" t="s">
        <v>5848</v>
      </c>
      <c r="D3053" s="22" t="s">
        <v>5920</v>
      </c>
      <c r="E3053" s="22" t="s">
        <v>5921</v>
      </c>
      <c r="F3053" s="22">
        <v>32.010288000000003</v>
      </c>
      <c r="G3053" s="22">
        <v>44.90795</v>
      </c>
      <c r="H3053" s="21" t="s">
        <v>5725</v>
      </c>
      <c r="I3053" s="21" t="s">
        <v>5850</v>
      </c>
      <c r="J3053" s="21"/>
      <c r="K3053" s="24">
        <v>33</v>
      </c>
      <c r="L3053" s="24">
        <v>198</v>
      </c>
      <c r="M3053" s="23">
        <v>18</v>
      </c>
      <c r="N3053" s="23"/>
      <c r="O3053" s="23"/>
      <c r="P3053" s="23"/>
      <c r="Q3053" s="23"/>
      <c r="R3053" s="23"/>
      <c r="S3053" s="23"/>
      <c r="T3053" s="23"/>
      <c r="U3053" s="23">
        <v>4</v>
      </c>
      <c r="V3053" s="23"/>
      <c r="W3053" s="23"/>
      <c r="X3053" s="23"/>
      <c r="Y3053" s="23">
        <v>11</v>
      </c>
      <c r="Z3053" s="23"/>
      <c r="AA3053" s="23"/>
      <c r="AB3053" s="23"/>
      <c r="AC3053" s="23"/>
      <c r="AD3053" s="23"/>
      <c r="AE3053" s="23"/>
      <c r="AF3053" s="23">
        <v>11</v>
      </c>
      <c r="AG3053" s="23"/>
      <c r="AH3053" s="23"/>
      <c r="AI3053" s="23"/>
      <c r="AJ3053" s="23"/>
      <c r="AK3053" s="23">
        <v>22</v>
      </c>
      <c r="AL3053" s="23"/>
      <c r="AM3053" s="23"/>
      <c r="AN3053" s="23"/>
      <c r="AO3053" s="23"/>
      <c r="AP3053" s="23">
        <v>4</v>
      </c>
      <c r="AQ3053" s="23">
        <v>15</v>
      </c>
      <c r="AR3053" s="23">
        <v>14</v>
      </c>
      <c r="AS3053" s="23"/>
      <c r="AT3053" s="23"/>
      <c r="AU3053" s="14" t="str">
        <f>HYPERLINK("http://www.openstreetmap.org/?mlat=32.0103&amp;mlon=44.908&amp;zoom=12#map=12/32.0103/44.908","Maplink1")</f>
        <v>Maplink1</v>
      </c>
      <c r="AV3053" s="14" t="str">
        <f>HYPERLINK("https://www.google.iq/maps/search/+32.0103,44.908/@32.0103,44.908,14z?hl=en","Maplink2")</f>
        <v>Maplink2</v>
      </c>
      <c r="AW3053" s="14" t="str">
        <f>HYPERLINK("http://www.bing.com/maps/?lvl=14&amp;sty=h&amp;cp=32.0103~44.908&amp;sp=point.32.0103_44.908_Hay Al Furat-1","Maplink3")</f>
        <v>Maplink3</v>
      </c>
    </row>
    <row r="3054" spans="1:49" ht="15" customHeight="1" x14ac:dyDescent="0.25">
      <c r="A3054" s="21">
        <v>23681</v>
      </c>
      <c r="B3054" s="22" t="s">
        <v>22</v>
      </c>
      <c r="C3054" s="22" t="s">
        <v>5848</v>
      </c>
      <c r="D3054" s="22" t="s">
        <v>5922</v>
      </c>
      <c r="E3054" s="22" t="s">
        <v>5923</v>
      </c>
      <c r="F3054" s="22">
        <v>32.019229000000003</v>
      </c>
      <c r="G3054" s="22">
        <v>44.902470999999998</v>
      </c>
      <c r="H3054" s="21" t="s">
        <v>5725</v>
      </c>
      <c r="I3054" s="21" t="s">
        <v>5850</v>
      </c>
      <c r="J3054" s="21" t="s">
        <v>5924</v>
      </c>
      <c r="K3054" s="24">
        <v>23</v>
      </c>
      <c r="L3054" s="24">
        <v>138</v>
      </c>
      <c r="M3054" s="23">
        <v>9</v>
      </c>
      <c r="N3054" s="23"/>
      <c r="O3054" s="23"/>
      <c r="P3054" s="23"/>
      <c r="Q3054" s="23"/>
      <c r="R3054" s="23"/>
      <c r="S3054" s="23"/>
      <c r="T3054" s="23"/>
      <c r="U3054" s="23">
        <v>2</v>
      </c>
      <c r="V3054" s="23"/>
      <c r="W3054" s="23"/>
      <c r="X3054" s="23"/>
      <c r="Y3054" s="23">
        <v>12</v>
      </c>
      <c r="Z3054" s="23"/>
      <c r="AA3054" s="23"/>
      <c r="AB3054" s="23"/>
      <c r="AC3054" s="23"/>
      <c r="AD3054" s="23"/>
      <c r="AE3054" s="23"/>
      <c r="AF3054" s="23">
        <v>6</v>
      </c>
      <c r="AG3054" s="23"/>
      <c r="AH3054" s="23"/>
      <c r="AI3054" s="23"/>
      <c r="AJ3054" s="23"/>
      <c r="AK3054" s="23">
        <v>17</v>
      </c>
      <c r="AL3054" s="23"/>
      <c r="AM3054" s="23"/>
      <c r="AN3054" s="23"/>
      <c r="AO3054" s="23"/>
      <c r="AP3054" s="23">
        <v>11</v>
      </c>
      <c r="AQ3054" s="23">
        <v>6</v>
      </c>
      <c r="AR3054" s="23">
        <v>6</v>
      </c>
      <c r="AS3054" s="23"/>
      <c r="AT3054" s="23"/>
      <c r="AU3054" s="14" t="str">
        <f>HYPERLINK("http://www.openstreetmap.org/?mlat=32.0192&amp;mlon=44.9025&amp;zoom=12#map=12/32.0192/44.9025","Maplink1")</f>
        <v>Maplink1</v>
      </c>
      <c r="AV3054" s="14" t="str">
        <f>HYPERLINK("https://www.google.iq/maps/search/+32.0192,44.9025/@32.0192,44.9025,14z?hl=en","Maplink2")</f>
        <v>Maplink2</v>
      </c>
      <c r="AW3054" s="14" t="str">
        <f>HYPERLINK("http://www.bing.com/maps/?lvl=14&amp;sty=h&amp;cp=32.0192~44.9025&amp;sp=point.32.0192_44.9025_Hay Al Furat-2","Maplink3")</f>
        <v>Maplink3</v>
      </c>
    </row>
    <row r="3055" spans="1:49" ht="15" customHeight="1" x14ac:dyDescent="0.25">
      <c r="A3055" s="21">
        <v>21817</v>
      </c>
      <c r="B3055" s="22" t="s">
        <v>22</v>
      </c>
      <c r="C3055" s="22" t="s">
        <v>5848</v>
      </c>
      <c r="D3055" s="22" t="s">
        <v>7372</v>
      </c>
      <c r="E3055" s="22" t="s">
        <v>1098</v>
      </c>
      <c r="F3055" s="22">
        <v>31.968713999999999</v>
      </c>
      <c r="G3055" s="22">
        <v>44.953763000000002</v>
      </c>
      <c r="H3055" s="21" t="s">
        <v>5725</v>
      </c>
      <c r="I3055" s="21" t="s">
        <v>5850</v>
      </c>
      <c r="J3055" s="21" t="s">
        <v>5852</v>
      </c>
      <c r="K3055" s="24">
        <v>7</v>
      </c>
      <c r="L3055" s="24">
        <v>42</v>
      </c>
      <c r="M3055" s="23"/>
      <c r="N3055" s="23"/>
      <c r="O3055" s="23">
        <v>2</v>
      </c>
      <c r="P3055" s="23"/>
      <c r="Q3055" s="23"/>
      <c r="R3055" s="23"/>
      <c r="S3055" s="23"/>
      <c r="T3055" s="23"/>
      <c r="U3055" s="23"/>
      <c r="V3055" s="23"/>
      <c r="W3055" s="23"/>
      <c r="X3055" s="23"/>
      <c r="Y3055" s="23">
        <v>5</v>
      </c>
      <c r="Z3055" s="23"/>
      <c r="AA3055" s="23"/>
      <c r="AB3055" s="23"/>
      <c r="AC3055" s="23"/>
      <c r="AD3055" s="23"/>
      <c r="AE3055" s="23"/>
      <c r="AF3055" s="23">
        <v>3</v>
      </c>
      <c r="AG3055" s="23"/>
      <c r="AH3055" s="23"/>
      <c r="AI3055" s="23"/>
      <c r="AJ3055" s="23"/>
      <c r="AK3055" s="23">
        <v>4</v>
      </c>
      <c r="AL3055" s="23"/>
      <c r="AM3055" s="23"/>
      <c r="AN3055" s="23"/>
      <c r="AO3055" s="23"/>
      <c r="AP3055" s="23">
        <v>2</v>
      </c>
      <c r="AQ3055" s="23">
        <v>5</v>
      </c>
      <c r="AR3055" s="23"/>
      <c r="AS3055" s="23"/>
      <c r="AT3055" s="23"/>
      <c r="AU3055" s="14" t="str">
        <f>HYPERLINK("http://www.openstreetmap.org/?mlat=31.9687&amp;mlon=44.9538&amp;zoom=12#map=12/31.9687/44.9538","Maplink1")</f>
        <v>Maplink1</v>
      </c>
      <c r="AV3055" s="14" t="str">
        <f>HYPERLINK("https://www.google.iq/maps/search/+31.9687,44.9538/@31.9687,44.9538,14z?hl=en","Maplink2")</f>
        <v>Maplink2</v>
      </c>
      <c r="AW3055" s="14" t="str">
        <f>HYPERLINK("http://www.bing.com/maps/?lvl=14&amp;sty=h&amp;cp=31.9687~44.9538&amp;sp=point.31.9687_44.9538_Al Ghadir","Maplink3")</f>
        <v>Maplink3</v>
      </c>
    </row>
    <row r="3056" spans="1:49" ht="15" customHeight="1" x14ac:dyDescent="0.25">
      <c r="A3056" s="21">
        <v>24966</v>
      </c>
      <c r="B3056" s="22" t="s">
        <v>22</v>
      </c>
      <c r="C3056" s="22" t="s">
        <v>5848</v>
      </c>
      <c r="D3056" s="22" t="s">
        <v>608</v>
      </c>
      <c r="E3056" s="22" t="s">
        <v>3345</v>
      </c>
      <c r="F3056" s="22">
        <v>32.145499000000001</v>
      </c>
      <c r="G3056" s="22">
        <v>44.934739999999998</v>
      </c>
      <c r="H3056" s="21" t="s">
        <v>5725</v>
      </c>
      <c r="I3056" s="21" t="s">
        <v>5850</v>
      </c>
      <c r="J3056" s="21"/>
      <c r="K3056" s="24">
        <v>25</v>
      </c>
      <c r="L3056" s="24">
        <v>150</v>
      </c>
      <c r="M3056" s="23">
        <v>13</v>
      </c>
      <c r="N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>
        <v>12</v>
      </c>
      <c r="Z3056" s="23"/>
      <c r="AA3056" s="23"/>
      <c r="AB3056" s="23"/>
      <c r="AC3056" s="23"/>
      <c r="AD3056" s="23"/>
      <c r="AE3056" s="23"/>
      <c r="AF3056" s="23">
        <v>10</v>
      </c>
      <c r="AG3056" s="23"/>
      <c r="AH3056" s="23"/>
      <c r="AI3056" s="23"/>
      <c r="AJ3056" s="23"/>
      <c r="AK3056" s="23">
        <v>15</v>
      </c>
      <c r="AL3056" s="23"/>
      <c r="AM3056" s="23"/>
      <c r="AN3056" s="23"/>
      <c r="AO3056" s="23"/>
      <c r="AP3056" s="23">
        <v>17</v>
      </c>
      <c r="AQ3056" s="23"/>
      <c r="AR3056" s="23">
        <v>8</v>
      </c>
      <c r="AS3056" s="23"/>
      <c r="AT3056" s="23"/>
      <c r="AU3056" s="14" t="str">
        <f>HYPERLINK("http://www.openstreetmap.org/?mlat=32.1455&amp;mlon=44.9347&amp;zoom=12#map=12/32.1455/44.9347","Maplink1")</f>
        <v>Maplink1</v>
      </c>
      <c r="AV3056" s="14" t="str">
        <f>HYPERLINK("https://www.google.iq/maps/search/+32.1455,44.9347/@32.1455,44.9347,14z?hl=en","Maplink2")</f>
        <v>Maplink2</v>
      </c>
      <c r="AW3056" s="14" t="str">
        <f>HYPERLINK("http://www.bing.com/maps/?lvl=14&amp;sty=h&amp;cp=32.1455~44.9347&amp;sp=point.32.1455_44.9347_Hay Al Hurriya-Daghara","Maplink3")</f>
        <v>Maplink3</v>
      </c>
    </row>
    <row r="3057" spans="1:49" ht="15" customHeight="1" x14ac:dyDescent="0.25">
      <c r="A3057" s="21">
        <v>25790</v>
      </c>
      <c r="B3057" s="22" t="s">
        <v>22</v>
      </c>
      <c r="C3057" s="22" t="s">
        <v>5848</v>
      </c>
      <c r="D3057" s="22" t="s">
        <v>9043</v>
      </c>
      <c r="E3057" s="22" t="s">
        <v>5916</v>
      </c>
      <c r="F3057" s="22">
        <v>32.212411000000003</v>
      </c>
      <c r="G3057" s="22">
        <v>44.972008000000002</v>
      </c>
      <c r="H3057" s="21" t="s">
        <v>5725</v>
      </c>
      <c r="I3057" s="21" t="s">
        <v>5850</v>
      </c>
      <c r="J3057" s="21"/>
      <c r="K3057" s="24">
        <v>27</v>
      </c>
      <c r="L3057" s="24">
        <v>162</v>
      </c>
      <c r="M3057" s="23">
        <v>6</v>
      </c>
      <c r="N3057" s="23"/>
      <c r="O3057" s="23"/>
      <c r="P3057" s="23"/>
      <c r="Q3057" s="23"/>
      <c r="R3057" s="23">
        <v>2</v>
      </c>
      <c r="S3057" s="23"/>
      <c r="T3057" s="23"/>
      <c r="U3057" s="23">
        <v>6</v>
      </c>
      <c r="V3057" s="23"/>
      <c r="W3057" s="23"/>
      <c r="X3057" s="23"/>
      <c r="Y3057" s="23">
        <v>13</v>
      </c>
      <c r="Z3057" s="23"/>
      <c r="AA3057" s="23"/>
      <c r="AB3057" s="23"/>
      <c r="AC3057" s="23"/>
      <c r="AD3057" s="23"/>
      <c r="AE3057" s="23"/>
      <c r="AF3057" s="23">
        <v>2</v>
      </c>
      <c r="AG3057" s="23"/>
      <c r="AH3057" s="23"/>
      <c r="AI3057" s="23"/>
      <c r="AJ3057" s="23"/>
      <c r="AK3057" s="23">
        <v>25</v>
      </c>
      <c r="AL3057" s="23"/>
      <c r="AM3057" s="23"/>
      <c r="AN3057" s="23"/>
      <c r="AO3057" s="23"/>
      <c r="AP3057" s="23">
        <v>8</v>
      </c>
      <c r="AQ3057" s="23">
        <v>13</v>
      </c>
      <c r="AR3057" s="23">
        <v>6</v>
      </c>
      <c r="AS3057" s="23"/>
      <c r="AT3057" s="23"/>
      <c r="AU3057" s="14" t="str">
        <f>HYPERLINK("http://www.openstreetmap.org/?mlat=32.2124&amp;mlon=44.972&amp;zoom=12#map=12/32.2124/44.972","Maplink1")</f>
        <v>Maplink1</v>
      </c>
      <c r="AV3057" s="14" t="str">
        <f>HYPERLINK("https://www.google.iq/maps/search/+32.2124,44.972/@32.2124,44.972,14z?hl=en","Maplink2")</f>
        <v>Maplink2</v>
      </c>
      <c r="AW3057" s="14" t="str">
        <f>HYPERLINK("http://www.bing.com/maps/?lvl=14&amp;sty=h&amp;cp=32.2124~44.972&amp;sp=point.32.2124_44.972_Diwaniya-Hay Al Jamia","Maplink3")</f>
        <v>Maplink3</v>
      </c>
    </row>
    <row r="3058" spans="1:49" ht="15" customHeight="1" x14ac:dyDescent="0.25">
      <c r="A3058" s="21">
        <v>23551</v>
      </c>
      <c r="B3058" s="22" t="s">
        <v>22</v>
      </c>
      <c r="C3058" s="22" t="s">
        <v>5848</v>
      </c>
      <c r="D3058" s="22" t="s">
        <v>9044</v>
      </c>
      <c r="E3058" s="22" t="s">
        <v>8088</v>
      </c>
      <c r="F3058" s="22">
        <v>32.002760000000002</v>
      </c>
      <c r="G3058" s="22">
        <v>44.874853999999999</v>
      </c>
      <c r="H3058" s="21" t="s">
        <v>5725</v>
      </c>
      <c r="I3058" s="21" t="s">
        <v>5850</v>
      </c>
      <c r="J3058" s="21" t="s">
        <v>5925</v>
      </c>
      <c r="K3058" s="24">
        <v>32</v>
      </c>
      <c r="L3058" s="24">
        <v>192</v>
      </c>
      <c r="M3058" s="23">
        <v>4</v>
      </c>
      <c r="N3058" s="23"/>
      <c r="O3058" s="23"/>
      <c r="P3058" s="23"/>
      <c r="Q3058" s="23"/>
      <c r="R3058" s="23"/>
      <c r="S3058" s="23"/>
      <c r="T3058" s="23"/>
      <c r="U3058" s="23">
        <v>10</v>
      </c>
      <c r="V3058" s="23"/>
      <c r="W3058" s="23"/>
      <c r="X3058" s="23"/>
      <c r="Y3058" s="23">
        <v>18</v>
      </c>
      <c r="Z3058" s="23"/>
      <c r="AA3058" s="23"/>
      <c r="AB3058" s="23"/>
      <c r="AC3058" s="23"/>
      <c r="AD3058" s="23"/>
      <c r="AE3058" s="23"/>
      <c r="AF3058" s="23">
        <v>11</v>
      </c>
      <c r="AG3058" s="23"/>
      <c r="AH3058" s="23">
        <v>5</v>
      </c>
      <c r="AI3058" s="23"/>
      <c r="AJ3058" s="23"/>
      <c r="AK3058" s="23">
        <v>16</v>
      </c>
      <c r="AL3058" s="23"/>
      <c r="AM3058" s="23"/>
      <c r="AN3058" s="23"/>
      <c r="AO3058" s="23"/>
      <c r="AP3058" s="23">
        <v>25</v>
      </c>
      <c r="AQ3058" s="23">
        <v>3</v>
      </c>
      <c r="AR3058" s="23">
        <v>4</v>
      </c>
      <c r="AS3058" s="23"/>
      <c r="AT3058" s="23"/>
      <c r="AU3058" s="14" t="str">
        <f>HYPERLINK("http://www.openstreetmap.org/?mlat=32.0028&amp;mlon=44.8749&amp;zoom=12#map=12/32.0028/44.8749","Maplink1")</f>
        <v>Maplink1</v>
      </c>
      <c r="AV3058" s="14" t="str">
        <f>HYPERLINK("https://www.google.iq/maps/search/+32.0028,44.8749/@32.0028,44.8749,14z?hl=en","Maplink2")</f>
        <v>Maplink2</v>
      </c>
      <c r="AW3058" s="14" t="str">
        <f>HYPERLINK("http://www.bing.com/maps/?lvl=14&amp;sty=h&amp;cp=32.0028~44.8749&amp;sp=point.32.0028_44.8749_Hay Al Jamia-illegal","Maplink3")</f>
        <v>Maplink3</v>
      </c>
    </row>
    <row r="3059" spans="1:49" ht="15" customHeight="1" x14ac:dyDescent="0.25">
      <c r="A3059" s="21">
        <v>22815</v>
      </c>
      <c r="B3059" s="22" t="s">
        <v>22</v>
      </c>
      <c r="C3059" s="22" t="s">
        <v>5848</v>
      </c>
      <c r="D3059" s="22" t="s">
        <v>7373</v>
      </c>
      <c r="E3059" s="22" t="s">
        <v>5855</v>
      </c>
      <c r="F3059" s="22">
        <v>31.992398999999999</v>
      </c>
      <c r="G3059" s="22">
        <v>44.929237999999998</v>
      </c>
      <c r="H3059" s="21" t="s">
        <v>5725</v>
      </c>
      <c r="I3059" s="21" t="s">
        <v>5850</v>
      </c>
      <c r="J3059" s="21" t="s">
        <v>5856</v>
      </c>
      <c r="K3059" s="24">
        <v>7</v>
      </c>
      <c r="L3059" s="24">
        <v>42</v>
      </c>
      <c r="M3059" s="23">
        <v>2</v>
      </c>
      <c r="N3059" s="23"/>
      <c r="O3059" s="23"/>
      <c r="P3059" s="23"/>
      <c r="Q3059" s="23"/>
      <c r="R3059" s="23">
        <v>2</v>
      </c>
      <c r="S3059" s="23"/>
      <c r="T3059" s="23"/>
      <c r="U3059" s="23"/>
      <c r="V3059" s="23"/>
      <c r="W3059" s="23"/>
      <c r="X3059" s="23"/>
      <c r="Y3059" s="23">
        <v>3</v>
      </c>
      <c r="Z3059" s="23"/>
      <c r="AA3059" s="23"/>
      <c r="AB3059" s="23"/>
      <c r="AC3059" s="23"/>
      <c r="AD3059" s="23"/>
      <c r="AE3059" s="23"/>
      <c r="AF3059" s="23"/>
      <c r="AG3059" s="23"/>
      <c r="AH3059" s="23"/>
      <c r="AI3059" s="23"/>
      <c r="AJ3059" s="23"/>
      <c r="AK3059" s="23">
        <v>7</v>
      </c>
      <c r="AL3059" s="23"/>
      <c r="AM3059" s="23"/>
      <c r="AN3059" s="23"/>
      <c r="AO3059" s="23"/>
      <c r="AP3059" s="23"/>
      <c r="AQ3059" s="23">
        <v>5</v>
      </c>
      <c r="AR3059" s="23">
        <v>2</v>
      </c>
      <c r="AS3059" s="23"/>
      <c r="AT3059" s="23"/>
      <c r="AU3059" s="14" t="str">
        <f>HYPERLINK("http://www.openstreetmap.org/?mlat=31.9924&amp;mlon=44.9292&amp;zoom=12#map=12/31.9924/44.9292","Maplink1")</f>
        <v>Maplink1</v>
      </c>
      <c r="AV3059" s="14" t="str">
        <f>HYPERLINK("https://www.google.iq/maps/search/+31.9924,44.9292/@31.9924,44.9292,14z?hl=en","Maplink2")</f>
        <v>Maplink2</v>
      </c>
      <c r="AW3059" s="14" t="str">
        <f>HYPERLINK("http://www.bing.com/maps/?lvl=14&amp;sty=h&amp;cp=31.9924~44.9292&amp;sp=point.31.9924_44.9292_Al Jumhori Al Sharqi","Maplink3")</f>
        <v>Maplink3</v>
      </c>
    </row>
    <row r="3060" spans="1:49" ht="15" customHeight="1" x14ac:dyDescent="0.25">
      <c r="A3060" s="21">
        <v>24739</v>
      </c>
      <c r="B3060" s="22" t="s">
        <v>22</v>
      </c>
      <c r="C3060" s="22" t="s">
        <v>5848</v>
      </c>
      <c r="D3060" s="22" t="s">
        <v>771</v>
      </c>
      <c r="E3060" s="22" t="s">
        <v>464</v>
      </c>
      <c r="F3060" s="22">
        <v>32.136831999999998</v>
      </c>
      <c r="G3060" s="22">
        <v>44.936279999999996</v>
      </c>
      <c r="H3060" s="21" t="s">
        <v>5725</v>
      </c>
      <c r="I3060" s="21" t="s">
        <v>5850</v>
      </c>
      <c r="J3060" s="21"/>
      <c r="K3060" s="24">
        <v>24</v>
      </c>
      <c r="L3060" s="24">
        <v>144</v>
      </c>
      <c r="M3060" s="23"/>
      <c r="N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>
        <v>24</v>
      </c>
      <c r="Z3060" s="23"/>
      <c r="AA3060" s="23"/>
      <c r="AB3060" s="23"/>
      <c r="AC3060" s="23"/>
      <c r="AD3060" s="23"/>
      <c r="AE3060" s="23"/>
      <c r="AF3060" s="23">
        <v>4</v>
      </c>
      <c r="AG3060" s="23"/>
      <c r="AH3060" s="23"/>
      <c r="AI3060" s="23"/>
      <c r="AJ3060" s="23">
        <v>12</v>
      </c>
      <c r="AK3060" s="23">
        <v>8</v>
      </c>
      <c r="AL3060" s="23"/>
      <c r="AM3060" s="23"/>
      <c r="AN3060" s="23"/>
      <c r="AO3060" s="23"/>
      <c r="AP3060" s="23">
        <v>3</v>
      </c>
      <c r="AQ3060" s="23">
        <v>21</v>
      </c>
      <c r="AR3060" s="23"/>
      <c r="AS3060" s="23"/>
      <c r="AT3060" s="23"/>
      <c r="AU3060" s="14" t="str">
        <f>HYPERLINK("http://www.openstreetmap.org/?mlat=32.1368&amp;mlon=44.9363&amp;zoom=12#map=12/32.1368/44.9363","Maplink1")</f>
        <v>Maplink1</v>
      </c>
      <c r="AV3060" s="14" t="str">
        <f>HYPERLINK("https://www.google.iq/maps/search/+32.1368,44.9363/@32.1368,44.9363,14z?hl=en","Maplink2")</f>
        <v>Maplink2</v>
      </c>
      <c r="AW3060" s="14" t="str">
        <f>HYPERLINK("http://www.bing.com/maps/?lvl=14&amp;sty=h&amp;cp=32.1368~44.9363&amp;sp=point.32.1368_44.9363_Hay Al Mulmeen-Daghara","Maplink3")</f>
        <v>Maplink3</v>
      </c>
    </row>
    <row r="3061" spans="1:49" ht="15" customHeight="1" x14ac:dyDescent="0.25">
      <c r="A3061" s="21">
        <v>24148</v>
      </c>
      <c r="B3061" s="22" t="s">
        <v>22</v>
      </c>
      <c r="C3061" s="22" t="s">
        <v>5848</v>
      </c>
      <c r="D3061" s="22" t="s">
        <v>7374</v>
      </c>
      <c r="E3061" s="22" t="s">
        <v>5857</v>
      </c>
      <c r="F3061" s="22">
        <v>31.995373000000001</v>
      </c>
      <c r="G3061" s="22">
        <v>44.946190999999999</v>
      </c>
      <c r="H3061" s="21" t="s">
        <v>5725</v>
      </c>
      <c r="I3061" s="21" t="s">
        <v>5850</v>
      </c>
      <c r="J3061" s="21" t="s">
        <v>5858</v>
      </c>
      <c r="K3061" s="24">
        <v>30</v>
      </c>
      <c r="L3061" s="24">
        <v>180</v>
      </c>
      <c r="M3061" s="23">
        <v>9</v>
      </c>
      <c r="N3061" s="23"/>
      <c r="O3061" s="23"/>
      <c r="P3061" s="23"/>
      <c r="Q3061" s="23"/>
      <c r="R3061" s="23"/>
      <c r="S3061" s="23"/>
      <c r="T3061" s="23"/>
      <c r="U3061" s="23">
        <v>3</v>
      </c>
      <c r="V3061" s="23"/>
      <c r="W3061" s="23"/>
      <c r="X3061" s="23"/>
      <c r="Y3061" s="23">
        <v>18</v>
      </c>
      <c r="Z3061" s="23"/>
      <c r="AA3061" s="23"/>
      <c r="AB3061" s="23"/>
      <c r="AC3061" s="23"/>
      <c r="AD3061" s="23"/>
      <c r="AE3061" s="23"/>
      <c r="AF3061" s="23">
        <v>16</v>
      </c>
      <c r="AG3061" s="23"/>
      <c r="AH3061" s="23"/>
      <c r="AI3061" s="23"/>
      <c r="AJ3061" s="23"/>
      <c r="AK3061" s="23">
        <v>14</v>
      </c>
      <c r="AL3061" s="23"/>
      <c r="AM3061" s="23"/>
      <c r="AN3061" s="23"/>
      <c r="AO3061" s="23"/>
      <c r="AP3061" s="23">
        <v>13</v>
      </c>
      <c r="AQ3061" s="23">
        <v>7</v>
      </c>
      <c r="AR3061" s="23">
        <v>10</v>
      </c>
      <c r="AS3061" s="23"/>
      <c r="AT3061" s="23"/>
      <c r="AU3061" s="14" t="str">
        <f>HYPERLINK("http://www.openstreetmap.org/?mlat=31.9954&amp;mlon=44.9462&amp;zoom=12#map=12/31.9954/44.9462","Maplink1")</f>
        <v>Maplink1</v>
      </c>
      <c r="AV3061" s="14" t="str">
        <f>HYPERLINK("https://www.google.iq/maps/search/+31.9954,44.9462/@31.9954,44.9462,14z?hl=en","Maplink2")</f>
        <v>Maplink2</v>
      </c>
      <c r="AW3061" s="14" t="str">
        <f>HYPERLINK("http://www.bing.com/maps/?lvl=14&amp;sty=h&amp;cp=31.9954~44.9462&amp;sp=point.31.9954_44.9462_Al Nahda 3","Maplink3")</f>
        <v>Maplink3</v>
      </c>
    </row>
    <row r="3062" spans="1:49" ht="15" customHeight="1" x14ac:dyDescent="0.25">
      <c r="A3062" s="21">
        <v>23680</v>
      </c>
      <c r="B3062" s="22" t="s">
        <v>22</v>
      </c>
      <c r="C3062" s="22" t="s">
        <v>5848</v>
      </c>
      <c r="D3062" s="22" t="s">
        <v>5926</v>
      </c>
      <c r="E3062" s="22" t="s">
        <v>5927</v>
      </c>
      <c r="F3062" s="22">
        <v>32.006824999999999</v>
      </c>
      <c r="G3062" s="22">
        <v>44.927616</v>
      </c>
      <c r="H3062" s="21" t="s">
        <v>5725</v>
      </c>
      <c r="I3062" s="21" t="s">
        <v>5850</v>
      </c>
      <c r="J3062" s="21" t="s">
        <v>5928</v>
      </c>
      <c r="K3062" s="24">
        <v>33</v>
      </c>
      <c r="L3062" s="24">
        <v>198</v>
      </c>
      <c r="M3062" s="23">
        <v>11</v>
      </c>
      <c r="N3062" s="23"/>
      <c r="O3062" s="23">
        <v>10</v>
      </c>
      <c r="P3062" s="23"/>
      <c r="Q3062" s="23"/>
      <c r="R3062" s="23">
        <v>3</v>
      </c>
      <c r="S3062" s="23"/>
      <c r="T3062" s="23"/>
      <c r="U3062" s="23">
        <v>5</v>
      </c>
      <c r="V3062" s="23"/>
      <c r="W3062" s="23"/>
      <c r="X3062" s="23"/>
      <c r="Y3062" s="23">
        <v>4</v>
      </c>
      <c r="Z3062" s="23"/>
      <c r="AA3062" s="23"/>
      <c r="AB3062" s="23"/>
      <c r="AC3062" s="23"/>
      <c r="AD3062" s="23"/>
      <c r="AE3062" s="23"/>
      <c r="AF3062" s="23">
        <v>3</v>
      </c>
      <c r="AG3062" s="23"/>
      <c r="AH3062" s="23"/>
      <c r="AI3062" s="23"/>
      <c r="AJ3062" s="23"/>
      <c r="AK3062" s="23">
        <v>30</v>
      </c>
      <c r="AL3062" s="23"/>
      <c r="AM3062" s="23"/>
      <c r="AN3062" s="23"/>
      <c r="AO3062" s="23"/>
      <c r="AP3062" s="23">
        <v>14</v>
      </c>
      <c r="AQ3062" s="23">
        <v>10</v>
      </c>
      <c r="AR3062" s="23">
        <v>6</v>
      </c>
      <c r="AS3062" s="23">
        <v>3</v>
      </c>
      <c r="AT3062" s="23"/>
      <c r="AU3062" s="14" t="str">
        <f>HYPERLINK("http://www.openstreetmap.org/?mlat=32.0068&amp;mlon=44.9276&amp;zoom=12#map=12/32.0068/44.9276","Maplink1")</f>
        <v>Maplink1</v>
      </c>
      <c r="AV3062" s="14" t="str">
        <f>HYPERLINK("https://www.google.iq/maps/search/+32.0068,44.9276/@32.0068,44.9276,14z?hl=en","Maplink2")</f>
        <v>Maplink2</v>
      </c>
      <c r="AW3062" s="14" t="str">
        <f>HYPERLINK("http://www.bing.com/maps/?lvl=14&amp;sty=h&amp;cp=32.0068~44.9276&amp;sp=point.32.0068_44.9276_Hay Al Sadir 1","Maplink3")</f>
        <v>Maplink3</v>
      </c>
    </row>
    <row r="3063" spans="1:49" ht="15" customHeight="1" x14ac:dyDescent="0.25">
      <c r="A3063" s="21">
        <v>24903</v>
      </c>
      <c r="B3063" s="22" t="s">
        <v>22</v>
      </c>
      <c r="C3063" s="22" t="s">
        <v>5848</v>
      </c>
      <c r="D3063" s="22" t="s">
        <v>5929</v>
      </c>
      <c r="E3063" s="22" t="s">
        <v>5930</v>
      </c>
      <c r="F3063" s="22">
        <v>32.006993999999999</v>
      </c>
      <c r="G3063" s="22">
        <v>44.932177000000003</v>
      </c>
      <c r="H3063" s="21" t="s">
        <v>5725</v>
      </c>
      <c r="I3063" s="21" t="s">
        <v>5850</v>
      </c>
      <c r="J3063" s="21"/>
      <c r="K3063" s="24">
        <v>16</v>
      </c>
      <c r="L3063" s="24">
        <v>96</v>
      </c>
      <c r="M3063" s="23">
        <v>8</v>
      </c>
      <c r="N3063" s="23"/>
      <c r="O3063" s="23"/>
      <c r="P3063" s="23"/>
      <c r="Q3063" s="23"/>
      <c r="R3063" s="23"/>
      <c r="S3063" s="23"/>
      <c r="T3063" s="23"/>
      <c r="U3063" s="23">
        <v>6</v>
      </c>
      <c r="V3063" s="23"/>
      <c r="W3063" s="23"/>
      <c r="X3063" s="23"/>
      <c r="Y3063" s="23">
        <v>2</v>
      </c>
      <c r="Z3063" s="23"/>
      <c r="AA3063" s="23"/>
      <c r="AB3063" s="23"/>
      <c r="AC3063" s="23"/>
      <c r="AD3063" s="23"/>
      <c r="AE3063" s="23"/>
      <c r="AF3063" s="23">
        <v>2</v>
      </c>
      <c r="AG3063" s="23"/>
      <c r="AH3063" s="23"/>
      <c r="AI3063" s="23"/>
      <c r="AJ3063" s="23"/>
      <c r="AK3063" s="23">
        <v>14</v>
      </c>
      <c r="AL3063" s="23"/>
      <c r="AM3063" s="23"/>
      <c r="AN3063" s="23"/>
      <c r="AO3063" s="23">
        <v>1</v>
      </c>
      <c r="AP3063" s="23">
        <v>6</v>
      </c>
      <c r="AQ3063" s="23">
        <v>2</v>
      </c>
      <c r="AR3063" s="23">
        <v>1</v>
      </c>
      <c r="AS3063" s="23">
        <v>6</v>
      </c>
      <c r="AT3063" s="23"/>
      <c r="AU3063" s="14" t="str">
        <f>HYPERLINK("http://www.openstreetmap.org/?mlat=32.007&amp;mlon=44.9322&amp;zoom=12#map=12/32.007/44.9322","Maplink1")</f>
        <v>Maplink1</v>
      </c>
      <c r="AV3063" s="14" t="str">
        <f>HYPERLINK("https://www.google.iq/maps/search/+32.007,44.9322/@32.007,44.9322,14z?hl=en","Maplink2")</f>
        <v>Maplink2</v>
      </c>
      <c r="AW3063" s="14" t="str">
        <f>HYPERLINK("http://www.bing.com/maps/?lvl=14&amp;sty=h&amp;cp=32.007~44.9322&amp;sp=point.32.007_44.9322_Hay Al Sadir 2","Maplink3")</f>
        <v>Maplink3</v>
      </c>
    </row>
    <row r="3064" spans="1:49" ht="15" customHeight="1" x14ac:dyDescent="0.25">
      <c r="A3064" s="21">
        <v>24208</v>
      </c>
      <c r="B3064" s="22" t="s">
        <v>22</v>
      </c>
      <c r="C3064" s="22" t="s">
        <v>5848</v>
      </c>
      <c r="D3064" s="22" t="s">
        <v>5931</v>
      </c>
      <c r="E3064" s="22" t="s">
        <v>5932</v>
      </c>
      <c r="F3064" s="22">
        <v>32.004840999999999</v>
      </c>
      <c r="G3064" s="22">
        <v>44.945258000000003</v>
      </c>
      <c r="H3064" s="21" t="s">
        <v>5725</v>
      </c>
      <c r="I3064" s="21" t="s">
        <v>5850</v>
      </c>
      <c r="J3064" s="21" t="s">
        <v>5933</v>
      </c>
      <c r="K3064" s="24">
        <v>45</v>
      </c>
      <c r="L3064" s="24">
        <v>270</v>
      </c>
      <c r="M3064" s="23">
        <v>25</v>
      </c>
      <c r="N3064" s="23"/>
      <c r="O3064" s="23">
        <v>3</v>
      </c>
      <c r="P3064" s="23"/>
      <c r="Q3064" s="23"/>
      <c r="R3064" s="23"/>
      <c r="S3064" s="23"/>
      <c r="T3064" s="23"/>
      <c r="U3064" s="23">
        <v>8</v>
      </c>
      <c r="V3064" s="23"/>
      <c r="W3064" s="23"/>
      <c r="X3064" s="23"/>
      <c r="Y3064" s="23">
        <v>5</v>
      </c>
      <c r="Z3064" s="23"/>
      <c r="AA3064" s="23">
        <v>4</v>
      </c>
      <c r="AB3064" s="23"/>
      <c r="AC3064" s="23"/>
      <c r="AD3064" s="23"/>
      <c r="AE3064" s="23"/>
      <c r="AF3064" s="23">
        <v>5</v>
      </c>
      <c r="AG3064" s="23"/>
      <c r="AH3064" s="23"/>
      <c r="AI3064" s="23"/>
      <c r="AJ3064" s="23"/>
      <c r="AK3064" s="23">
        <v>40</v>
      </c>
      <c r="AL3064" s="23"/>
      <c r="AM3064" s="23"/>
      <c r="AN3064" s="23"/>
      <c r="AO3064" s="23"/>
      <c r="AP3064" s="23">
        <v>11</v>
      </c>
      <c r="AQ3064" s="23">
        <v>7</v>
      </c>
      <c r="AR3064" s="23">
        <v>7</v>
      </c>
      <c r="AS3064" s="23">
        <v>20</v>
      </c>
      <c r="AT3064" s="23"/>
      <c r="AU3064" s="14" t="str">
        <f>HYPERLINK("http://www.openstreetmap.org/?mlat=32.0048&amp;mlon=44.9453&amp;zoom=12#map=12/32.0048/44.9453","Maplink1")</f>
        <v>Maplink1</v>
      </c>
      <c r="AV3064" s="14" t="str">
        <f>HYPERLINK("https://www.google.iq/maps/search/+32.0048,44.9453/@32.0048,44.9453,14z?hl=en","Maplink2")</f>
        <v>Maplink2</v>
      </c>
      <c r="AW3064" s="14" t="str">
        <f>HYPERLINK("http://www.bing.com/maps/?lvl=14&amp;sty=h&amp;cp=32.0048~44.9453&amp;sp=point.32.0048_44.9453_Hay Al Sadir 3","Maplink3")</f>
        <v>Maplink3</v>
      </c>
    </row>
    <row r="3065" spans="1:49" ht="15" customHeight="1" x14ac:dyDescent="0.25">
      <c r="A3065" s="21">
        <v>21554</v>
      </c>
      <c r="B3065" s="22" t="s">
        <v>22</v>
      </c>
      <c r="C3065" s="22" t="s">
        <v>5848</v>
      </c>
      <c r="D3065" s="22" t="s">
        <v>227</v>
      </c>
      <c r="E3065" s="22" t="s">
        <v>715</v>
      </c>
      <c r="F3065" s="22">
        <v>32.008459999999999</v>
      </c>
      <c r="G3065" s="22">
        <v>44.939388999999998</v>
      </c>
      <c r="H3065" s="21" t="s">
        <v>5725</v>
      </c>
      <c r="I3065" s="21" t="s">
        <v>5850</v>
      </c>
      <c r="J3065" s="21" t="s">
        <v>5934</v>
      </c>
      <c r="K3065" s="24">
        <v>18</v>
      </c>
      <c r="L3065" s="24">
        <v>108</v>
      </c>
      <c r="M3065" s="23">
        <v>6</v>
      </c>
      <c r="N3065" s="23"/>
      <c r="O3065" s="23">
        <v>2</v>
      </c>
      <c r="P3065" s="23"/>
      <c r="Q3065" s="23"/>
      <c r="R3065" s="23">
        <v>4</v>
      </c>
      <c r="S3065" s="23"/>
      <c r="T3065" s="23"/>
      <c r="U3065" s="23"/>
      <c r="V3065" s="23"/>
      <c r="W3065" s="23"/>
      <c r="X3065" s="23"/>
      <c r="Y3065" s="23">
        <v>6</v>
      </c>
      <c r="Z3065" s="23"/>
      <c r="AA3065" s="23"/>
      <c r="AB3065" s="23"/>
      <c r="AC3065" s="23"/>
      <c r="AD3065" s="23"/>
      <c r="AE3065" s="23"/>
      <c r="AF3065" s="23">
        <v>1</v>
      </c>
      <c r="AG3065" s="23"/>
      <c r="AH3065" s="23"/>
      <c r="AI3065" s="23"/>
      <c r="AJ3065" s="23"/>
      <c r="AK3065" s="23">
        <v>17</v>
      </c>
      <c r="AL3065" s="23"/>
      <c r="AM3065" s="23"/>
      <c r="AN3065" s="23"/>
      <c r="AO3065" s="23"/>
      <c r="AP3065" s="23"/>
      <c r="AQ3065" s="23">
        <v>8</v>
      </c>
      <c r="AR3065" s="23">
        <v>10</v>
      </c>
      <c r="AS3065" s="23"/>
      <c r="AT3065" s="23"/>
      <c r="AU3065" s="14" t="str">
        <f>HYPERLINK("http://www.openstreetmap.org/?mlat=32.0085&amp;mlon=44.9394&amp;zoom=12#map=12/32.0085/44.9394","Maplink1")</f>
        <v>Maplink1</v>
      </c>
      <c r="AV3065" s="14" t="str">
        <f>HYPERLINK("https://www.google.iq/maps/search/+32.0085,44.9394/@32.0085,44.9394,14z?hl=en","Maplink2")</f>
        <v>Maplink2</v>
      </c>
      <c r="AW3065" s="14" t="str">
        <f>HYPERLINK("http://www.bing.com/maps/?lvl=14&amp;sty=h&amp;cp=32.0085~44.9394&amp;sp=point.32.0085_44.9394_Hay Al Salam","Maplink3")</f>
        <v>Maplink3</v>
      </c>
    </row>
    <row r="3066" spans="1:49" ht="15" customHeight="1" x14ac:dyDescent="0.25">
      <c r="A3066" s="21">
        <v>24149</v>
      </c>
      <c r="B3066" s="22" t="s">
        <v>22</v>
      </c>
      <c r="C3066" s="22" t="s">
        <v>5848</v>
      </c>
      <c r="D3066" s="22" t="s">
        <v>5935</v>
      </c>
      <c r="E3066" s="22" t="s">
        <v>5936</v>
      </c>
      <c r="F3066" s="22">
        <v>32.137422000000001</v>
      </c>
      <c r="G3066" s="22">
        <v>44.930501999999997</v>
      </c>
      <c r="H3066" s="21" t="s">
        <v>5725</v>
      </c>
      <c r="I3066" s="21" t="s">
        <v>5850</v>
      </c>
      <c r="J3066" s="21" t="s">
        <v>5937</v>
      </c>
      <c r="K3066" s="24">
        <v>14</v>
      </c>
      <c r="L3066" s="24">
        <v>84</v>
      </c>
      <c r="M3066" s="23">
        <v>2</v>
      </c>
      <c r="N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>
        <v>12</v>
      </c>
      <c r="Z3066" s="23"/>
      <c r="AA3066" s="23"/>
      <c r="AB3066" s="23"/>
      <c r="AC3066" s="23"/>
      <c r="AD3066" s="23"/>
      <c r="AE3066" s="23"/>
      <c r="AF3066" s="23">
        <v>4</v>
      </c>
      <c r="AG3066" s="23"/>
      <c r="AH3066" s="23"/>
      <c r="AI3066" s="23"/>
      <c r="AJ3066" s="23">
        <v>9</v>
      </c>
      <c r="AK3066" s="23">
        <v>1</v>
      </c>
      <c r="AL3066" s="23"/>
      <c r="AM3066" s="23"/>
      <c r="AN3066" s="23"/>
      <c r="AO3066" s="23"/>
      <c r="AP3066" s="23">
        <v>2</v>
      </c>
      <c r="AQ3066" s="23">
        <v>10</v>
      </c>
      <c r="AR3066" s="23">
        <v>2</v>
      </c>
      <c r="AS3066" s="23"/>
      <c r="AT3066" s="23"/>
      <c r="AU3066" s="14" t="str">
        <f>HYPERLINK("http://www.openstreetmap.org/?mlat=32.1374&amp;mlon=44.9305&amp;zoom=12#map=12/32.1374/44.9305","Maplink1")</f>
        <v>Maplink1</v>
      </c>
      <c r="AV3066" s="14" t="str">
        <f>HYPERLINK("https://www.google.iq/maps/search/+32.1374,44.9305/@32.1374,44.9305,14z?hl=en","Maplink2")</f>
        <v>Maplink2</v>
      </c>
      <c r="AW3066" s="14" t="str">
        <f>HYPERLINK("http://www.bing.com/maps/?lvl=14&amp;sty=h&amp;cp=32.1374~44.9305&amp;sp=point.32.1374_44.9305_Hay Al Shahada","Maplink3")</f>
        <v>Maplink3</v>
      </c>
    </row>
    <row r="3067" spans="1:49" ht="15" customHeight="1" x14ac:dyDescent="0.25">
      <c r="A3067" s="21">
        <v>24382</v>
      </c>
      <c r="B3067" s="22" t="s">
        <v>22</v>
      </c>
      <c r="C3067" s="22" t="s">
        <v>5848</v>
      </c>
      <c r="D3067" s="22" t="s">
        <v>5938</v>
      </c>
      <c r="E3067" s="22" t="s">
        <v>5939</v>
      </c>
      <c r="F3067" s="22">
        <v>32.006098999999999</v>
      </c>
      <c r="G3067" s="22">
        <v>44.860036999999998</v>
      </c>
      <c r="H3067" s="21" t="s">
        <v>5725</v>
      </c>
      <c r="I3067" s="21" t="s">
        <v>5850</v>
      </c>
      <c r="J3067" s="21"/>
      <c r="K3067" s="24">
        <v>23</v>
      </c>
      <c r="L3067" s="24">
        <v>138</v>
      </c>
      <c r="M3067" s="23"/>
      <c r="N3067" s="23"/>
      <c r="O3067" s="23"/>
      <c r="P3067" s="23"/>
      <c r="Q3067" s="23"/>
      <c r="R3067" s="23"/>
      <c r="S3067" s="23"/>
      <c r="T3067" s="23"/>
      <c r="U3067" s="23">
        <v>3</v>
      </c>
      <c r="V3067" s="23"/>
      <c r="W3067" s="23"/>
      <c r="X3067" s="23"/>
      <c r="Y3067" s="23">
        <v>20</v>
      </c>
      <c r="Z3067" s="23"/>
      <c r="AA3067" s="23"/>
      <c r="AB3067" s="23"/>
      <c r="AC3067" s="23"/>
      <c r="AD3067" s="23"/>
      <c r="AE3067" s="23"/>
      <c r="AF3067" s="23">
        <v>6</v>
      </c>
      <c r="AG3067" s="23"/>
      <c r="AH3067" s="23"/>
      <c r="AI3067" s="23"/>
      <c r="AJ3067" s="23">
        <v>10</v>
      </c>
      <c r="AK3067" s="23">
        <v>7</v>
      </c>
      <c r="AL3067" s="23"/>
      <c r="AM3067" s="23"/>
      <c r="AN3067" s="23"/>
      <c r="AO3067" s="23"/>
      <c r="AP3067" s="23">
        <v>22</v>
      </c>
      <c r="AQ3067" s="23">
        <v>1</v>
      </c>
      <c r="AR3067" s="23"/>
      <c r="AS3067" s="23"/>
      <c r="AT3067" s="23"/>
      <c r="AU3067" s="14" t="str">
        <f>HYPERLINK("http://www.openstreetmap.org/?mlat=32.0061&amp;mlon=44.86&amp;zoom=12#map=12/32.0061/44.86","Maplink1")</f>
        <v>Maplink1</v>
      </c>
      <c r="AV3067" s="14" t="str">
        <f>HYPERLINK("https://www.google.iq/maps/search/+32.0061,44.86/@32.0061,44.86,14z?hl=en","Maplink2")</f>
        <v>Maplink2</v>
      </c>
      <c r="AW3067" s="14" t="str">
        <f>HYPERLINK("http://www.bing.com/maps/?lvl=14&amp;sty=h&amp;cp=32.0061~44.86&amp;sp=point.32.0061_44.86_Hay Al Shomos","Maplink3")</f>
        <v>Maplink3</v>
      </c>
    </row>
    <row r="3068" spans="1:49" ht="15" customHeight="1" x14ac:dyDescent="0.25">
      <c r="A3068" s="21">
        <v>21727</v>
      </c>
      <c r="B3068" s="22" t="s">
        <v>22</v>
      </c>
      <c r="C3068" s="22" t="s">
        <v>5848</v>
      </c>
      <c r="D3068" s="22" t="s">
        <v>5940</v>
      </c>
      <c r="E3068" s="22" t="s">
        <v>5941</v>
      </c>
      <c r="F3068" s="22">
        <v>31.969698999999999</v>
      </c>
      <c r="G3068" s="22">
        <v>44.965302999999999</v>
      </c>
      <c r="H3068" s="21" t="s">
        <v>5725</v>
      </c>
      <c r="I3068" s="21" t="s">
        <v>5850</v>
      </c>
      <c r="J3068" s="21" t="s">
        <v>5942</v>
      </c>
      <c r="K3068" s="24">
        <v>9</v>
      </c>
      <c r="L3068" s="24">
        <v>54</v>
      </c>
      <c r="M3068" s="23">
        <v>3</v>
      </c>
      <c r="N3068" s="23"/>
      <c r="O3068" s="23"/>
      <c r="P3068" s="23"/>
      <c r="Q3068" s="23"/>
      <c r="R3068" s="23"/>
      <c r="S3068" s="23"/>
      <c r="T3068" s="23"/>
      <c r="U3068" s="23">
        <v>2</v>
      </c>
      <c r="V3068" s="23"/>
      <c r="W3068" s="23"/>
      <c r="X3068" s="23"/>
      <c r="Y3068" s="23">
        <v>4</v>
      </c>
      <c r="Z3068" s="23"/>
      <c r="AA3068" s="23"/>
      <c r="AB3068" s="23"/>
      <c r="AC3068" s="23"/>
      <c r="AD3068" s="23"/>
      <c r="AE3068" s="23"/>
      <c r="AF3068" s="23"/>
      <c r="AG3068" s="23"/>
      <c r="AH3068" s="23"/>
      <c r="AI3068" s="23"/>
      <c r="AJ3068" s="23">
        <v>5</v>
      </c>
      <c r="AK3068" s="23">
        <v>4</v>
      </c>
      <c r="AL3068" s="23"/>
      <c r="AM3068" s="23"/>
      <c r="AN3068" s="23"/>
      <c r="AO3068" s="23"/>
      <c r="AP3068" s="23">
        <v>2</v>
      </c>
      <c r="AQ3068" s="23">
        <v>4</v>
      </c>
      <c r="AR3068" s="23">
        <v>3</v>
      </c>
      <c r="AS3068" s="23"/>
      <c r="AT3068" s="23"/>
      <c r="AU3068" s="14" t="str">
        <f>HYPERLINK("http://www.openstreetmap.org/?mlat=31.9697&amp;mlon=44.9653&amp;zoom=12#map=12/31.9697/44.9653","Maplink1")</f>
        <v>Maplink1</v>
      </c>
      <c r="AV3068" s="14" t="str">
        <f>HYPERLINK("https://www.google.iq/maps/search/+31.9697,44.9653/@31.9697,44.9653,14z?hl=en","Maplink2")</f>
        <v>Maplink2</v>
      </c>
      <c r="AW3068" s="14" t="str">
        <f>HYPERLINK("http://www.bing.com/maps/?lvl=14&amp;sty=h&amp;cp=31.9697~44.9653&amp;sp=point.31.9697_44.9653_Hay Al Thuqlayn","Maplink3")</f>
        <v>Maplink3</v>
      </c>
    </row>
    <row r="3069" spans="1:49" ht="15" customHeight="1" x14ac:dyDescent="0.25">
      <c r="A3069" s="21">
        <v>24309</v>
      </c>
      <c r="B3069" s="22" t="s">
        <v>22</v>
      </c>
      <c r="C3069" s="22" t="s">
        <v>5848</v>
      </c>
      <c r="D3069" s="22" t="s">
        <v>5943</v>
      </c>
      <c r="E3069" s="22" t="s">
        <v>1123</v>
      </c>
      <c r="F3069" s="22">
        <v>32.067149000000001</v>
      </c>
      <c r="G3069" s="22">
        <v>44.772266999999999</v>
      </c>
      <c r="H3069" s="21" t="s">
        <v>5725</v>
      </c>
      <c r="I3069" s="21" t="s">
        <v>5850</v>
      </c>
      <c r="J3069" s="21" t="s">
        <v>5944</v>
      </c>
      <c r="K3069" s="24">
        <v>41</v>
      </c>
      <c r="L3069" s="24">
        <v>246</v>
      </c>
      <c r="M3069" s="23">
        <v>2</v>
      </c>
      <c r="N3069" s="23"/>
      <c r="O3069" s="23"/>
      <c r="P3069" s="23"/>
      <c r="Q3069" s="23"/>
      <c r="R3069" s="23"/>
      <c r="S3069" s="23"/>
      <c r="T3069" s="23"/>
      <c r="U3069" s="23">
        <v>2</v>
      </c>
      <c r="V3069" s="23"/>
      <c r="W3069" s="23"/>
      <c r="X3069" s="23"/>
      <c r="Y3069" s="23">
        <v>37</v>
      </c>
      <c r="Z3069" s="23"/>
      <c r="AA3069" s="23"/>
      <c r="AB3069" s="23"/>
      <c r="AC3069" s="23"/>
      <c r="AD3069" s="23"/>
      <c r="AE3069" s="23"/>
      <c r="AF3069" s="23">
        <v>5</v>
      </c>
      <c r="AG3069" s="23"/>
      <c r="AH3069" s="23"/>
      <c r="AI3069" s="23"/>
      <c r="AJ3069" s="23">
        <v>20</v>
      </c>
      <c r="AK3069" s="23">
        <v>16</v>
      </c>
      <c r="AL3069" s="23"/>
      <c r="AM3069" s="23"/>
      <c r="AN3069" s="23"/>
      <c r="AO3069" s="23"/>
      <c r="AP3069" s="23">
        <v>16</v>
      </c>
      <c r="AQ3069" s="23">
        <v>23</v>
      </c>
      <c r="AR3069" s="23">
        <v>2</v>
      </c>
      <c r="AS3069" s="23"/>
      <c r="AT3069" s="23"/>
      <c r="AU3069" s="14" t="str">
        <f>HYPERLINK("http://www.openstreetmap.org/?mlat=32.0671&amp;mlon=44.7723&amp;zoom=12#map=12/32.0671/44.7723","Maplink1")</f>
        <v>Maplink1</v>
      </c>
      <c r="AV3069" s="14" t="str">
        <f>HYPERLINK("https://www.google.iq/maps/search/+32.0671,44.7723/@32.0671,44.7723,14z?hl=en","Maplink2")</f>
        <v>Maplink2</v>
      </c>
      <c r="AW3069" s="14" t="str">
        <f>HYPERLINK("http://www.bing.com/maps/?lvl=14&amp;sty=h&amp;cp=32.0671~44.7723&amp;sp=point.32.0671_44.7723_Hay Al Waely","Maplink3")</f>
        <v>Maplink3</v>
      </c>
    </row>
    <row r="3070" spans="1:49" ht="15" customHeight="1" x14ac:dyDescent="0.25">
      <c r="A3070" s="21">
        <v>21734</v>
      </c>
      <c r="B3070" s="22" t="s">
        <v>22</v>
      </c>
      <c r="C3070" s="22" t="s">
        <v>5848</v>
      </c>
      <c r="D3070" s="22" t="s">
        <v>5945</v>
      </c>
      <c r="E3070" s="22" t="s">
        <v>5946</v>
      </c>
      <c r="F3070" s="22">
        <v>31.994340000000001</v>
      </c>
      <c r="G3070" s="22">
        <v>44.998759999999997</v>
      </c>
      <c r="H3070" s="21" t="s">
        <v>5725</v>
      </c>
      <c r="I3070" s="21" t="s">
        <v>5850</v>
      </c>
      <c r="J3070" s="21" t="s">
        <v>5947</v>
      </c>
      <c r="K3070" s="24">
        <v>14</v>
      </c>
      <c r="L3070" s="24">
        <v>84</v>
      </c>
      <c r="M3070" s="23">
        <v>2</v>
      </c>
      <c r="N3070" s="23">
        <v>3</v>
      </c>
      <c r="O3070" s="23">
        <v>2</v>
      </c>
      <c r="P3070" s="23"/>
      <c r="Q3070" s="23"/>
      <c r="R3070" s="23"/>
      <c r="S3070" s="23"/>
      <c r="T3070" s="23"/>
      <c r="U3070" s="23">
        <v>4</v>
      </c>
      <c r="V3070" s="23"/>
      <c r="W3070" s="23"/>
      <c r="X3070" s="23"/>
      <c r="Y3070" s="23">
        <v>3</v>
      </c>
      <c r="Z3070" s="23"/>
      <c r="AA3070" s="23"/>
      <c r="AB3070" s="23"/>
      <c r="AC3070" s="23"/>
      <c r="AD3070" s="23"/>
      <c r="AE3070" s="23"/>
      <c r="AF3070" s="23">
        <v>5</v>
      </c>
      <c r="AG3070" s="23"/>
      <c r="AH3070" s="23"/>
      <c r="AI3070" s="23"/>
      <c r="AJ3070" s="23"/>
      <c r="AK3070" s="23">
        <v>9</v>
      </c>
      <c r="AL3070" s="23"/>
      <c r="AM3070" s="23"/>
      <c r="AN3070" s="23"/>
      <c r="AO3070" s="23"/>
      <c r="AP3070" s="23">
        <v>11</v>
      </c>
      <c r="AQ3070" s="23">
        <v>3</v>
      </c>
      <c r="AR3070" s="23"/>
      <c r="AS3070" s="23"/>
      <c r="AT3070" s="23"/>
      <c r="AU3070" s="14" t="str">
        <f>HYPERLINK("http://www.openstreetmap.org/?mlat=31.9943&amp;mlon=44.9988&amp;zoom=12#map=12/31.9943/44.9988","Maplink1")</f>
        <v>Maplink1</v>
      </c>
      <c r="AV3070" s="14" t="str">
        <f>HYPERLINK("https://www.google.iq/maps/search/+31.9943,44.9988/@31.9943,44.9988,14z?hl=en","Maplink2")</f>
        <v>Maplink2</v>
      </c>
      <c r="AW3070" s="14" t="str">
        <f>HYPERLINK("http://www.bing.com/maps/?lvl=14&amp;sty=h&amp;cp=31.9943~44.9988&amp;sp=point.31.9943_44.9988_Hay Al Wihda 1","Maplink3")</f>
        <v>Maplink3</v>
      </c>
    </row>
    <row r="3071" spans="1:49" ht="15" customHeight="1" x14ac:dyDescent="0.25">
      <c r="A3071" s="21">
        <v>21946</v>
      </c>
      <c r="B3071" s="22" t="s">
        <v>22</v>
      </c>
      <c r="C3071" s="22" t="s">
        <v>5848</v>
      </c>
      <c r="D3071" s="22" t="s">
        <v>7375</v>
      </c>
      <c r="E3071" s="22" t="s">
        <v>5859</v>
      </c>
      <c r="F3071" s="22">
        <v>31.99672</v>
      </c>
      <c r="G3071" s="22">
        <v>44.945650000000001</v>
      </c>
      <c r="H3071" s="21" t="s">
        <v>5725</v>
      </c>
      <c r="I3071" s="21" t="s">
        <v>5850</v>
      </c>
      <c r="J3071" s="21" t="s">
        <v>5860</v>
      </c>
      <c r="K3071" s="24">
        <v>12</v>
      </c>
      <c r="L3071" s="24">
        <v>72</v>
      </c>
      <c r="M3071" s="23">
        <v>2</v>
      </c>
      <c r="N3071" s="23"/>
      <c r="O3071" s="23"/>
      <c r="P3071" s="23"/>
      <c r="Q3071" s="23"/>
      <c r="R3071" s="23"/>
      <c r="S3071" s="23"/>
      <c r="T3071" s="23"/>
      <c r="U3071" s="23">
        <v>5</v>
      </c>
      <c r="V3071" s="23"/>
      <c r="W3071" s="23"/>
      <c r="X3071" s="23"/>
      <c r="Y3071" s="23">
        <v>5</v>
      </c>
      <c r="Z3071" s="23"/>
      <c r="AA3071" s="23"/>
      <c r="AB3071" s="23"/>
      <c r="AC3071" s="23"/>
      <c r="AD3071" s="23"/>
      <c r="AE3071" s="23"/>
      <c r="AF3071" s="23">
        <v>4</v>
      </c>
      <c r="AG3071" s="23"/>
      <c r="AH3071" s="23"/>
      <c r="AI3071" s="23"/>
      <c r="AJ3071" s="23"/>
      <c r="AK3071" s="23">
        <v>8</v>
      </c>
      <c r="AL3071" s="23"/>
      <c r="AM3071" s="23"/>
      <c r="AN3071" s="23"/>
      <c r="AO3071" s="23"/>
      <c r="AP3071" s="23">
        <v>9</v>
      </c>
      <c r="AQ3071" s="23">
        <v>1</v>
      </c>
      <c r="AR3071" s="23">
        <v>2</v>
      </c>
      <c r="AS3071" s="23"/>
      <c r="AT3071" s="23"/>
      <c r="AU3071" s="14" t="str">
        <f>HYPERLINK("http://www.openstreetmap.org/?mlat=31.9967&amp;mlon=44.9457&amp;zoom=12#map=12/31.9967/44.9457","Maplink1")</f>
        <v>Maplink1</v>
      </c>
      <c r="AV3071" s="14" t="str">
        <f>HYPERLINK("https://www.google.iq/maps/search/+31.9967,44.9457/@31.9967,44.9457,14z?hl=en","Maplink2")</f>
        <v>Maplink2</v>
      </c>
      <c r="AW3071" s="14" t="str">
        <f>HYPERLINK("http://www.bing.com/maps/?lvl=14&amp;sty=h&amp;cp=31.9967~44.9457&amp;sp=point.31.9967_44.9457_Al Wihda 2","Maplink3")</f>
        <v>Maplink3</v>
      </c>
    </row>
    <row r="3072" spans="1:49" ht="15" customHeight="1" x14ac:dyDescent="0.25">
      <c r="A3072" s="21">
        <v>21945</v>
      </c>
      <c r="B3072" s="22" t="s">
        <v>22</v>
      </c>
      <c r="C3072" s="22" t="s">
        <v>5848</v>
      </c>
      <c r="D3072" s="22" t="s">
        <v>7376</v>
      </c>
      <c r="E3072" s="22" t="s">
        <v>5861</v>
      </c>
      <c r="F3072" s="22">
        <v>31.99156</v>
      </c>
      <c r="G3072" s="22">
        <v>44.943429999999999</v>
      </c>
      <c r="H3072" s="21" t="s">
        <v>5725</v>
      </c>
      <c r="I3072" s="21" t="s">
        <v>5850</v>
      </c>
      <c r="J3072" s="21" t="s">
        <v>5862</v>
      </c>
      <c r="K3072" s="24">
        <v>15</v>
      </c>
      <c r="L3072" s="24">
        <v>90</v>
      </c>
      <c r="M3072" s="23">
        <v>7</v>
      </c>
      <c r="N3072" s="23"/>
      <c r="O3072" s="23">
        <v>2</v>
      </c>
      <c r="P3072" s="23"/>
      <c r="Q3072" s="23"/>
      <c r="R3072" s="23"/>
      <c r="S3072" s="23"/>
      <c r="T3072" s="23"/>
      <c r="U3072" s="23">
        <v>4</v>
      </c>
      <c r="V3072" s="23"/>
      <c r="W3072" s="23"/>
      <c r="X3072" s="23"/>
      <c r="Y3072" s="23">
        <v>2</v>
      </c>
      <c r="Z3072" s="23"/>
      <c r="AA3072" s="23"/>
      <c r="AB3072" s="23"/>
      <c r="AC3072" s="23"/>
      <c r="AD3072" s="23"/>
      <c r="AE3072" s="23"/>
      <c r="AF3072" s="23">
        <v>6</v>
      </c>
      <c r="AG3072" s="23"/>
      <c r="AH3072" s="23"/>
      <c r="AI3072" s="23"/>
      <c r="AJ3072" s="23"/>
      <c r="AK3072" s="23">
        <v>9</v>
      </c>
      <c r="AL3072" s="23"/>
      <c r="AM3072" s="23"/>
      <c r="AN3072" s="23"/>
      <c r="AO3072" s="23">
        <v>2</v>
      </c>
      <c r="AP3072" s="23"/>
      <c r="AQ3072" s="23">
        <v>2</v>
      </c>
      <c r="AR3072" s="23">
        <v>11</v>
      </c>
      <c r="AS3072" s="23"/>
      <c r="AT3072" s="23"/>
      <c r="AU3072" s="14" t="str">
        <f>HYPERLINK("http://www.openstreetmap.org/?mlat=31.9916&amp;mlon=44.9434&amp;zoom=12#map=12/31.9916/44.9434","Maplink1")</f>
        <v>Maplink1</v>
      </c>
      <c r="AV3072" s="14" t="str">
        <f>HYPERLINK("https://www.google.iq/maps/search/+31.9916,44.9434/@31.9916,44.9434,14z?hl=en","Maplink2")</f>
        <v>Maplink2</v>
      </c>
      <c r="AW3072" s="14" t="str">
        <f>HYPERLINK("http://www.bing.com/maps/?lvl=14&amp;sty=h&amp;cp=31.9916~44.9434&amp;sp=point.31.9916_44.9434_Al Wihda 3","Maplink3")</f>
        <v>Maplink3</v>
      </c>
    </row>
    <row r="3073" spans="1:49" ht="15" customHeight="1" x14ac:dyDescent="0.25">
      <c r="A3073" s="21">
        <v>25327</v>
      </c>
      <c r="B3073" s="22" t="s">
        <v>22</v>
      </c>
      <c r="C3073" s="22" t="s">
        <v>5848</v>
      </c>
      <c r="D3073" s="22" t="s">
        <v>4877</v>
      </c>
      <c r="E3073" s="22" t="s">
        <v>2196</v>
      </c>
      <c r="F3073" s="22">
        <v>31.949517</v>
      </c>
      <c r="G3073" s="22">
        <v>44.831049</v>
      </c>
      <c r="H3073" s="21" t="s">
        <v>5725</v>
      </c>
      <c r="I3073" s="21" t="s">
        <v>5850</v>
      </c>
      <c r="J3073" s="21"/>
      <c r="K3073" s="24">
        <v>29</v>
      </c>
      <c r="L3073" s="24">
        <v>174</v>
      </c>
      <c r="M3073" s="23">
        <v>3</v>
      </c>
      <c r="N3073" s="23"/>
      <c r="O3073" s="23">
        <v>2</v>
      </c>
      <c r="P3073" s="23"/>
      <c r="Q3073" s="23"/>
      <c r="R3073" s="23"/>
      <c r="S3073" s="23"/>
      <c r="T3073" s="23"/>
      <c r="U3073" s="23">
        <v>3</v>
      </c>
      <c r="V3073" s="23"/>
      <c r="W3073" s="23"/>
      <c r="X3073" s="23"/>
      <c r="Y3073" s="23">
        <v>21</v>
      </c>
      <c r="Z3073" s="23"/>
      <c r="AA3073" s="23"/>
      <c r="AB3073" s="23"/>
      <c r="AC3073" s="23"/>
      <c r="AD3073" s="23"/>
      <c r="AE3073" s="23"/>
      <c r="AF3073" s="23">
        <v>3</v>
      </c>
      <c r="AG3073" s="23"/>
      <c r="AH3073" s="23"/>
      <c r="AI3073" s="23"/>
      <c r="AJ3073" s="23"/>
      <c r="AK3073" s="23">
        <v>26</v>
      </c>
      <c r="AL3073" s="23"/>
      <c r="AM3073" s="23"/>
      <c r="AN3073" s="23"/>
      <c r="AO3073" s="23"/>
      <c r="AP3073" s="23">
        <v>13</v>
      </c>
      <c r="AQ3073" s="23">
        <v>11</v>
      </c>
      <c r="AR3073" s="23">
        <v>5</v>
      </c>
      <c r="AS3073" s="23"/>
      <c r="AT3073" s="23"/>
      <c r="AU3073" s="14" t="str">
        <f>HYPERLINK("http://www.openstreetmap.org/?mlat=31.9495&amp;mlon=44.831&amp;zoom=12#map=12/31.9495/44.831","Maplink1")</f>
        <v>Maplink1</v>
      </c>
      <c r="AV3073" s="14" t="str">
        <f>HYPERLINK("https://www.google.iq/maps/search/+31.9495,44.831/@31.9495,44.831,14z?hl=en","Maplink2")</f>
        <v>Maplink2</v>
      </c>
      <c r="AW3073" s="14" t="str">
        <f>HYPERLINK("http://www.bing.com/maps/?lvl=14&amp;sty=h&amp;cp=31.9495~44.831&amp;sp=point.31.9495_44.831_Shafiya-Hay Al Zahra","Maplink3")</f>
        <v>Maplink3</v>
      </c>
    </row>
    <row r="3074" spans="1:49" ht="15" customHeight="1" x14ac:dyDescent="0.25">
      <c r="A3074" s="21">
        <v>2721</v>
      </c>
      <c r="B3074" s="22" t="s">
        <v>22</v>
      </c>
      <c r="C3074" s="22" t="s">
        <v>5848</v>
      </c>
      <c r="D3074" s="22" t="s">
        <v>872</v>
      </c>
      <c r="E3074" s="22" t="s">
        <v>2196</v>
      </c>
      <c r="F3074" s="22">
        <v>31.976652999999999</v>
      </c>
      <c r="G3074" s="22">
        <v>44.958475</v>
      </c>
      <c r="H3074" s="21" t="s">
        <v>5725</v>
      </c>
      <c r="I3074" s="21" t="s">
        <v>5850</v>
      </c>
      <c r="J3074" s="21" t="s">
        <v>5948</v>
      </c>
      <c r="K3074" s="24">
        <v>4</v>
      </c>
      <c r="L3074" s="24">
        <v>24</v>
      </c>
      <c r="M3074" s="23">
        <v>1</v>
      </c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>
        <v>3</v>
      </c>
      <c r="Z3074" s="23"/>
      <c r="AA3074" s="23"/>
      <c r="AB3074" s="23"/>
      <c r="AC3074" s="23"/>
      <c r="AD3074" s="23"/>
      <c r="AE3074" s="23"/>
      <c r="AF3074" s="23"/>
      <c r="AG3074" s="23"/>
      <c r="AH3074" s="23"/>
      <c r="AI3074" s="23"/>
      <c r="AJ3074" s="23"/>
      <c r="AK3074" s="23">
        <v>4</v>
      </c>
      <c r="AL3074" s="23"/>
      <c r="AM3074" s="23"/>
      <c r="AN3074" s="23"/>
      <c r="AO3074" s="23"/>
      <c r="AP3074" s="23"/>
      <c r="AQ3074" s="23">
        <v>3</v>
      </c>
      <c r="AR3074" s="23">
        <v>1</v>
      </c>
      <c r="AS3074" s="23"/>
      <c r="AT3074" s="23"/>
      <c r="AU3074" s="14" t="str">
        <f>HYPERLINK("http://www.openstreetmap.org/?mlat=31.9767&amp;mlon=44.9585&amp;zoom=12#map=12/31.9767/44.9585","Maplink1")</f>
        <v>Maplink1</v>
      </c>
      <c r="AV3074" s="14" t="str">
        <f>HYPERLINK("https://www.google.iq/maps/search/+31.9767,44.9585/@31.9767,44.9585,14z?hl=en","Maplink2")</f>
        <v>Maplink2</v>
      </c>
      <c r="AW3074" s="14" t="str">
        <f>HYPERLINK("http://www.bing.com/maps/?lvl=14&amp;sty=h&amp;cp=31.9767~44.9585&amp;sp=point.31.9767_44.9585_Hay Al Zahraa","Maplink3")</f>
        <v>Maplink3</v>
      </c>
    </row>
    <row r="3075" spans="1:49" ht="15" customHeight="1" x14ac:dyDescent="0.25">
      <c r="A3075" s="21">
        <v>3386</v>
      </c>
      <c r="B3075" s="22" t="s">
        <v>22</v>
      </c>
      <c r="C3075" s="22" t="s">
        <v>5848</v>
      </c>
      <c r="D3075" s="22" t="s">
        <v>5949</v>
      </c>
      <c r="E3075" s="22" t="s">
        <v>3922</v>
      </c>
      <c r="F3075" s="22">
        <v>32.005330000000001</v>
      </c>
      <c r="G3075" s="22">
        <v>44.856340000000003</v>
      </c>
      <c r="H3075" s="21" t="s">
        <v>5725</v>
      </c>
      <c r="I3075" s="21" t="s">
        <v>5850</v>
      </c>
      <c r="J3075" s="21" t="s">
        <v>5950</v>
      </c>
      <c r="K3075" s="24">
        <v>8</v>
      </c>
      <c r="L3075" s="24">
        <v>48</v>
      </c>
      <c r="M3075" s="23">
        <v>2</v>
      </c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>
        <v>6</v>
      </c>
      <c r="Z3075" s="23"/>
      <c r="AA3075" s="23"/>
      <c r="AB3075" s="23"/>
      <c r="AC3075" s="23"/>
      <c r="AD3075" s="23"/>
      <c r="AE3075" s="23"/>
      <c r="AF3075" s="23"/>
      <c r="AG3075" s="23"/>
      <c r="AH3075" s="23"/>
      <c r="AI3075" s="23"/>
      <c r="AJ3075" s="23">
        <v>3</v>
      </c>
      <c r="AK3075" s="23">
        <v>5</v>
      </c>
      <c r="AL3075" s="23"/>
      <c r="AM3075" s="23"/>
      <c r="AN3075" s="23"/>
      <c r="AO3075" s="23"/>
      <c r="AP3075" s="23">
        <v>5</v>
      </c>
      <c r="AQ3075" s="23">
        <v>1</v>
      </c>
      <c r="AR3075" s="23">
        <v>2</v>
      </c>
      <c r="AS3075" s="23"/>
      <c r="AT3075" s="23"/>
      <c r="AU3075" s="14" t="str">
        <f>HYPERLINK("http://www.openstreetmap.org/?mlat=32.0053&amp;mlon=44.8563&amp;zoom=12#map=12/32.0053/44.8563","Maplink1")</f>
        <v>Maplink1</v>
      </c>
      <c r="AV3075" s="14" t="str">
        <f>HYPERLINK("https://www.google.iq/maps/search/+32.0053,44.8563/@32.0053,44.8563,14z?hl=en","Maplink2")</f>
        <v>Maplink2</v>
      </c>
      <c r="AW3075" s="14" t="str">
        <f>HYPERLINK("http://www.bing.com/maps/?lvl=14&amp;sty=h&amp;cp=32.0053~44.8563&amp;sp=point.32.0053_44.8563_Hay AL-Amel","Maplink3")</f>
        <v>Maplink3</v>
      </c>
    </row>
    <row r="3076" spans="1:49" ht="15" customHeight="1" x14ac:dyDescent="0.25">
      <c r="A3076" s="21">
        <v>25567</v>
      </c>
      <c r="B3076" s="22" t="s">
        <v>22</v>
      </c>
      <c r="C3076" s="22" t="s">
        <v>5848</v>
      </c>
      <c r="D3076" s="22" t="s">
        <v>5951</v>
      </c>
      <c r="E3076" s="22" t="s">
        <v>5952</v>
      </c>
      <c r="F3076" s="22">
        <v>32.014603000000001</v>
      </c>
      <c r="G3076" s="22">
        <v>44.820666000000003</v>
      </c>
      <c r="H3076" s="21" t="s">
        <v>5725</v>
      </c>
      <c r="I3076" s="21" t="s">
        <v>5850</v>
      </c>
      <c r="J3076" s="21"/>
      <c r="K3076" s="24">
        <v>65</v>
      </c>
      <c r="L3076" s="24">
        <v>390</v>
      </c>
      <c r="M3076" s="23">
        <v>17</v>
      </c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>
        <v>48</v>
      </c>
      <c r="Z3076" s="23"/>
      <c r="AA3076" s="23"/>
      <c r="AB3076" s="23"/>
      <c r="AC3076" s="23"/>
      <c r="AD3076" s="23"/>
      <c r="AE3076" s="23"/>
      <c r="AF3076" s="23">
        <v>10</v>
      </c>
      <c r="AG3076" s="23"/>
      <c r="AH3076" s="23"/>
      <c r="AI3076" s="23"/>
      <c r="AJ3076" s="23">
        <v>25</v>
      </c>
      <c r="AK3076" s="23">
        <v>30</v>
      </c>
      <c r="AL3076" s="23"/>
      <c r="AM3076" s="23"/>
      <c r="AN3076" s="23"/>
      <c r="AO3076" s="23"/>
      <c r="AP3076" s="23">
        <v>36</v>
      </c>
      <c r="AQ3076" s="23">
        <v>24</v>
      </c>
      <c r="AR3076" s="23">
        <v>4</v>
      </c>
      <c r="AS3076" s="23">
        <v>1</v>
      </c>
      <c r="AT3076" s="23"/>
      <c r="AU3076" s="14" t="str">
        <f>HYPERLINK("http://www.openstreetmap.org/?mlat=32.0146&amp;mlon=44.8207&amp;zoom=12#map=12/32.0146/44.8207","Maplink1")</f>
        <v>Maplink1</v>
      </c>
      <c r="AV3076" s="14" t="str">
        <f>HYPERLINK("https://www.google.iq/maps/search/+32.0146,44.8207/@32.0146,44.8207,14z?hl=en","Maplink2")</f>
        <v>Maplink2</v>
      </c>
      <c r="AW3076" s="14" t="str">
        <f>HYPERLINK("http://www.bing.com/maps/?lvl=14&amp;sty=h&amp;cp=32.0146~44.8207&amp;sp=point.32.0146_44.8207_Hay Al-Amin 1","Maplink3")</f>
        <v>Maplink3</v>
      </c>
    </row>
    <row r="3077" spans="1:49" ht="15" customHeight="1" x14ac:dyDescent="0.25">
      <c r="A3077" s="21">
        <v>25568</v>
      </c>
      <c r="B3077" s="22" t="s">
        <v>22</v>
      </c>
      <c r="C3077" s="22" t="s">
        <v>5848</v>
      </c>
      <c r="D3077" s="22" t="s">
        <v>5953</v>
      </c>
      <c r="E3077" s="22" t="s">
        <v>5954</v>
      </c>
      <c r="F3077" s="22">
        <v>32.009937000000001</v>
      </c>
      <c r="G3077" s="22">
        <v>44.828904000000001</v>
      </c>
      <c r="H3077" s="21" t="s">
        <v>5725</v>
      </c>
      <c r="I3077" s="21" t="s">
        <v>5850</v>
      </c>
      <c r="J3077" s="21"/>
      <c r="K3077" s="24">
        <v>49</v>
      </c>
      <c r="L3077" s="24">
        <v>294</v>
      </c>
      <c r="M3077" s="23">
        <v>9</v>
      </c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>
        <v>40</v>
      </c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>
        <v>28</v>
      </c>
      <c r="AK3077" s="23">
        <v>21</v>
      </c>
      <c r="AL3077" s="23"/>
      <c r="AM3077" s="23"/>
      <c r="AN3077" s="23"/>
      <c r="AO3077" s="23"/>
      <c r="AP3077" s="23"/>
      <c r="AQ3077" s="23">
        <v>40</v>
      </c>
      <c r="AR3077" s="23">
        <v>9</v>
      </c>
      <c r="AS3077" s="23"/>
      <c r="AT3077" s="23"/>
      <c r="AU3077" s="14" t="str">
        <f>HYPERLINK("http://www.openstreetmap.org/?mlat=32.0099&amp;mlon=44.8289&amp;zoom=12#map=12/32.0099/44.8289","Maplink1")</f>
        <v>Maplink1</v>
      </c>
      <c r="AV3077" s="14" t="str">
        <f>HYPERLINK("https://www.google.iq/maps/search/+32.0099,44.8289/@32.0099,44.8289,14z?hl=en","Maplink2")</f>
        <v>Maplink2</v>
      </c>
      <c r="AW3077" s="14" t="str">
        <f>HYPERLINK("http://www.bing.com/maps/?lvl=14&amp;sty=h&amp;cp=32.0099~44.8289&amp;sp=point.32.0099_44.8289_Hay Al-Amin 2","Maplink3")</f>
        <v>Maplink3</v>
      </c>
    </row>
    <row r="3078" spans="1:49" ht="15" customHeight="1" x14ac:dyDescent="0.25">
      <c r="A3078" s="21">
        <v>3308</v>
      </c>
      <c r="B3078" s="22" t="s">
        <v>22</v>
      </c>
      <c r="C3078" s="22" t="s">
        <v>5848</v>
      </c>
      <c r="D3078" s="22" t="s">
        <v>7377</v>
      </c>
      <c r="E3078" s="22" t="s">
        <v>120</v>
      </c>
      <c r="F3078" s="22">
        <v>32.131321</v>
      </c>
      <c r="G3078" s="22">
        <v>44.929254</v>
      </c>
      <c r="H3078" s="21" t="s">
        <v>5725</v>
      </c>
      <c r="I3078" s="21" t="s">
        <v>5850</v>
      </c>
      <c r="J3078" s="21" t="s">
        <v>5955</v>
      </c>
      <c r="K3078" s="24">
        <v>20</v>
      </c>
      <c r="L3078" s="24">
        <v>120</v>
      </c>
      <c r="M3078" s="23">
        <v>2</v>
      </c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>
        <v>18</v>
      </c>
      <c r="Z3078" s="23"/>
      <c r="AA3078" s="23"/>
      <c r="AB3078" s="23"/>
      <c r="AC3078" s="23"/>
      <c r="AD3078" s="23"/>
      <c r="AE3078" s="23"/>
      <c r="AF3078" s="23">
        <v>6</v>
      </c>
      <c r="AG3078" s="23"/>
      <c r="AH3078" s="23"/>
      <c r="AI3078" s="23"/>
      <c r="AJ3078" s="23"/>
      <c r="AK3078" s="23">
        <v>14</v>
      </c>
      <c r="AL3078" s="23"/>
      <c r="AM3078" s="23"/>
      <c r="AN3078" s="23"/>
      <c r="AO3078" s="23"/>
      <c r="AP3078" s="23">
        <v>8</v>
      </c>
      <c r="AQ3078" s="23">
        <v>10</v>
      </c>
      <c r="AR3078" s="23">
        <v>2</v>
      </c>
      <c r="AS3078" s="23"/>
      <c r="AT3078" s="23"/>
      <c r="AU3078" s="14" t="str">
        <f>HYPERLINK("http://www.openstreetmap.org/?mlat=32.1313&amp;mlon=44.9293&amp;zoom=12#map=12/32.1313/44.9293","Maplink1")</f>
        <v>Maplink1</v>
      </c>
      <c r="AV3078" s="14" t="str">
        <f>HYPERLINK("https://www.google.iq/maps/search/+32.1313,44.9293/@32.1313,44.9293,14z?hl=en","Maplink2")</f>
        <v>Maplink2</v>
      </c>
      <c r="AW3078" s="14" t="str">
        <f>HYPERLINK("http://www.bing.com/maps/?lvl=14&amp;sty=h&amp;cp=32.1313~44.9293&amp;sp=point.32.1313_44.9293_Hay Al-Askaary-Daghara","Maplink3")</f>
        <v>Maplink3</v>
      </c>
    </row>
    <row r="3079" spans="1:49" ht="15" customHeight="1" x14ac:dyDescent="0.25">
      <c r="A3079" s="21">
        <v>24487</v>
      </c>
      <c r="B3079" s="22" t="s">
        <v>22</v>
      </c>
      <c r="C3079" s="22" t="s">
        <v>5848</v>
      </c>
      <c r="D3079" s="22" t="s">
        <v>4565</v>
      </c>
      <c r="E3079" s="22" t="s">
        <v>120</v>
      </c>
      <c r="F3079" s="22">
        <v>32.064619999999998</v>
      </c>
      <c r="G3079" s="22">
        <v>44.771672000000002</v>
      </c>
      <c r="H3079" s="21" t="s">
        <v>5725</v>
      </c>
      <c r="I3079" s="21" t="s">
        <v>5850</v>
      </c>
      <c r="J3079" s="21"/>
      <c r="K3079" s="24">
        <v>40</v>
      </c>
      <c r="L3079" s="24">
        <v>240</v>
      </c>
      <c r="M3079" s="23">
        <v>3</v>
      </c>
      <c r="N3079" s="23"/>
      <c r="O3079" s="23">
        <v>9</v>
      </c>
      <c r="P3079" s="23"/>
      <c r="Q3079" s="23"/>
      <c r="R3079" s="23"/>
      <c r="S3079" s="23"/>
      <c r="T3079" s="23"/>
      <c r="U3079" s="23">
        <v>8</v>
      </c>
      <c r="V3079" s="23"/>
      <c r="W3079" s="23"/>
      <c r="X3079" s="23"/>
      <c r="Y3079" s="23">
        <v>20</v>
      </c>
      <c r="Z3079" s="23"/>
      <c r="AA3079" s="23"/>
      <c r="AB3079" s="23"/>
      <c r="AC3079" s="23"/>
      <c r="AD3079" s="23"/>
      <c r="AE3079" s="23"/>
      <c r="AF3079" s="23">
        <v>5</v>
      </c>
      <c r="AG3079" s="23"/>
      <c r="AH3079" s="23"/>
      <c r="AI3079" s="23"/>
      <c r="AJ3079" s="23">
        <v>18</v>
      </c>
      <c r="AK3079" s="23">
        <v>17</v>
      </c>
      <c r="AL3079" s="23"/>
      <c r="AM3079" s="23"/>
      <c r="AN3079" s="23"/>
      <c r="AO3079" s="23"/>
      <c r="AP3079" s="23">
        <v>20</v>
      </c>
      <c r="AQ3079" s="23">
        <v>17</v>
      </c>
      <c r="AR3079" s="23">
        <v>3</v>
      </c>
      <c r="AS3079" s="23"/>
      <c r="AT3079" s="23"/>
      <c r="AU3079" s="14" t="str">
        <f>HYPERLINK("http://www.openstreetmap.org/?mlat=32.0646&amp;mlon=44.7717&amp;zoom=12#map=12/32.0646/44.7717","Maplink1")</f>
        <v>Maplink1</v>
      </c>
      <c r="AV3079" s="14" t="str">
        <f>HYPERLINK("https://www.google.iq/maps/search/+32.0646,44.7717/@32.0646,44.7717,14z?hl=en","Maplink2")</f>
        <v>Maplink2</v>
      </c>
      <c r="AW3079" s="14" t="str">
        <f>HYPERLINK("http://www.bing.com/maps/?lvl=14&amp;sty=h&amp;cp=32.0646~44.7717&amp;sp=point.32.0646_44.7717_Hay Al-Askary-Al Siniya","Maplink3")</f>
        <v>Maplink3</v>
      </c>
    </row>
    <row r="3080" spans="1:49" ht="15" customHeight="1" x14ac:dyDescent="0.25">
      <c r="A3080" s="21">
        <v>23749</v>
      </c>
      <c r="B3080" s="22" t="s">
        <v>22</v>
      </c>
      <c r="C3080" s="22" t="s">
        <v>5848</v>
      </c>
      <c r="D3080" s="22" t="s">
        <v>5956</v>
      </c>
      <c r="E3080" s="22" t="s">
        <v>5957</v>
      </c>
      <c r="F3080" s="22">
        <v>31.98865</v>
      </c>
      <c r="G3080" s="22">
        <v>44.932327999999998</v>
      </c>
      <c r="H3080" s="21" t="s">
        <v>5725</v>
      </c>
      <c r="I3080" s="21" t="s">
        <v>5850</v>
      </c>
      <c r="J3080" s="21" t="s">
        <v>5958</v>
      </c>
      <c r="K3080" s="24">
        <v>12</v>
      </c>
      <c r="L3080" s="24">
        <v>72</v>
      </c>
      <c r="M3080" s="23">
        <v>4</v>
      </c>
      <c r="N3080" s="23"/>
      <c r="O3080" s="23">
        <v>2</v>
      </c>
      <c r="P3080" s="23"/>
      <c r="Q3080" s="23"/>
      <c r="R3080" s="23"/>
      <c r="S3080" s="23"/>
      <c r="T3080" s="23"/>
      <c r="U3080" s="23">
        <v>1</v>
      </c>
      <c r="V3080" s="23"/>
      <c r="W3080" s="23"/>
      <c r="X3080" s="23"/>
      <c r="Y3080" s="23">
        <v>3</v>
      </c>
      <c r="Z3080" s="23"/>
      <c r="AA3080" s="23">
        <v>2</v>
      </c>
      <c r="AB3080" s="23"/>
      <c r="AC3080" s="23"/>
      <c r="AD3080" s="23"/>
      <c r="AE3080" s="23"/>
      <c r="AF3080" s="23">
        <v>4</v>
      </c>
      <c r="AG3080" s="23"/>
      <c r="AH3080" s="23"/>
      <c r="AI3080" s="23"/>
      <c r="AJ3080" s="23">
        <v>3</v>
      </c>
      <c r="AK3080" s="23">
        <v>5</v>
      </c>
      <c r="AL3080" s="23"/>
      <c r="AM3080" s="23"/>
      <c r="AN3080" s="23"/>
      <c r="AO3080" s="23"/>
      <c r="AP3080" s="23">
        <v>5</v>
      </c>
      <c r="AQ3080" s="23">
        <v>3</v>
      </c>
      <c r="AR3080" s="23">
        <v>4</v>
      </c>
      <c r="AS3080" s="23"/>
      <c r="AT3080" s="23"/>
      <c r="AU3080" s="14" t="str">
        <f>HYPERLINK("http://www.openstreetmap.org/?mlat=31.9887&amp;mlon=44.9323&amp;zoom=12#map=12/31.9887/44.9323","Maplink1")</f>
        <v>Maplink1</v>
      </c>
      <c r="AV3080" s="14" t="str">
        <f>HYPERLINK("https://www.google.iq/maps/search/+31.9887,44.9323/@31.9887,44.9323,14z?hl=en","Maplink2")</f>
        <v>Maplink2</v>
      </c>
      <c r="AW3080" s="14" t="str">
        <f>HYPERLINK("http://www.bing.com/maps/?lvl=14&amp;sty=h&amp;cp=31.9887~44.9323&amp;sp=point.31.9887_44.9323_Hay Al-Asry-118","Maplink3")</f>
        <v>Maplink3</v>
      </c>
    </row>
    <row r="3081" spans="1:49" ht="15" customHeight="1" x14ac:dyDescent="0.25">
      <c r="A3081" s="21">
        <v>25371</v>
      </c>
      <c r="B3081" s="22" t="s">
        <v>22</v>
      </c>
      <c r="C3081" s="22" t="s">
        <v>5848</v>
      </c>
      <c r="D3081" s="22" t="s">
        <v>5959</v>
      </c>
      <c r="E3081" s="22" t="s">
        <v>5960</v>
      </c>
      <c r="F3081" s="22">
        <v>31.959401</v>
      </c>
      <c r="G3081" s="22">
        <v>44.948050000000002</v>
      </c>
      <c r="H3081" s="21" t="s">
        <v>5725</v>
      </c>
      <c r="I3081" s="21" t="s">
        <v>5850</v>
      </c>
      <c r="J3081" s="21"/>
      <c r="K3081" s="24">
        <v>12</v>
      </c>
      <c r="L3081" s="24">
        <v>72</v>
      </c>
      <c r="M3081" s="23">
        <v>3</v>
      </c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>
        <v>9</v>
      </c>
      <c r="Z3081" s="23"/>
      <c r="AA3081" s="23"/>
      <c r="AB3081" s="23"/>
      <c r="AC3081" s="23"/>
      <c r="AD3081" s="23"/>
      <c r="AE3081" s="23"/>
      <c r="AF3081" s="23"/>
      <c r="AG3081" s="23"/>
      <c r="AH3081" s="23"/>
      <c r="AI3081" s="23"/>
      <c r="AJ3081" s="23"/>
      <c r="AK3081" s="23">
        <v>12</v>
      </c>
      <c r="AL3081" s="23"/>
      <c r="AM3081" s="23"/>
      <c r="AN3081" s="23"/>
      <c r="AO3081" s="23"/>
      <c r="AP3081" s="23"/>
      <c r="AQ3081" s="23">
        <v>9</v>
      </c>
      <c r="AR3081" s="23"/>
      <c r="AS3081" s="23">
        <v>3</v>
      </c>
      <c r="AT3081" s="23"/>
      <c r="AU3081" s="14" t="str">
        <f>HYPERLINK("http://www.openstreetmap.org/?mlat=31.9594&amp;mlon=44.9481&amp;zoom=12#map=12/31.9594/44.9481","Maplink1")</f>
        <v>Maplink1</v>
      </c>
      <c r="AV3081" s="14" t="str">
        <f>HYPERLINK("https://www.google.iq/maps/search/+31.9594,44.9481/@31.9594,44.9481,14z?hl=en","Maplink2")</f>
        <v>Maplink2</v>
      </c>
      <c r="AW3081" s="14" t="str">
        <f>HYPERLINK("http://www.bing.com/maps/?lvl=14&amp;sty=h&amp;cp=31.9594~44.9481&amp;sp=point.31.9594_44.9481_Hay Al-Baqi","Maplink3")</f>
        <v>Maplink3</v>
      </c>
    </row>
    <row r="3082" spans="1:49" ht="15" customHeight="1" x14ac:dyDescent="0.25">
      <c r="A3082" s="21">
        <v>3367</v>
      </c>
      <c r="B3082" s="22" t="s">
        <v>22</v>
      </c>
      <c r="C3082" s="22" t="s">
        <v>5848</v>
      </c>
      <c r="D3082" s="22" t="s">
        <v>5961</v>
      </c>
      <c r="E3082" s="22" t="s">
        <v>5962</v>
      </c>
      <c r="F3082" s="22">
        <v>32.003207000000003</v>
      </c>
      <c r="G3082" s="22">
        <v>44.919637000000002</v>
      </c>
      <c r="H3082" s="21" t="s">
        <v>5725</v>
      </c>
      <c r="I3082" s="21" t="s">
        <v>5850</v>
      </c>
      <c r="J3082" s="21" t="s">
        <v>5963</v>
      </c>
      <c r="K3082" s="24">
        <v>20</v>
      </c>
      <c r="L3082" s="24">
        <v>120</v>
      </c>
      <c r="M3082" s="23">
        <v>7</v>
      </c>
      <c r="N3082" s="23"/>
      <c r="O3082" s="23"/>
      <c r="P3082" s="23"/>
      <c r="Q3082" s="23"/>
      <c r="R3082" s="23"/>
      <c r="S3082" s="23"/>
      <c r="T3082" s="23"/>
      <c r="U3082" s="23">
        <v>3</v>
      </c>
      <c r="V3082" s="23"/>
      <c r="W3082" s="23"/>
      <c r="X3082" s="23"/>
      <c r="Y3082" s="23">
        <v>10</v>
      </c>
      <c r="Z3082" s="23"/>
      <c r="AA3082" s="23"/>
      <c r="AB3082" s="23"/>
      <c r="AC3082" s="23"/>
      <c r="AD3082" s="23"/>
      <c r="AE3082" s="23"/>
      <c r="AF3082" s="23">
        <v>4</v>
      </c>
      <c r="AG3082" s="23"/>
      <c r="AH3082" s="23"/>
      <c r="AI3082" s="23"/>
      <c r="AJ3082" s="23"/>
      <c r="AK3082" s="23">
        <v>16</v>
      </c>
      <c r="AL3082" s="23"/>
      <c r="AM3082" s="23"/>
      <c r="AN3082" s="23"/>
      <c r="AO3082" s="23"/>
      <c r="AP3082" s="23">
        <v>10</v>
      </c>
      <c r="AQ3082" s="23">
        <v>3</v>
      </c>
      <c r="AR3082" s="23">
        <v>7</v>
      </c>
      <c r="AS3082" s="23"/>
      <c r="AT3082" s="23"/>
      <c r="AU3082" s="14" t="str">
        <f>HYPERLINK("http://www.openstreetmap.org/?mlat=32.0032&amp;mlon=44.9196&amp;zoom=12#map=12/32.0032/44.9196","Maplink1")</f>
        <v>Maplink1</v>
      </c>
      <c r="AV3082" s="14" t="str">
        <f>HYPERLINK("https://www.google.iq/maps/search/+32.0032,44.9196/@32.0032,44.9196,14z?hl=en","Maplink2")</f>
        <v>Maplink2</v>
      </c>
      <c r="AW3082" s="14" t="str">
        <f>HYPERLINK("http://www.bing.com/maps/?lvl=14&amp;sty=h&amp;cp=32.0032~44.9196&amp;sp=point.32.0032_44.9196_Hay Al-Dhubat 2","Maplink3")</f>
        <v>Maplink3</v>
      </c>
    </row>
    <row r="3083" spans="1:49" ht="15" customHeight="1" x14ac:dyDescent="0.25">
      <c r="A3083" s="21">
        <v>25507</v>
      </c>
      <c r="B3083" s="22" t="s">
        <v>22</v>
      </c>
      <c r="C3083" s="22" t="s">
        <v>5848</v>
      </c>
      <c r="D3083" s="22" t="s">
        <v>5964</v>
      </c>
      <c r="E3083" s="22" t="s">
        <v>5965</v>
      </c>
      <c r="F3083" s="22">
        <v>31.990839000000001</v>
      </c>
      <c r="G3083" s="22">
        <v>44.920985000000002</v>
      </c>
      <c r="H3083" s="21" t="s">
        <v>5725</v>
      </c>
      <c r="I3083" s="21" t="s">
        <v>5850</v>
      </c>
      <c r="J3083" s="21"/>
      <c r="K3083" s="24">
        <v>13</v>
      </c>
      <c r="L3083" s="24">
        <v>78</v>
      </c>
      <c r="M3083" s="23">
        <v>9</v>
      </c>
      <c r="N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>
        <v>4</v>
      </c>
      <c r="Z3083" s="23"/>
      <c r="AA3083" s="23"/>
      <c r="AB3083" s="23"/>
      <c r="AC3083" s="23"/>
      <c r="AD3083" s="23"/>
      <c r="AE3083" s="23"/>
      <c r="AF3083" s="23">
        <v>4</v>
      </c>
      <c r="AG3083" s="23"/>
      <c r="AH3083" s="23"/>
      <c r="AI3083" s="23"/>
      <c r="AJ3083" s="23"/>
      <c r="AK3083" s="23">
        <v>9</v>
      </c>
      <c r="AL3083" s="23"/>
      <c r="AM3083" s="23"/>
      <c r="AN3083" s="23"/>
      <c r="AO3083" s="23"/>
      <c r="AP3083" s="23">
        <v>2</v>
      </c>
      <c r="AQ3083" s="23">
        <v>5</v>
      </c>
      <c r="AR3083" s="23">
        <v>2</v>
      </c>
      <c r="AS3083" s="23">
        <v>4</v>
      </c>
      <c r="AT3083" s="23"/>
      <c r="AU3083" s="14" t="str">
        <f>HYPERLINK("http://www.openstreetmap.org/?mlat=31.9908&amp;mlon=44.921&amp;zoom=12#map=12/31.9908/44.921","Maplink1")</f>
        <v>Maplink1</v>
      </c>
      <c r="AV3083" s="14" t="str">
        <f>HYPERLINK("https://www.google.iq/maps/search/+31.9908,44.921/@31.9908,44.921,14z?hl=en","Maplink2")</f>
        <v>Maplink2</v>
      </c>
      <c r="AW3083" s="14" t="str">
        <f>HYPERLINK("http://www.bing.com/maps/?lvl=14&amp;sty=h&amp;cp=31.9908~44.921&amp;sp=point.31.9908_44.921_Hay Al-Fadliya","Maplink3")</f>
        <v>Maplink3</v>
      </c>
    </row>
    <row r="3084" spans="1:49" ht="15" customHeight="1" x14ac:dyDescent="0.25">
      <c r="A3084" s="21">
        <v>25510</v>
      </c>
      <c r="B3084" s="22" t="s">
        <v>22</v>
      </c>
      <c r="C3084" s="22" t="s">
        <v>5848</v>
      </c>
      <c r="D3084" s="22" t="s">
        <v>5966</v>
      </c>
      <c r="E3084" s="22" t="s">
        <v>5967</v>
      </c>
      <c r="F3084" s="22">
        <v>31.981988999999999</v>
      </c>
      <c r="G3084" s="22">
        <v>44.957751999999999</v>
      </c>
      <c r="H3084" s="21" t="s">
        <v>5725</v>
      </c>
      <c r="I3084" s="21" t="s">
        <v>5850</v>
      </c>
      <c r="J3084" s="21"/>
      <c r="K3084" s="24">
        <v>11</v>
      </c>
      <c r="L3084" s="24">
        <v>66</v>
      </c>
      <c r="M3084" s="23"/>
      <c r="N3084" s="23"/>
      <c r="O3084" s="23">
        <v>4</v>
      </c>
      <c r="P3084" s="23"/>
      <c r="Q3084" s="23"/>
      <c r="R3084" s="23">
        <v>2</v>
      </c>
      <c r="S3084" s="23"/>
      <c r="T3084" s="23"/>
      <c r="U3084" s="23">
        <v>4</v>
      </c>
      <c r="V3084" s="23"/>
      <c r="W3084" s="23"/>
      <c r="X3084" s="23"/>
      <c r="Y3084" s="23">
        <v>1</v>
      </c>
      <c r="Z3084" s="23"/>
      <c r="AA3084" s="23"/>
      <c r="AB3084" s="23"/>
      <c r="AC3084" s="23"/>
      <c r="AD3084" s="23"/>
      <c r="AE3084" s="23"/>
      <c r="AF3084" s="23">
        <v>1</v>
      </c>
      <c r="AG3084" s="23"/>
      <c r="AH3084" s="23"/>
      <c r="AI3084" s="23"/>
      <c r="AJ3084" s="23"/>
      <c r="AK3084" s="23">
        <v>10</v>
      </c>
      <c r="AL3084" s="23"/>
      <c r="AM3084" s="23"/>
      <c r="AN3084" s="23"/>
      <c r="AO3084" s="23"/>
      <c r="AP3084" s="23"/>
      <c r="AQ3084" s="23">
        <v>11</v>
      </c>
      <c r="AR3084" s="23"/>
      <c r="AS3084" s="23"/>
      <c r="AT3084" s="23"/>
      <c r="AU3084" s="14" t="str">
        <f>HYPERLINK("http://www.openstreetmap.org/?mlat=31.982&amp;mlon=44.9578&amp;zoom=12#map=12/31.982/44.9578","Maplink1")</f>
        <v>Maplink1</v>
      </c>
      <c r="AV3084" s="14" t="str">
        <f>HYPERLINK("https://www.google.iq/maps/search/+31.982,44.9578/@31.982,44.9578,14z?hl=en","Maplink2")</f>
        <v>Maplink2</v>
      </c>
      <c r="AW3084" s="14" t="str">
        <f>HYPERLINK("http://www.bing.com/maps/?lvl=14&amp;sty=h&amp;cp=31.982~44.9578&amp;sp=point.31.982_44.9578_Hay Al-Fajer Al-Jadeed","Maplink3")</f>
        <v>Maplink3</v>
      </c>
    </row>
    <row r="3085" spans="1:49" ht="15" customHeight="1" x14ac:dyDescent="0.25">
      <c r="A3085" s="21">
        <v>23715</v>
      </c>
      <c r="B3085" s="22" t="s">
        <v>22</v>
      </c>
      <c r="C3085" s="22" t="s">
        <v>5848</v>
      </c>
      <c r="D3085" s="22" t="s">
        <v>5968</v>
      </c>
      <c r="E3085" s="22" t="s">
        <v>5969</v>
      </c>
      <c r="F3085" s="22">
        <v>32.004086000000001</v>
      </c>
      <c r="G3085" s="22">
        <v>44.896642</v>
      </c>
      <c r="H3085" s="21" t="s">
        <v>5725</v>
      </c>
      <c r="I3085" s="21" t="s">
        <v>5850</v>
      </c>
      <c r="J3085" s="21" t="s">
        <v>5970</v>
      </c>
      <c r="K3085" s="24">
        <v>46</v>
      </c>
      <c r="L3085" s="24">
        <v>276</v>
      </c>
      <c r="M3085" s="23">
        <v>27</v>
      </c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>
        <v>17</v>
      </c>
      <c r="Z3085" s="23"/>
      <c r="AA3085" s="23">
        <v>2</v>
      </c>
      <c r="AB3085" s="23"/>
      <c r="AC3085" s="23"/>
      <c r="AD3085" s="23"/>
      <c r="AE3085" s="23"/>
      <c r="AF3085" s="23">
        <v>15</v>
      </c>
      <c r="AG3085" s="23"/>
      <c r="AH3085" s="23"/>
      <c r="AI3085" s="23"/>
      <c r="AJ3085" s="23">
        <v>4</v>
      </c>
      <c r="AK3085" s="23">
        <v>27</v>
      </c>
      <c r="AL3085" s="23"/>
      <c r="AM3085" s="23"/>
      <c r="AN3085" s="23"/>
      <c r="AO3085" s="23">
        <v>5</v>
      </c>
      <c r="AP3085" s="23">
        <v>13</v>
      </c>
      <c r="AQ3085" s="23">
        <v>6</v>
      </c>
      <c r="AR3085" s="23">
        <v>22</v>
      </c>
      <c r="AS3085" s="23"/>
      <c r="AT3085" s="23"/>
      <c r="AU3085" s="14" t="str">
        <f>HYPERLINK("http://www.openstreetmap.org/?mlat=32.0041&amp;mlon=44.8966&amp;zoom=12#map=12/32.0041/44.8966","Maplink1")</f>
        <v>Maplink1</v>
      </c>
      <c r="AV3085" s="14" t="str">
        <f>HYPERLINK("https://www.google.iq/maps/search/+32.0041,44.8966/@32.0041,44.8966,14z?hl=en","Maplink2")</f>
        <v>Maplink2</v>
      </c>
      <c r="AW3085" s="14" t="str">
        <f>HYPERLINK("http://www.bing.com/maps/?lvl=14&amp;sty=h&amp;cp=32.0041~44.8966&amp;sp=point.32.0041_44.8966_Hay Al-Hadarah","Maplink3")</f>
        <v>Maplink3</v>
      </c>
    </row>
    <row r="3086" spans="1:49" ht="15" customHeight="1" x14ac:dyDescent="0.25">
      <c r="A3086" s="21">
        <v>25070</v>
      </c>
      <c r="B3086" s="22" t="s">
        <v>22</v>
      </c>
      <c r="C3086" s="22" t="s">
        <v>5848</v>
      </c>
      <c r="D3086" s="22" t="s">
        <v>4684</v>
      </c>
      <c r="E3086" s="22" t="s">
        <v>995</v>
      </c>
      <c r="F3086" s="22">
        <v>32.072273000000003</v>
      </c>
      <c r="G3086" s="22">
        <v>44.767482999999999</v>
      </c>
      <c r="H3086" s="21" t="s">
        <v>5725</v>
      </c>
      <c r="I3086" s="21" t="s">
        <v>5850</v>
      </c>
      <c r="J3086" s="21"/>
      <c r="K3086" s="24">
        <v>26</v>
      </c>
      <c r="L3086" s="24">
        <v>156</v>
      </c>
      <c r="M3086" s="23"/>
      <c r="N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>
        <v>26</v>
      </c>
      <c r="Z3086" s="23"/>
      <c r="AA3086" s="23"/>
      <c r="AB3086" s="23"/>
      <c r="AC3086" s="23"/>
      <c r="AD3086" s="23"/>
      <c r="AE3086" s="23"/>
      <c r="AF3086" s="23"/>
      <c r="AG3086" s="23"/>
      <c r="AH3086" s="23"/>
      <c r="AI3086" s="23"/>
      <c r="AJ3086" s="23">
        <v>26</v>
      </c>
      <c r="AK3086" s="23"/>
      <c r="AL3086" s="23"/>
      <c r="AM3086" s="23"/>
      <c r="AN3086" s="23"/>
      <c r="AO3086" s="23"/>
      <c r="AP3086" s="23"/>
      <c r="AQ3086" s="23">
        <v>26</v>
      </c>
      <c r="AR3086" s="23"/>
      <c r="AS3086" s="23"/>
      <c r="AT3086" s="23"/>
      <c r="AU3086" s="14" t="str">
        <f>HYPERLINK("http://www.openstreetmap.org/?mlat=32.0723&amp;mlon=44.7675&amp;zoom=12#map=12/32.0723/44.7675","Maplink1")</f>
        <v>Maplink1</v>
      </c>
      <c r="AV3086" s="14" t="str">
        <f>HYPERLINK("https://www.google.iq/maps/search/+32.0723,44.7675/@32.0723,44.7675,14z?hl=en","Maplink2")</f>
        <v>Maplink2</v>
      </c>
      <c r="AW3086" s="14" t="str">
        <f>HYPERLINK("http://www.bing.com/maps/?lvl=14&amp;sty=h&amp;cp=32.0723~44.7675&amp;sp=point.32.0723_44.7675_Al-Saniya-Hay Al-Hussain","Maplink3")</f>
        <v>Maplink3</v>
      </c>
    </row>
    <row r="3087" spans="1:49" ht="15" customHeight="1" x14ac:dyDescent="0.25">
      <c r="A3087" s="21">
        <v>3382</v>
      </c>
      <c r="B3087" s="22" t="s">
        <v>22</v>
      </c>
      <c r="C3087" s="22" t="s">
        <v>5848</v>
      </c>
      <c r="D3087" s="22" t="s">
        <v>5971</v>
      </c>
      <c r="E3087" s="22" t="s">
        <v>995</v>
      </c>
      <c r="F3087" s="22">
        <v>31.971957</v>
      </c>
      <c r="G3087" s="22">
        <v>44.886023999999999</v>
      </c>
      <c r="H3087" s="21" t="s">
        <v>5725</v>
      </c>
      <c r="I3087" s="21" t="s">
        <v>5850</v>
      </c>
      <c r="J3087" s="21" t="s">
        <v>5972</v>
      </c>
      <c r="K3087" s="24">
        <v>42</v>
      </c>
      <c r="L3087" s="24">
        <v>252</v>
      </c>
      <c r="M3087" s="23">
        <v>9</v>
      </c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>
        <v>33</v>
      </c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>
        <v>9</v>
      </c>
      <c r="AK3087" s="23">
        <v>11</v>
      </c>
      <c r="AL3087" s="23"/>
      <c r="AM3087" s="23">
        <v>22</v>
      </c>
      <c r="AN3087" s="23"/>
      <c r="AO3087" s="23"/>
      <c r="AP3087" s="23">
        <v>30</v>
      </c>
      <c r="AQ3087" s="23">
        <v>3</v>
      </c>
      <c r="AR3087" s="23">
        <v>9</v>
      </c>
      <c r="AS3087" s="23"/>
      <c r="AT3087" s="23"/>
      <c r="AU3087" s="14" t="str">
        <f>HYPERLINK("http://www.openstreetmap.org/?mlat=31.972&amp;mlon=44.886&amp;zoom=12#map=12/31.972/44.886","Maplink1")</f>
        <v>Maplink1</v>
      </c>
      <c r="AV3087" s="14" t="str">
        <f>HYPERLINK("https://www.google.iq/maps/search/+31.972,44.886/@31.972,44.886,14z?hl=en","Maplink2")</f>
        <v>Maplink2</v>
      </c>
      <c r="AW3087" s="14" t="str">
        <f>HYPERLINK("http://www.bing.com/maps/?lvl=14&amp;sty=h&amp;cp=31.972~44.886&amp;sp=point.31.972_44.886_Hay AL-Hussian","Maplink3")</f>
        <v>Maplink3</v>
      </c>
    </row>
    <row r="3088" spans="1:49" ht="15" customHeight="1" x14ac:dyDescent="0.25">
      <c r="A3088" s="21">
        <v>25074</v>
      </c>
      <c r="B3088" s="22" t="s">
        <v>22</v>
      </c>
      <c r="C3088" s="22" t="s">
        <v>5848</v>
      </c>
      <c r="D3088" s="22" t="s">
        <v>5973</v>
      </c>
      <c r="E3088" s="22" t="s">
        <v>2781</v>
      </c>
      <c r="F3088" s="22">
        <v>31.963228000000001</v>
      </c>
      <c r="G3088" s="22">
        <v>44.879902000000001</v>
      </c>
      <c r="H3088" s="21" t="s">
        <v>5725</v>
      </c>
      <c r="I3088" s="21" t="s">
        <v>5850</v>
      </c>
      <c r="J3088" s="21"/>
      <c r="K3088" s="24">
        <v>25</v>
      </c>
      <c r="L3088" s="24">
        <v>150</v>
      </c>
      <c r="M3088" s="23">
        <v>3</v>
      </c>
      <c r="N3088" s="23">
        <v>1</v>
      </c>
      <c r="O3088" s="23"/>
      <c r="P3088" s="23"/>
      <c r="Q3088" s="23"/>
      <c r="R3088" s="23"/>
      <c r="S3088" s="23"/>
      <c r="T3088" s="23"/>
      <c r="U3088" s="23">
        <v>13</v>
      </c>
      <c r="V3088" s="23"/>
      <c r="W3088" s="23"/>
      <c r="X3088" s="23"/>
      <c r="Y3088" s="23">
        <v>8</v>
      </c>
      <c r="Z3088" s="23"/>
      <c r="AA3088" s="23"/>
      <c r="AB3088" s="23"/>
      <c r="AC3088" s="23"/>
      <c r="AD3088" s="23"/>
      <c r="AE3088" s="23"/>
      <c r="AF3088" s="23">
        <v>5</v>
      </c>
      <c r="AG3088" s="23"/>
      <c r="AH3088" s="23"/>
      <c r="AI3088" s="23"/>
      <c r="AJ3088" s="23"/>
      <c r="AK3088" s="23">
        <v>20</v>
      </c>
      <c r="AL3088" s="23"/>
      <c r="AM3088" s="23"/>
      <c r="AN3088" s="23"/>
      <c r="AO3088" s="23">
        <v>1</v>
      </c>
      <c r="AP3088" s="23">
        <v>14</v>
      </c>
      <c r="AQ3088" s="23">
        <v>7</v>
      </c>
      <c r="AR3088" s="23">
        <v>1</v>
      </c>
      <c r="AS3088" s="23">
        <v>2</v>
      </c>
      <c r="AT3088" s="23"/>
      <c r="AU3088" s="14" t="str">
        <f>HYPERLINK("http://www.openstreetmap.org/?mlat=31.9632&amp;mlon=44.8799&amp;zoom=12#map=12/31.9632/44.8799","Maplink1")</f>
        <v>Maplink1</v>
      </c>
      <c r="AV3088" s="14" t="str">
        <f>HYPERLINK("https://www.google.iq/maps/search/+31.9632,44.8799/@31.9632,44.8799,14z?hl=en","Maplink2")</f>
        <v>Maplink2</v>
      </c>
      <c r="AW3088" s="14" t="str">
        <f>HYPERLINK("http://www.bing.com/maps/?lvl=14&amp;sty=h&amp;cp=31.9632~44.8799&amp;sp=point.31.9632_44.8799_Hay Al-Karar","Maplink3")</f>
        <v>Maplink3</v>
      </c>
    </row>
    <row r="3089" spans="1:49" ht="15" customHeight="1" x14ac:dyDescent="0.25">
      <c r="A3089" s="21">
        <v>3209</v>
      </c>
      <c r="B3089" s="22" t="s">
        <v>22</v>
      </c>
      <c r="C3089" s="22" t="s">
        <v>5848</v>
      </c>
      <c r="D3089" s="22" t="s">
        <v>5974</v>
      </c>
      <c r="E3089" s="22" t="s">
        <v>258</v>
      </c>
      <c r="F3089" s="22">
        <v>32.136667000000003</v>
      </c>
      <c r="G3089" s="22">
        <v>44.934443999999999</v>
      </c>
      <c r="H3089" s="21" t="s">
        <v>5725</v>
      </c>
      <c r="I3089" s="21" t="s">
        <v>5850</v>
      </c>
      <c r="J3089" s="21" t="s">
        <v>5975</v>
      </c>
      <c r="K3089" s="24">
        <v>30</v>
      </c>
      <c r="L3089" s="24">
        <v>180</v>
      </c>
      <c r="M3089" s="23">
        <v>11</v>
      </c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>
        <v>19</v>
      </c>
      <c r="Z3089" s="23"/>
      <c r="AA3089" s="23"/>
      <c r="AB3089" s="23"/>
      <c r="AC3089" s="23"/>
      <c r="AD3089" s="23"/>
      <c r="AE3089" s="23"/>
      <c r="AF3089" s="23">
        <v>5</v>
      </c>
      <c r="AG3089" s="23"/>
      <c r="AH3089" s="23"/>
      <c r="AI3089" s="23"/>
      <c r="AJ3089" s="23">
        <v>12</v>
      </c>
      <c r="AK3089" s="23">
        <v>13</v>
      </c>
      <c r="AL3089" s="23"/>
      <c r="AM3089" s="23"/>
      <c r="AN3089" s="23"/>
      <c r="AO3089" s="23"/>
      <c r="AP3089" s="23">
        <v>19</v>
      </c>
      <c r="AQ3089" s="23">
        <v>5</v>
      </c>
      <c r="AR3089" s="23">
        <v>2</v>
      </c>
      <c r="AS3089" s="23">
        <v>4</v>
      </c>
      <c r="AT3089" s="23"/>
      <c r="AU3089" s="14" t="str">
        <f>HYPERLINK("http://www.openstreetmap.org/?mlat=32.1367&amp;mlon=44.9344&amp;zoom=12#map=12/32.1367/44.9344","Maplink1")</f>
        <v>Maplink1</v>
      </c>
      <c r="AV3089" s="14" t="str">
        <f>HYPERLINK("https://www.google.iq/maps/search/+32.1367,44.9344/@32.1367,44.9344,14z?hl=en","Maplink2")</f>
        <v>Maplink2</v>
      </c>
      <c r="AW3089" s="14" t="str">
        <f>HYPERLINK("http://www.bing.com/maps/?lvl=14&amp;sty=h&amp;cp=32.1367~44.9344&amp;sp=point.32.1367_44.9344_Hay al-muaalmien","Maplink3")</f>
        <v>Maplink3</v>
      </c>
    </row>
    <row r="3090" spans="1:49" ht="15" customHeight="1" x14ac:dyDescent="0.25">
      <c r="A3090" s="21">
        <v>25287</v>
      </c>
      <c r="B3090" s="22" t="s">
        <v>22</v>
      </c>
      <c r="C3090" s="22" t="s">
        <v>5848</v>
      </c>
      <c r="D3090" s="22" t="s">
        <v>5976</v>
      </c>
      <c r="E3090" s="22" t="s">
        <v>5977</v>
      </c>
      <c r="F3090" s="22">
        <v>31.986893999999999</v>
      </c>
      <c r="G3090" s="22">
        <v>44.939354000000002</v>
      </c>
      <c r="H3090" s="21" t="s">
        <v>5725</v>
      </c>
      <c r="I3090" s="21" t="s">
        <v>5850</v>
      </c>
      <c r="J3090" s="21"/>
      <c r="K3090" s="24">
        <v>13</v>
      </c>
      <c r="L3090" s="24">
        <v>78</v>
      </c>
      <c r="M3090" s="23">
        <v>5</v>
      </c>
      <c r="N3090" s="23"/>
      <c r="O3090" s="23"/>
      <c r="P3090" s="23"/>
      <c r="Q3090" s="23"/>
      <c r="R3090" s="23">
        <v>1</v>
      </c>
      <c r="S3090" s="23"/>
      <c r="T3090" s="23"/>
      <c r="U3090" s="23"/>
      <c r="V3090" s="23"/>
      <c r="W3090" s="23"/>
      <c r="X3090" s="23"/>
      <c r="Y3090" s="23">
        <v>7</v>
      </c>
      <c r="Z3090" s="23"/>
      <c r="AA3090" s="23"/>
      <c r="AB3090" s="23"/>
      <c r="AC3090" s="23"/>
      <c r="AD3090" s="23"/>
      <c r="AE3090" s="23"/>
      <c r="AF3090" s="23">
        <v>1</v>
      </c>
      <c r="AG3090" s="23"/>
      <c r="AH3090" s="23"/>
      <c r="AI3090" s="23"/>
      <c r="AJ3090" s="23">
        <v>3</v>
      </c>
      <c r="AK3090" s="23">
        <v>9</v>
      </c>
      <c r="AL3090" s="23"/>
      <c r="AM3090" s="23"/>
      <c r="AN3090" s="23"/>
      <c r="AO3090" s="23"/>
      <c r="AP3090" s="23">
        <v>4</v>
      </c>
      <c r="AQ3090" s="23">
        <v>9</v>
      </c>
      <c r="AR3090" s="23"/>
      <c r="AS3090" s="23"/>
      <c r="AT3090" s="23"/>
      <c r="AU3090" s="14" t="str">
        <f>HYPERLINK("http://www.openstreetmap.org/?mlat=31.9869&amp;mlon=44.9394&amp;zoom=12#map=12/31.9869/44.9394","Maplink1")</f>
        <v>Maplink1</v>
      </c>
      <c r="AV3090" s="14" t="str">
        <f>HYPERLINK("https://www.google.iq/maps/search/+31.9869,44.9394/@31.9869,44.9394,14z?hl=en","Maplink2")</f>
        <v>Maplink2</v>
      </c>
      <c r="AW3090" s="14" t="str">
        <f>HYPERLINK("http://www.bing.com/maps/?lvl=14&amp;sty=h&amp;cp=31.9869~44.9394&amp;sp=point.31.9869_44.9394_Hay Al-Nahtha 1","Maplink3")</f>
        <v>Maplink3</v>
      </c>
    </row>
    <row r="3091" spans="1:49" ht="15" customHeight="1" x14ac:dyDescent="0.25">
      <c r="A3091" s="21">
        <v>25372</v>
      </c>
      <c r="B3091" s="22" t="s">
        <v>22</v>
      </c>
      <c r="C3091" s="22" t="s">
        <v>5848</v>
      </c>
      <c r="D3091" s="22" t="s">
        <v>5978</v>
      </c>
      <c r="E3091" s="22" t="s">
        <v>5979</v>
      </c>
      <c r="F3091" s="22">
        <v>31.966618</v>
      </c>
      <c r="G3091" s="22">
        <v>44.968871999999998</v>
      </c>
      <c r="H3091" s="21" t="s">
        <v>5725</v>
      </c>
      <c r="I3091" s="21" t="s">
        <v>5850</v>
      </c>
      <c r="J3091" s="21"/>
      <c r="K3091" s="24">
        <v>15</v>
      </c>
      <c r="L3091" s="24">
        <v>90</v>
      </c>
      <c r="M3091" s="23"/>
      <c r="N3091" s="23"/>
      <c r="O3091" s="23"/>
      <c r="P3091" s="23"/>
      <c r="Q3091" s="23"/>
      <c r="R3091" s="23">
        <v>2</v>
      </c>
      <c r="S3091" s="23"/>
      <c r="T3091" s="23"/>
      <c r="U3091" s="23">
        <v>5</v>
      </c>
      <c r="V3091" s="23"/>
      <c r="W3091" s="23"/>
      <c r="X3091" s="23"/>
      <c r="Y3091" s="23">
        <v>8</v>
      </c>
      <c r="Z3091" s="23"/>
      <c r="AA3091" s="23"/>
      <c r="AB3091" s="23"/>
      <c r="AC3091" s="23"/>
      <c r="AD3091" s="23"/>
      <c r="AE3091" s="23"/>
      <c r="AF3091" s="23"/>
      <c r="AG3091" s="23"/>
      <c r="AH3091" s="23">
        <v>2</v>
      </c>
      <c r="AI3091" s="23"/>
      <c r="AJ3091" s="23"/>
      <c r="AK3091" s="23">
        <v>13</v>
      </c>
      <c r="AL3091" s="23"/>
      <c r="AM3091" s="23"/>
      <c r="AN3091" s="23"/>
      <c r="AO3091" s="23"/>
      <c r="AP3091" s="23">
        <v>10</v>
      </c>
      <c r="AQ3091" s="23">
        <v>5</v>
      </c>
      <c r="AR3091" s="23"/>
      <c r="AS3091" s="23"/>
      <c r="AT3091" s="23"/>
      <c r="AU3091" s="14" t="str">
        <f>HYPERLINK("http://www.openstreetmap.org/?mlat=31.9666&amp;mlon=44.9689&amp;zoom=12#map=12/31.9666/44.9689","Maplink1")</f>
        <v>Maplink1</v>
      </c>
      <c r="AV3091" s="14" t="str">
        <f>HYPERLINK("https://www.google.iq/maps/search/+31.9666,44.9689/@31.9666,44.9689,14z?hl=en","Maplink2")</f>
        <v>Maplink2</v>
      </c>
      <c r="AW3091" s="14" t="str">
        <f>HYPERLINK("http://www.bing.com/maps/?lvl=14&amp;sty=h&amp;cp=31.9666~44.9689&amp;sp=point.31.9666_44.9689_Hay Al-Naseej","Maplink3")</f>
        <v>Maplink3</v>
      </c>
    </row>
    <row r="3092" spans="1:49" ht="15" customHeight="1" x14ac:dyDescent="0.25">
      <c r="A3092" s="21">
        <v>21783</v>
      </c>
      <c r="B3092" s="22" t="s">
        <v>22</v>
      </c>
      <c r="C3092" s="22" t="s">
        <v>5848</v>
      </c>
      <c r="D3092" s="22" t="s">
        <v>9045</v>
      </c>
      <c r="E3092" s="22" t="s">
        <v>5991</v>
      </c>
      <c r="F3092" s="22">
        <v>31.996500000000001</v>
      </c>
      <c r="G3092" s="22">
        <v>44.954484000000001</v>
      </c>
      <c r="H3092" s="21" t="s">
        <v>5725</v>
      </c>
      <c r="I3092" s="21" t="s">
        <v>5850</v>
      </c>
      <c r="J3092" s="21" t="s">
        <v>5992</v>
      </c>
      <c r="K3092" s="24">
        <v>40</v>
      </c>
      <c r="L3092" s="24">
        <v>240</v>
      </c>
      <c r="M3092" s="23"/>
      <c r="N3092" s="23"/>
      <c r="O3092" s="23"/>
      <c r="P3092" s="23"/>
      <c r="Q3092" s="23"/>
      <c r="R3092" s="23"/>
      <c r="S3092" s="23"/>
      <c r="T3092" s="23"/>
      <c r="U3092" s="23">
        <v>12</v>
      </c>
      <c r="V3092" s="23"/>
      <c r="W3092" s="23"/>
      <c r="X3092" s="23"/>
      <c r="Y3092" s="23">
        <v>28</v>
      </c>
      <c r="Z3092" s="23"/>
      <c r="AA3092" s="23"/>
      <c r="AB3092" s="23"/>
      <c r="AC3092" s="23"/>
      <c r="AD3092" s="23"/>
      <c r="AE3092" s="23"/>
      <c r="AF3092" s="23">
        <v>12</v>
      </c>
      <c r="AG3092" s="23"/>
      <c r="AH3092" s="23"/>
      <c r="AI3092" s="23"/>
      <c r="AJ3092" s="23">
        <v>10</v>
      </c>
      <c r="AK3092" s="23">
        <v>14</v>
      </c>
      <c r="AL3092" s="23"/>
      <c r="AM3092" s="23">
        <v>4</v>
      </c>
      <c r="AN3092" s="23"/>
      <c r="AO3092" s="23"/>
      <c r="AP3092" s="23">
        <v>12</v>
      </c>
      <c r="AQ3092" s="23">
        <v>28</v>
      </c>
      <c r="AR3092" s="23"/>
      <c r="AS3092" s="23"/>
      <c r="AT3092" s="23"/>
      <c r="AU3092" s="14" t="str">
        <f>HYPERLINK("http://www.openstreetmap.org/?mlat=31.9965&amp;mlon=44.9545&amp;zoom=12#map=12/31.9965/44.9545","Maplink1")</f>
        <v>Maplink1</v>
      </c>
      <c r="AV3092" s="14" t="str">
        <f>HYPERLINK("https://www.google.iq/maps/search/+31.9965,44.9545/@31.9965,44.9545,14z?hl=en","Maplink2")</f>
        <v>Maplink2</v>
      </c>
      <c r="AW3092" s="14" t="str">
        <f>HYPERLINK("http://www.bing.com/maps/?lvl=14&amp;sty=h&amp;cp=31.9965~44.9545&amp;sp=point.31.9965_44.9545_Sadir 4 - illegal housing","Maplink3")</f>
        <v>Maplink3</v>
      </c>
    </row>
    <row r="3093" spans="1:49" ht="15" customHeight="1" x14ac:dyDescent="0.25">
      <c r="A3093" s="21">
        <v>25791</v>
      </c>
      <c r="B3093" s="22" t="s">
        <v>22</v>
      </c>
      <c r="C3093" s="22" t="s">
        <v>5848</v>
      </c>
      <c r="D3093" s="22" t="s">
        <v>7378</v>
      </c>
      <c r="E3093" s="22" t="s">
        <v>261</v>
      </c>
      <c r="F3093" s="22">
        <v>31.996030999999999</v>
      </c>
      <c r="G3093" s="22">
        <v>44.877358000000001</v>
      </c>
      <c r="H3093" s="21" t="s">
        <v>5725</v>
      </c>
      <c r="I3093" s="21" t="s">
        <v>5850</v>
      </c>
      <c r="J3093" s="21"/>
      <c r="K3093" s="24">
        <v>9</v>
      </c>
      <c r="L3093" s="24">
        <v>54</v>
      </c>
      <c r="M3093" s="23">
        <v>9</v>
      </c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/>
      <c r="AB3093" s="23"/>
      <c r="AC3093" s="23"/>
      <c r="AD3093" s="23"/>
      <c r="AE3093" s="23"/>
      <c r="AF3093" s="23">
        <v>5</v>
      </c>
      <c r="AG3093" s="23"/>
      <c r="AH3093" s="23"/>
      <c r="AI3093" s="23"/>
      <c r="AJ3093" s="23"/>
      <c r="AK3093" s="23">
        <v>4</v>
      </c>
      <c r="AL3093" s="23"/>
      <c r="AM3093" s="23"/>
      <c r="AN3093" s="23"/>
      <c r="AO3093" s="23"/>
      <c r="AP3093" s="23"/>
      <c r="AQ3093" s="23"/>
      <c r="AR3093" s="23">
        <v>5</v>
      </c>
      <c r="AS3093" s="23">
        <v>4</v>
      </c>
      <c r="AT3093" s="23"/>
      <c r="AU3093" s="14" t="str">
        <f>HYPERLINK("http://www.openstreetmap.org/?mlat=31.996&amp;mlon=44.8774&amp;zoom=12#map=12/31.996/44.8774","Maplink1")</f>
        <v>Maplink1</v>
      </c>
      <c r="AV3093" s="14" t="str">
        <f>HYPERLINK("https://www.google.iq/maps/search/+31.996,44.8774/@31.996,44.8774,14z?hl=en","Maplink2")</f>
        <v>Maplink2</v>
      </c>
      <c r="AW3093" s="14" t="str">
        <f>HYPERLINK("http://www.bing.com/maps/?lvl=14&amp;sty=h&amp;cp=31.996~44.8774&amp;sp=point.31.996_44.8774_Al-Daghara-Hay Al-Sharta","Maplink3")</f>
        <v>Maplink3</v>
      </c>
    </row>
    <row r="3094" spans="1:49" ht="15" customHeight="1" x14ac:dyDescent="0.25">
      <c r="A3094" s="21">
        <v>25958</v>
      </c>
      <c r="B3094" s="22" t="s">
        <v>22</v>
      </c>
      <c r="C3094" s="22" t="s">
        <v>5848</v>
      </c>
      <c r="D3094" s="22" t="s">
        <v>7379</v>
      </c>
      <c r="E3094" s="22" t="s">
        <v>261</v>
      </c>
      <c r="F3094" s="22">
        <v>31.996010999999999</v>
      </c>
      <c r="G3094" s="22">
        <v>44.963830000000002</v>
      </c>
      <c r="H3094" s="21" t="s">
        <v>5725</v>
      </c>
      <c r="I3094" s="21" t="s">
        <v>5850</v>
      </c>
      <c r="J3094" s="21"/>
      <c r="K3094" s="24">
        <v>15</v>
      </c>
      <c r="L3094" s="24">
        <v>90</v>
      </c>
      <c r="M3094" s="23"/>
      <c r="N3094" s="23"/>
      <c r="O3094" s="23"/>
      <c r="P3094" s="23"/>
      <c r="Q3094" s="23"/>
      <c r="R3094" s="23"/>
      <c r="S3094" s="23"/>
      <c r="T3094" s="23"/>
      <c r="U3094" s="23">
        <v>7</v>
      </c>
      <c r="V3094" s="23"/>
      <c r="W3094" s="23"/>
      <c r="X3094" s="23"/>
      <c r="Y3094" s="23">
        <v>8</v>
      </c>
      <c r="Z3094" s="23"/>
      <c r="AA3094" s="23"/>
      <c r="AB3094" s="23"/>
      <c r="AC3094" s="23"/>
      <c r="AD3094" s="23"/>
      <c r="AE3094" s="23"/>
      <c r="AF3094" s="23">
        <v>2</v>
      </c>
      <c r="AG3094" s="23"/>
      <c r="AH3094" s="23"/>
      <c r="AI3094" s="23"/>
      <c r="AJ3094" s="23">
        <v>8</v>
      </c>
      <c r="AK3094" s="23">
        <v>5</v>
      </c>
      <c r="AL3094" s="23"/>
      <c r="AM3094" s="23"/>
      <c r="AN3094" s="23"/>
      <c r="AO3094" s="23"/>
      <c r="AP3094" s="23">
        <v>7</v>
      </c>
      <c r="AQ3094" s="23">
        <v>8</v>
      </c>
      <c r="AR3094" s="23"/>
      <c r="AS3094" s="23"/>
      <c r="AT3094" s="23"/>
      <c r="AU3094" s="14" t="str">
        <f>HYPERLINK("http://www.openstreetmap.org/?mlat=31.996&amp;mlon=44.9638&amp;zoom=12#map=12/31.996/44.9638","Maplink1")</f>
        <v>Maplink1</v>
      </c>
      <c r="AV3094" s="14" t="str">
        <f>HYPERLINK("https://www.google.iq/maps/search/+31.996,44.9638/@31.996,44.9638,14z?hl=en","Maplink2")</f>
        <v>Maplink2</v>
      </c>
      <c r="AW3094" s="14" t="str">
        <f>HYPERLINK("http://www.bing.com/maps/?lvl=14&amp;sty=h&amp;cp=31.996~44.9638&amp;sp=point.31.996_44.9638_Hay Al-Shurta-Al Markaz","Maplink3")</f>
        <v>Maplink3</v>
      </c>
    </row>
    <row r="3095" spans="1:49" ht="15" customHeight="1" x14ac:dyDescent="0.25">
      <c r="A3095" s="21">
        <v>25512</v>
      </c>
      <c r="B3095" s="22" t="s">
        <v>22</v>
      </c>
      <c r="C3095" s="22" t="s">
        <v>5848</v>
      </c>
      <c r="D3095" s="22" t="s">
        <v>5980</v>
      </c>
      <c r="E3095" s="22" t="s">
        <v>5981</v>
      </c>
      <c r="F3095" s="22">
        <v>31.988610000000001</v>
      </c>
      <c r="G3095" s="22">
        <v>44.929105999999997</v>
      </c>
      <c r="H3095" s="21" t="s">
        <v>5725</v>
      </c>
      <c r="I3095" s="21" t="s">
        <v>5850</v>
      </c>
      <c r="J3095" s="21"/>
      <c r="K3095" s="24">
        <v>15</v>
      </c>
      <c r="L3095" s="24">
        <v>90</v>
      </c>
      <c r="M3095" s="23">
        <v>7</v>
      </c>
      <c r="N3095" s="23"/>
      <c r="O3095" s="23">
        <v>4</v>
      </c>
      <c r="P3095" s="23"/>
      <c r="Q3095" s="23"/>
      <c r="R3095" s="23"/>
      <c r="S3095" s="23"/>
      <c r="T3095" s="23"/>
      <c r="U3095" s="23"/>
      <c r="V3095" s="23"/>
      <c r="W3095" s="23"/>
      <c r="X3095" s="23"/>
      <c r="Y3095" s="23">
        <v>2</v>
      </c>
      <c r="Z3095" s="23"/>
      <c r="AA3095" s="23">
        <v>2</v>
      </c>
      <c r="AB3095" s="23"/>
      <c r="AC3095" s="23"/>
      <c r="AD3095" s="23"/>
      <c r="AE3095" s="23"/>
      <c r="AF3095" s="23"/>
      <c r="AG3095" s="23"/>
      <c r="AH3095" s="23"/>
      <c r="AI3095" s="23"/>
      <c r="AJ3095" s="23"/>
      <c r="AK3095" s="23">
        <v>15</v>
      </c>
      <c r="AL3095" s="23"/>
      <c r="AM3095" s="23"/>
      <c r="AN3095" s="23"/>
      <c r="AO3095" s="23"/>
      <c r="AP3095" s="23">
        <v>6</v>
      </c>
      <c r="AQ3095" s="23">
        <v>2</v>
      </c>
      <c r="AR3095" s="23">
        <v>7</v>
      </c>
      <c r="AS3095" s="23"/>
      <c r="AT3095" s="23"/>
      <c r="AU3095" s="14" t="str">
        <f>HYPERLINK("http://www.openstreetmap.org/?mlat=31.9886&amp;mlon=44.9291&amp;zoom=12#map=12/31.9886/44.9291","Maplink1")</f>
        <v>Maplink1</v>
      </c>
      <c r="AV3095" s="14" t="str">
        <f>HYPERLINK("https://www.google.iq/maps/search/+31.9886,44.9291/@31.9886,44.9291,14z?hl=en","Maplink2")</f>
        <v>Maplink2</v>
      </c>
      <c r="AW3095" s="14" t="str">
        <f>HYPERLINK("http://www.bing.com/maps/?lvl=14&amp;sty=h&amp;cp=31.9886~44.9291&amp;sp=point.31.9886_44.9291_Hay Al-Zaieem","Maplink3")</f>
        <v>Maplink3</v>
      </c>
    </row>
    <row r="3096" spans="1:49" ht="15" customHeight="1" x14ac:dyDescent="0.25">
      <c r="A3096" s="21">
        <v>24307</v>
      </c>
      <c r="B3096" s="22" t="s">
        <v>22</v>
      </c>
      <c r="C3096" s="22" t="s">
        <v>5848</v>
      </c>
      <c r="D3096" s="22" t="s">
        <v>4282</v>
      </c>
      <c r="E3096" s="22" t="s">
        <v>4283</v>
      </c>
      <c r="F3096" s="22">
        <v>31.980715</v>
      </c>
      <c r="G3096" s="22">
        <v>44.901524999999999</v>
      </c>
      <c r="H3096" s="21" t="s">
        <v>5725</v>
      </c>
      <c r="I3096" s="21" t="s">
        <v>5850</v>
      </c>
      <c r="J3096" s="21" t="s">
        <v>5982</v>
      </c>
      <c r="K3096" s="24">
        <v>29</v>
      </c>
      <c r="L3096" s="24">
        <v>174</v>
      </c>
      <c r="M3096" s="23">
        <v>1</v>
      </c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>
        <v>28</v>
      </c>
      <c r="Z3096" s="23"/>
      <c r="AA3096" s="23"/>
      <c r="AB3096" s="23"/>
      <c r="AC3096" s="23"/>
      <c r="AD3096" s="23"/>
      <c r="AE3096" s="23"/>
      <c r="AF3096" s="23"/>
      <c r="AG3096" s="23"/>
      <c r="AH3096" s="23"/>
      <c r="AI3096" s="23"/>
      <c r="AJ3096" s="23">
        <v>24</v>
      </c>
      <c r="AK3096" s="23">
        <v>3</v>
      </c>
      <c r="AL3096" s="23"/>
      <c r="AM3096" s="23">
        <v>2</v>
      </c>
      <c r="AN3096" s="23"/>
      <c r="AO3096" s="23"/>
      <c r="AP3096" s="23">
        <v>10</v>
      </c>
      <c r="AQ3096" s="23">
        <v>18</v>
      </c>
      <c r="AR3096" s="23"/>
      <c r="AS3096" s="23">
        <v>1</v>
      </c>
      <c r="AT3096" s="23"/>
      <c r="AU3096" s="14" t="str">
        <f>HYPERLINK("http://www.openstreetmap.org/?mlat=31.9807&amp;mlon=44.9015&amp;zoom=12#map=12/31.9807/44.9015","Maplink1")</f>
        <v>Maplink1</v>
      </c>
      <c r="AV3096" s="14" t="str">
        <f>HYPERLINK("https://www.google.iq/maps/search/+31.9807,44.9015/@31.9807,44.9015,14z?hl=en","Maplink2")</f>
        <v>Maplink2</v>
      </c>
      <c r="AW3096" s="14" t="str">
        <f>HYPERLINK("http://www.bing.com/maps/?lvl=14&amp;sty=h&amp;cp=31.9807~44.9015&amp;sp=point.31.9807_44.9015_Hay Ramadan","Maplink3")</f>
        <v>Maplink3</v>
      </c>
    </row>
    <row r="3097" spans="1:49" ht="15" customHeight="1" x14ac:dyDescent="0.25">
      <c r="A3097" s="21">
        <v>25516</v>
      </c>
      <c r="B3097" s="22" t="s">
        <v>22</v>
      </c>
      <c r="C3097" s="22" t="s">
        <v>5848</v>
      </c>
      <c r="D3097" s="22" t="s">
        <v>5983</v>
      </c>
      <c r="E3097" s="22" t="s">
        <v>5984</v>
      </c>
      <c r="F3097" s="22">
        <v>32.169961999999998</v>
      </c>
      <c r="G3097" s="22">
        <v>44.872675999999998</v>
      </c>
      <c r="H3097" s="21" t="s">
        <v>5725</v>
      </c>
      <c r="I3097" s="21" t="s">
        <v>5850</v>
      </c>
      <c r="J3097" s="21"/>
      <c r="K3097" s="24">
        <v>9</v>
      </c>
      <c r="L3097" s="24">
        <v>54</v>
      </c>
      <c r="M3097" s="23">
        <v>1</v>
      </c>
      <c r="N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>
        <v>8</v>
      </c>
      <c r="Z3097" s="23"/>
      <c r="AA3097" s="23"/>
      <c r="AB3097" s="23"/>
      <c r="AC3097" s="23"/>
      <c r="AD3097" s="23"/>
      <c r="AE3097" s="23"/>
      <c r="AF3097" s="23"/>
      <c r="AG3097" s="23"/>
      <c r="AH3097" s="23"/>
      <c r="AI3097" s="23"/>
      <c r="AJ3097" s="23">
        <v>5</v>
      </c>
      <c r="AK3097" s="23">
        <v>4</v>
      </c>
      <c r="AL3097" s="23"/>
      <c r="AM3097" s="23"/>
      <c r="AN3097" s="23"/>
      <c r="AO3097" s="23"/>
      <c r="AP3097" s="23"/>
      <c r="AQ3097" s="23">
        <v>8</v>
      </c>
      <c r="AR3097" s="23">
        <v>1</v>
      </c>
      <c r="AS3097" s="23"/>
      <c r="AT3097" s="23"/>
      <c r="AU3097" s="14" t="str">
        <f>HYPERLINK("http://www.openstreetmap.org/?mlat=32.17&amp;mlon=44.8727&amp;zoom=12#map=12/32.17/44.8727","Maplink1")</f>
        <v>Maplink1</v>
      </c>
      <c r="AV3097" s="14" t="str">
        <f>HYPERLINK("https://www.google.iq/maps/search/+32.17,44.8727/@32.17,44.8727,14z?hl=en","Maplink2")</f>
        <v>Maplink2</v>
      </c>
      <c r="AW3097" s="14" t="str">
        <f>HYPERLINK("http://www.bing.com/maps/?lvl=14&amp;sty=h&amp;cp=32.17~44.8727&amp;sp=point.32.17_44.8727_Kadoory village","Maplink3")</f>
        <v>Maplink3</v>
      </c>
    </row>
    <row r="3098" spans="1:49" ht="15" customHeight="1" x14ac:dyDescent="0.25">
      <c r="A3098" s="21">
        <v>24523</v>
      </c>
      <c r="B3098" s="22" t="s">
        <v>22</v>
      </c>
      <c r="C3098" s="22" t="s">
        <v>5848</v>
      </c>
      <c r="D3098" s="22" t="s">
        <v>9046</v>
      </c>
      <c r="E3098" s="22" t="s">
        <v>5888</v>
      </c>
      <c r="F3098" s="22">
        <v>32.090040000000002</v>
      </c>
      <c r="G3098" s="22">
        <v>44.761853000000002</v>
      </c>
      <c r="H3098" s="21" t="s">
        <v>5725</v>
      </c>
      <c r="I3098" s="21" t="s">
        <v>5850</v>
      </c>
      <c r="J3098" s="21"/>
      <c r="K3098" s="24">
        <v>42</v>
      </c>
      <c r="L3098" s="24">
        <v>252</v>
      </c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>
        <v>42</v>
      </c>
      <c r="Z3098" s="23"/>
      <c r="AA3098" s="23"/>
      <c r="AB3098" s="23"/>
      <c r="AC3098" s="23"/>
      <c r="AD3098" s="23"/>
      <c r="AE3098" s="23"/>
      <c r="AF3098" s="23">
        <v>5</v>
      </c>
      <c r="AG3098" s="23"/>
      <c r="AH3098" s="23"/>
      <c r="AI3098" s="23"/>
      <c r="AJ3098" s="23">
        <v>16</v>
      </c>
      <c r="AK3098" s="23">
        <v>2</v>
      </c>
      <c r="AL3098" s="23"/>
      <c r="AM3098" s="23">
        <v>19</v>
      </c>
      <c r="AN3098" s="23"/>
      <c r="AO3098" s="23"/>
      <c r="AP3098" s="23"/>
      <c r="AQ3098" s="23">
        <v>42</v>
      </c>
      <c r="AR3098" s="23"/>
      <c r="AS3098" s="23"/>
      <c r="AT3098" s="23"/>
      <c r="AU3098" s="14" t="str">
        <f>HYPERLINK("http://www.openstreetmap.org/?mlat=32.09&amp;mlon=44.7619&amp;zoom=12#map=12/32.09/44.7619","Maplink1")</f>
        <v>Maplink1</v>
      </c>
      <c r="AV3098" s="14" t="str">
        <f>HYPERLINK("https://www.google.iq/maps/search/+32.09,44.7619/@32.09,44.7619,14z?hl=en","Maplink2")</f>
        <v>Maplink2</v>
      </c>
      <c r="AW3098" s="14" t="str">
        <f>HYPERLINK("http://www.bing.com/maps/?lvl=14&amp;sty=h&amp;cp=32.09~44.7619&amp;sp=point.32.09_44.7619_Al-Jethaa","Maplink3")</f>
        <v>Maplink3</v>
      </c>
    </row>
    <row r="3099" spans="1:49" ht="15" customHeight="1" x14ac:dyDescent="0.25">
      <c r="A3099" s="21">
        <v>22452</v>
      </c>
      <c r="B3099" s="22" t="s">
        <v>22</v>
      </c>
      <c r="C3099" s="22" t="s">
        <v>5848</v>
      </c>
      <c r="D3099" s="22" t="s">
        <v>5985</v>
      </c>
      <c r="E3099" s="22" t="s">
        <v>5986</v>
      </c>
      <c r="F3099" s="22">
        <v>31.998832</v>
      </c>
      <c r="G3099" s="22">
        <v>45.012855000000002</v>
      </c>
      <c r="H3099" s="21" t="s">
        <v>5725</v>
      </c>
      <c r="I3099" s="21" t="s">
        <v>5850</v>
      </c>
      <c r="J3099" s="21" t="s">
        <v>5987</v>
      </c>
      <c r="K3099" s="24">
        <v>36</v>
      </c>
      <c r="L3099" s="24">
        <v>216</v>
      </c>
      <c r="M3099" s="23">
        <v>3</v>
      </c>
      <c r="N3099" s="23"/>
      <c r="O3099" s="23">
        <v>10</v>
      </c>
      <c r="P3099" s="23"/>
      <c r="Q3099" s="23"/>
      <c r="R3099" s="23"/>
      <c r="S3099" s="23"/>
      <c r="T3099" s="23"/>
      <c r="U3099" s="23"/>
      <c r="V3099" s="23"/>
      <c r="W3099" s="23"/>
      <c r="X3099" s="23"/>
      <c r="Y3099" s="23">
        <v>15</v>
      </c>
      <c r="Z3099" s="23"/>
      <c r="AA3099" s="23">
        <v>8</v>
      </c>
      <c r="AB3099" s="23"/>
      <c r="AC3099" s="23"/>
      <c r="AD3099" s="23"/>
      <c r="AE3099" s="23"/>
      <c r="AF3099" s="23">
        <v>10</v>
      </c>
      <c r="AG3099" s="23"/>
      <c r="AH3099" s="23"/>
      <c r="AI3099" s="23"/>
      <c r="AJ3099" s="23">
        <v>14</v>
      </c>
      <c r="AK3099" s="23">
        <v>12</v>
      </c>
      <c r="AL3099" s="23"/>
      <c r="AM3099" s="23"/>
      <c r="AN3099" s="23"/>
      <c r="AO3099" s="23"/>
      <c r="AP3099" s="23"/>
      <c r="AQ3099" s="23">
        <v>22</v>
      </c>
      <c r="AR3099" s="23">
        <v>14</v>
      </c>
      <c r="AS3099" s="23"/>
      <c r="AT3099" s="23"/>
      <c r="AU3099" s="14" t="str">
        <f>HYPERLINK("http://www.openstreetmap.org/?mlat=31.9988&amp;mlon=45.0129&amp;zoom=12#map=12/31.9988/45.0129","Maplink1")</f>
        <v>Maplink1</v>
      </c>
      <c r="AV3099" s="14" t="str">
        <f>HYPERLINK("https://www.google.iq/maps/search/+31.9988,45.0129/@31.9988,45.0129,14z?hl=en","Maplink2")</f>
        <v>Maplink2</v>
      </c>
      <c r="AW3099" s="14" t="str">
        <f>HYPERLINK("http://www.bing.com/maps/?lvl=14&amp;sty=h&amp;cp=31.9988~45.0129&amp;sp=point.31.9988_45.0129_Qaryat Al Ensaf","Maplink3")</f>
        <v>Maplink3</v>
      </c>
    </row>
    <row r="3100" spans="1:49" ht="15" customHeight="1" x14ac:dyDescent="0.25">
      <c r="A3100" s="21">
        <v>2114</v>
      </c>
      <c r="B3100" s="22" t="s">
        <v>22</v>
      </c>
      <c r="C3100" s="22" t="s">
        <v>5848</v>
      </c>
      <c r="D3100" s="22" t="s">
        <v>5988</v>
      </c>
      <c r="E3100" s="22" t="s">
        <v>5989</v>
      </c>
      <c r="F3100" s="22">
        <v>32.14761</v>
      </c>
      <c r="G3100" s="22">
        <v>44.908721999999997</v>
      </c>
      <c r="H3100" s="21" t="s">
        <v>5725</v>
      </c>
      <c r="I3100" s="21" t="s">
        <v>5850</v>
      </c>
      <c r="J3100" s="21" t="s">
        <v>5990</v>
      </c>
      <c r="K3100" s="24">
        <v>21</v>
      </c>
      <c r="L3100" s="24">
        <v>126</v>
      </c>
      <c r="M3100" s="23">
        <v>6</v>
      </c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>
        <v>15</v>
      </c>
      <c r="Z3100" s="23"/>
      <c r="AA3100" s="23"/>
      <c r="AB3100" s="23"/>
      <c r="AC3100" s="23"/>
      <c r="AD3100" s="23"/>
      <c r="AE3100" s="23"/>
      <c r="AF3100" s="23"/>
      <c r="AG3100" s="23"/>
      <c r="AH3100" s="23"/>
      <c r="AI3100" s="23"/>
      <c r="AJ3100" s="23">
        <v>12</v>
      </c>
      <c r="AK3100" s="23">
        <v>9</v>
      </c>
      <c r="AL3100" s="23"/>
      <c r="AM3100" s="23"/>
      <c r="AN3100" s="23"/>
      <c r="AO3100" s="23"/>
      <c r="AP3100" s="23">
        <v>3</v>
      </c>
      <c r="AQ3100" s="23">
        <v>12</v>
      </c>
      <c r="AR3100" s="23">
        <v>4</v>
      </c>
      <c r="AS3100" s="23">
        <v>2</v>
      </c>
      <c r="AT3100" s="23"/>
      <c r="AU3100" s="14" t="str">
        <f>HYPERLINK("http://www.openstreetmap.org/?mlat=32.1476&amp;mlon=44.9087&amp;zoom=12#map=12/32.1476/44.9087","Maplink1")</f>
        <v>Maplink1</v>
      </c>
      <c r="AV3100" s="14" t="str">
        <f>HYPERLINK("https://www.google.iq/maps/search/+32.1476,44.9087/@32.1476,44.9087,14z?hl=en","Maplink2")</f>
        <v>Maplink2</v>
      </c>
      <c r="AW3100" s="14" t="str">
        <f>HYPERLINK("http://www.bing.com/maps/?lvl=14&amp;sty=h&amp;cp=32.1476~44.9087&amp;sp=point.32.1476_44.9087_Sader Al- Daghara","Maplink3")</f>
        <v>Maplink3</v>
      </c>
    </row>
    <row r="3101" spans="1:49" ht="15" customHeight="1" x14ac:dyDescent="0.25">
      <c r="A3101" s="21">
        <v>25860</v>
      </c>
      <c r="B3101" s="22" t="s">
        <v>22</v>
      </c>
      <c r="C3101" s="22" t="s">
        <v>5848</v>
      </c>
      <c r="D3101" s="22" t="s">
        <v>5993</v>
      </c>
      <c r="E3101" s="22" t="s">
        <v>5994</v>
      </c>
      <c r="F3101" s="22">
        <v>32.000377999999998</v>
      </c>
      <c r="G3101" s="22">
        <v>44.995322999999999</v>
      </c>
      <c r="H3101" s="21" t="s">
        <v>5725</v>
      </c>
      <c r="I3101" s="21" t="s">
        <v>5850</v>
      </c>
      <c r="J3101" s="21"/>
      <c r="K3101" s="24">
        <v>35</v>
      </c>
      <c r="L3101" s="24">
        <v>210</v>
      </c>
      <c r="M3101" s="23">
        <v>2</v>
      </c>
      <c r="N3101" s="23"/>
      <c r="O3101" s="23"/>
      <c r="P3101" s="23"/>
      <c r="Q3101" s="23"/>
      <c r="R3101" s="23"/>
      <c r="S3101" s="23"/>
      <c r="T3101" s="23"/>
      <c r="U3101" s="23">
        <v>7</v>
      </c>
      <c r="V3101" s="23"/>
      <c r="W3101" s="23"/>
      <c r="X3101" s="23"/>
      <c r="Y3101" s="23">
        <v>22</v>
      </c>
      <c r="Z3101" s="23"/>
      <c r="AA3101" s="23">
        <v>4</v>
      </c>
      <c r="AB3101" s="23"/>
      <c r="AC3101" s="23"/>
      <c r="AD3101" s="23"/>
      <c r="AE3101" s="23"/>
      <c r="AF3101" s="23">
        <v>2</v>
      </c>
      <c r="AG3101" s="23"/>
      <c r="AH3101" s="23"/>
      <c r="AI3101" s="23"/>
      <c r="AJ3101" s="23">
        <v>21</v>
      </c>
      <c r="AK3101" s="23">
        <v>10</v>
      </c>
      <c r="AL3101" s="23"/>
      <c r="AM3101" s="23">
        <v>2</v>
      </c>
      <c r="AN3101" s="23"/>
      <c r="AO3101" s="23"/>
      <c r="AP3101" s="23">
        <v>19</v>
      </c>
      <c r="AQ3101" s="23">
        <v>13</v>
      </c>
      <c r="AR3101" s="23">
        <v>3</v>
      </c>
      <c r="AS3101" s="23"/>
      <c r="AT3101" s="23"/>
      <c r="AU3101" s="14" t="str">
        <f>HYPERLINK("http://www.openstreetmap.org/?mlat=32.0004&amp;mlon=44.9953&amp;zoom=12#map=12/32.0004/44.9953","Maplink1")</f>
        <v>Maplink1</v>
      </c>
      <c r="AV3101" s="14" t="str">
        <f>HYPERLINK("https://www.google.iq/maps/search/+32.0004,44.9953/@32.0004,44.9953,14z?hl=en","Maplink2")</f>
        <v>Maplink2</v>
      </c>
      <c r="AW3101" s="14" t="str">
        <f>HYPERLINK("http://www.bing.com/maps/?lvl=14&amp;sty=h&amp;cp=32.0004~44.9953&amp;sp=point.32.0004_44.9953_Salman Hlis Village","Maplink3")</f>
        <v>Maplink3</v>
      </c>
    </row>
    <row r="3102" spans="1:49" ht="15" customHeight="1" x14ac:dyDescent="0.25">
      <c r="A3102" s="21">
        <v>25861</v>
      </c>
      <c r="B3102" s="22" t="s">
        <v>22</v>
      </c>
      <c r="C3102" s="22" t="s">
        <v>5848</v>
      </c>
      <c r="D3102" s="22" t="s">
        <v>5995</v>
      </c>
      <c r="E3102" s="22" t="s">
        <v>5996</v>
      </c>
      <c r="F3102" s="22">
        <v>31.957315000000001</v>
      </c>
      <c r="G3102" s="22">
        <v>44.744790000000002</v>
      </c>
      <c r="H3102" s="21" t="s">
        <v>5725</v>
      </c>
      <c r="I3102" s="21" t="s">
        <v>5850</v>
      </c>
      <c r="J3102" s="21"/>
      <c r="K3102" s="24">
        <v>10</v>
      </c>
      <c r="L3102" s="24">
        <v>60</v>
      </c>
      <c r="M3102" s="23">
        <v>4</v>
      </c>
      <c r="N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>
        <v>6</v>
      </c>
      <c r="Z3102" s="23"/>
      <c r="AA3102" s="23"/>
      <c r="AB3102" s="23"/>
      <c r="AC3102" s="23"/>
      <c r="AD3102" s="23"/>
      <c r="AE3102" s="23"/>
      <c r="AF3102" s="23">
        <v>4</v>
      </c>
      <c r="AG3102" s="23"/>
      <c r="AH3102" s="23"/>
      <c r="AI3102" s="23"/>
      <c r="AJ3102" s="23"/>
      <c r="AK3102" s="23">
        <v>6</v>
      </c>
      <c r="AL3102" s="23"/>
      <c r="AM3102" s="23"/>
      <c r="AN3102" s="23"/>
      <c r="AO3102" s="23"/>
      <c r="AP3102" s="23"/>
      <c r="AQ3102" s="23">
        <v>6</v>
      </c>
      <c r="AR3102" s="23">
        <v>4</v>
      </c>
      <c r="AS3102" s="23"/>
      <c r="AT3102" s="23"/>
      <c r="AU3102" s="14" t="str">
        <f>HYPERLINK("http://www.openstreetmap.org/?mlat=31.9734&amp;mlon=44.7824&amp;zoom=12#map=12/31.9734/44.7824","Maplink1")</f>
        <v>Maplink1</v>
      </c>
      <c r="AV3102" s="14" t="str">
        <f>HYPERLINK("https://www.google.iq/maps/search/+31.9734,44.7824/@31.9734,44.7824,14z?hl=en","Maplink2")</f>
        <v>Maplink2</v>
      </c>
      <c r="AW3102" s="14" t="str">
        <f>HYPERLINK("http://www.bing.com/maps/?lvl=14&amp;sty=h&amp;cp=31.9734~44.7824&amp;sp=point.31.9734_44.7824_Sayed Talib Village","Maplink3")</f>
        <v>Maplink3</v>
      </c>
    </row>
    <row r="3103" spans="1:49" ht="15" customHeight="1" x14ac:dyDescent="0.25">
      <c r="A3103" s="21">
        <v>25280</v>
      </c>
      <c r="B3103" s="22" t="s">
        <v>22</v>
      </c>
      <c r="C3103" s="22" t="s">
        <v>5848</v>
      </c>
      <c r="D3103" s="22" t="s">
        <v>5997</v>
      </c>
      <c r="E3103" s="22" t="s">
        <v>5998</v>
      </c>
      <c r="F3103" s="22">
        <v>31.943926999999999</v>
      </c>
      <c r="G3103" s="22">
        <v>44.819254000000001</v>
      </c>
      <c r="H3103" s="21" t="s">
        <v>5725</v>
      </c>
      <c r="I3103" s="21" t="s">
        <v>5850</v>
      </c>
      <c r="J3103" s="21"/>
      <c r="K3103" s="24">
        <v>30</v>
      </c>
      <c r="L3103" s="24">
        <v>180</v>
      </c>
      <c r="M3103" s="23"/>
      <c r="N3103" s="23"/>
      <c r="O3103" s="23"/>
      <c r="P3103" s="23"/>
      <c r="Q3103" s="23"/>
      <c r="R3103" s="23"/>
      <c r="S3103" s="23"/>
      <c r="T3103" s="23"/>
      <c r="U3103" s="23">
        <v>10</v>
      </c>
      <c r="V3103" s="23"/>
      <c r="W3103" s="23"/>
      <c r="X3103" s="23"/>
      <c r="Y3103" s="23">
        <v>20</v>
      </c>
      <c r="Z3103" s="23"/>
      <c r="AA3103" s="23"/>
      <c r="AB3103" s="23"/>
      <c r="AC3103" s="23"/>
      <c r="AD3103" s="23"/>
      <c r="AE3103" s="23"/>
      <c r="AF3103" s="23">
        <v>3</v>
      </c>
      <c r="AG3103" s="23"/>
      <c r="AH3103" s="23"/>
      <c r="AI3103" s="23"/>
      <c r="AJ3103" s="23">
        <v>4</v>
      </c>
      <c r="AK3103" s="23"/>
      <c r="AL3103" s="23"/>
      <c r="AM3103" s="23">
        <v>23</v>
      </c>
      <c r="AN3103" s="23"/>
      <c r="AO3103" s="23"/>
      <c r="AP3103" s="23">
        <v>18</v>
      </c>
      <c r="AQ3103" s="23">
        <v>12</v>
      </c>
      <c r="AR3103" s="23"/>
      <c r="AS3103" s="23"/>
      <c r="AT3103" s="23"/>
      <c r="AU3103" s="14" t="str">
        <f>HYPERLINK("http://www.openstreetmap.org/?mlat=31.9439&amp;mlon=44.8193&amp;zoom=12#map=12/31.9439/44.8193","Maplink1")</f>
        <v>Maplink1</v>
      </c>
      <c r="AV3103" s="14" t="str">
        <f>HYPERLINK("https://www.google.iq/maps/search/+31.9439,44.8193/@31.9439,44.8193,14z?hl=en","Maplink2")</f>
        <v>Maplink2</v>
      </c>
      <c r="AW3103" s="14" t="str">
        <f>HYPERLINK("http://www.bing.com/maps/?lvl=14&amp;sty=h&amp;cp=31.9439~44.8193&amp;sp=point.31.9439_44.8193_Um Abasiyat","Maplink3")</f>
        <v>Maplink3</v>
      </c>
    </row>
    <row r="3104" spans="1:49" ht="15" customHeight="1" x14ac:dyDescent="0.25">
      <c r="A3104" s="21">
        <v>23764</v>
      </c>
      <c r="B3104" s="22" t="s">
        <v>22</v>
      </c>
      <c r="C3104" s="22" t="s">
        <v>5848</v>
      </c>
      <c r="D3104" s="22" t="s">
        <v>5999</v>
      </c>
      <c r="E3104" s="22" t="s">
        <v>6000</v>
      </c>
      <c r="F3104" s="22">
        <v>31.994479999999999</v>
      </c>
      <c r="G3104" s="22">
        <v>44.899985000000001</v>
      </c>
      <c r="H3104" s="21" t="s">
        <v>5725</v>
      </c>
      <c r="I3104" s="21" t="s">
        <v>5850</v>
      </c>
      <c r="J3104" s="21" t="s">
        <v>6001</v>
      </c>
      <c r="K3104" s="24">
        <v>25</v>
      </c>
      <c r="L3104" s="24">
        <v>150</v>
      </c>
      <c r="M3104" s="23">
        <v>12</v>
      </c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>
        <v>13</v>
      </c>
      <c r="Z3104" s="23"/>
      <c r="AA3104" s="23"/>
      <c r="AB3104" s="23"/>
      <c r="AC3104" s="23"/>
      <c r="AD3104" s="23"/>
      <c r="AE3104" s="23"/>
      <c r="AF3104" s="23">
        <v>10</v>
      </c>
      <c r="AG3104" s="23"/>
      <c r="AH3104" s="23"/>
      <c r="AI3104" s="23"/>
      <c r="AJ3104" s="23"/>
      <c r="AK3104" s="23">
        <v>15</v>
      </c>
      <c r="AL3104" s="23"/>
      <c r="AM3104" s="23"/>
      <c r="AN3104" s="23"/>
      <c r="AO3104" s="23">
        <v>5</v>
      </c>
      <c r="AP3104" s="23">
        <v>5</v>
      </c>
      <c r="AQ3104" s="23">
        <v>4</v>
      </c>
      <c r="AR3104" s="23">
        <v>8</v>
      </c>
      <c r="AS3104" s="23">
        <v>3</v>
      </c>
      <c r="AT3104" s="23"/>
      <c r="AU3104" s="14" t="str">
        <f>HYPERLINK("http://www.openstreetmap.org/?mlat=31.9945&amp;mlon=44.9&amp;zoom=12#map=12/31.9945/44.9","Maplink1")</f>
        <v>Maplink1</v>
      </c>
      <c r="AV3104" s="14" t="str">
        <f>HYPERLINK("https://www.google.iq/maps/search/+31.9945,44.9/@31.9945,44.9,14z?hl=en","Maplink2")</f>
        <v>Maplink2</v>
      </c>
      <c r="AW3104" s="14" t="str">
        <f>HYPERLINK("http://www.bing.com/maps/?lvl=14&amp;sty=h&amp;cp=31.9945~44.9&amp;sp=point.31.9945_44.9_Um Al Khail 2","Maplink3")</f>
        <v>Maplink3</v>
      </c>
    </row>
    <row r="3105" spans="1:49" ht="15" customHeight="1" x14ac:dyDescent="0.25">
      <c r="A3105" s="21">
        <v>25508</v>
      </c>
      <c r="B3105" s="22" t="s">
        <v>22</v>
      </c>
      <c r="C3105" s="22" t="s">
        <v>5848</v>
      </c>
      <c r="D3105" s="22" t="s">
        <v>6002</v>
      </c>
      <c r="E3105" s="22" t="s">
        <v>6003</v>
      </c>
      <c r="F3105" s="22">
        <v>32.008716999999997</v>
      </c>
      <c r="G3105" s="22">
        <v>44.892837999999998</v>
      </c>
      <c r="H3105" s="21" t="s">
        <v>5725</v>
      </c>
      <c r="I3105" s="21" t="s">
        <v>5850</v>
      </c>
      <c r="J3105" s="21"/>
      <c r="K3105" s="24">
        <v>28</v>
      </c>
      <c r="L3105" s="24">
        <v>168</v>
      </c>
      <c r="M3105" s="23">
        <v>12</v>
      </c>
      <c r="N3105" s="23"/>
      <c r="O3105" s="23">
        <v>2</v>
      </c>
      <c r="P3105" s="23"/>
      <c r="Q3105" s="23"/>
      <c r="R3105" s="23"/>
      <c r="S3105" s="23"/>
      <c r="T3105" s="23"/>
      <c r="U3105" s="23">
        <v>5</v>
      </c>
      <c r="V3105" s="23"/>
      <c r="W3105" s="23"/>
      <c r="X3105" s="23"/>
      <c r="Y3105" s="23">
        <v>9</v>
      </c>
      <c r="Z3105" s="23"/>
      <c r="AA3105" s="23"/>
      <c r="AB3105" s="23"/>
      <c r="AC3105" s="23"/>
      <c r="AD3105" s="23"/>
      <c r="AE3105" s="23"/>
      <c r="AF3105" s="23">
        <v>4</v>
      </c>
      <c r="AG3105" s="23"/>
      <c r="AH3105" s="23"/>
      <c r="AI3105" s="23"/>
      <c r="AJ3105" s="23"/>
      <c r="AK3105" s="23">
        <v>20</v>
      </c>
      <c r="AL3105" s="23"/>
      <c r="AM3105" s="23">
        <v>4</v>
      </c>
      <c r="AN3105" s="23"/>
      <c r="AO3105" s="23"/>
      <c r="AP3105" s="23">
        <v>8</v>
      </c>
      <c r="AQ3105" s="23">
        <v>8</v>
      </c>
      <c r="AR3105" s="23">
        <v>8</v>
      </c>
      <c r="AS3105" s="23">
        <v>4</v>
      </c>
      <c r="AT3105" s="23"/>
      <c r="AU3105" s="14" t="str">
        <f>HYPERLINK("http://www.openstreetmap.org/?mlat=32.0087&amp;mlon=44.8928&amp;zoom=12#map=12/32.0087/44.8928","Maplink1")</f>
        <v>Maplink1</v>
      </c>
      <c r="AV3105" s="14" t="str">
        <f>HYPERLINK("https://www.google.iq/maps/search/+32.0087,44.8928/@32.0087,44.8928,14z?hl=en","Maplink2")</f>
        <v>Maplink2</v>
      </c>
      <c r="AW3105" s="14" t="str">
        <f>HYPERLINK("http://www.bing.com/maps/?lvl=14&amp;sty=h&amp;cp=32.0087~44.8928&amp;sp=point.32.0087_44.8928_Um Al Khail 3","Maplink3")</f>
        <v>Maplink3</v>
      </c>
    </row>
    <row r="3106" spans="1:49" ht="15" customHeight="1" x14ac:dyDescent="0.25">
      <c r="A3106" s="21">
        <v>24904</v>
      </c>
      <c r="B3106" s="22" t="s">
        <v>22</v>
      </c>
      <c r="C3106" s="22" t="s">
        <v>5848</v>
      </c>
      <c r="D3106" s="22" t="s">
        <v>7380</v>
      </c>
      <c r="E3106" s="22" t="s">
        <v>8089</v>
      </c>
      <c r="F3106" s="22">
        <v>32.008114999999997</v>
      </c>
      <c r="G3106" s="22">
        <v>44.852910999999999</v>
      </c>
      <c r="H3106" s="21" t="s">
        <v>5725</v>
      </c>
      <c r="I3106" s="21" t="s">
        <v>5850</v>
      </c>
      <c r="J3106" s="21"/>
      <c r="K3106" s="24">
        <v>29</v>
      </c>
      <c r="L3106" s="24">
        <v>174</v>
      </c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>
        <v>29</v>
      </c>
      <c r="Z3106" s="23"/>
      <c r="AA3106" s="23"/>
      <c r="AB3106" s="23"/>
      <c r="AC3106" s="23"/>
      <c r="AD3106" s="23"/>
      <c r="AE3106" s="23"/>
      <c r="AF3106" s="23">
        <v>11</v>
      </c>
      <c r="AG3106" s="23"/>
      <c r="AH3106" s="23"/>
      <c r="AI3106" s="23"/>
      <c r="AJ3106" s="23">
        <v>15</v>
      </c>
      <c r="AK3106" s="23">
        <v>3</v>
      </c>
      <c r="AL3106" s="23"/>
      <c r="AM3106" s="23"/>
      <c r="AN3106" s="23"/>
      <c r="AO3106" s="23"/>
      <c r="AP3106" s="23">
        <v>26</v>
      </c>
      <c r="AQ3106" s="23">
        <v>3</v>
      </c>
      <c r="AR3106" s="23"/>
      <c r="AS3106" s="23"/>
      <c r="AT3106" s="23"/>
      <c r="AU3106" s="14" t="str">
        <f>HYPERLINK("http://www.openstreetmap.org/?mlat=32.0081&amp;mlon=44.8529&amp;zoom=12#map=12/32.0081/44.8529","Maplink1")</f>
        <v>Maplink1</v>
      </c>
      <c r="AV3106" s="14" t="str">
        <f>HYPERLINK("https://www.google.iq/maps/search/+32.0081,44.8529/@32.0081,44.8529,14z?hl=en","Maplink2")</f>
        <v>Maplink2</v>
      </c>
      <c r="AW3106" s="14" t="str">
        <f>HYPERLINK("http://www.bing.com/maps/?lvl=14&amp;sty=h&amp;cp=32.0081~44.8529&amp;sp=point.32.0081_44.8529_Al suniyah - Um tibashi village","Maplink3")</f>
        <v>Maplink3</v>
      </c>
    </row>
    <row r="3107" spans="1:49" ht="15" customHeight="1" x14ac:dyDescent="0.25">
      <c r="A3107" s="21">
        <v>24437</v>
      </c>
      <c r="B3107" s="22" t="s">
        <v>22</v>
      </c>
      <c r="C3107" s="22" t="s">
        <v>6004</v>
      </c>
      <c r="D3107" s="22" t="s">
        <v>7381</v>
      </c>
      <c r="E3107" s="22" t="s">
        <v>6889</v>
      </c>
      <c r="F3107" s="22">
        <v>31.575182999999999</v>
      </c>
      <c r="G3107" s="22">
        <v>44.642553999999997</v>
      </c>
      <c r="H3107" s="21" t="s">
        <v>5725</v>
      </c>
      <c r="I3107" s="21" t="s">
        <v>6005</v>
      </c>
      <c r="J3107" s="21"/>
      <c r="K3107" s="24">
        <v>46</v>
      </c>
      <c r="L3107" s="24">
        <v>276</v>
      </c>
      <c r="M3107" s="23"/>
      <c r="N3107" s="23"/>
      <c r="O3107" s="23"/>
      <c r="P3107" s="23"/>
      <c r="Q3107" s="23"/>
      <c r="R3107" s="23"/>
      <c r="S3107" s="23"/>
      <c r="T3107" s="23"/>
      <c r="U3107" s="23">
        <v>33</v>
      </c>
      <c r="V3107" s="23"/>
      <c r="W3107" s="23"/>
      <c r="X3107" s="23"/>
      <c r="Y3107" s="23">
        <v>13</v>
      </c>
      <c r="Z3107" s="23"/>
      <c r="AA3107" s="23"/>
      <c r="AB3107" s="23"/>
      <c r="AC3107" s="23"/>
      <c r="AD3107" s="23"/>
      <c r="AE3107" s="23"/>
      <c r="AF3107" s="23"/>
      <c r="AG3107" s="23"/>
      <c r="AH3107" s="23"/>
      <c r="AI3107" s="23">
        <v>42</v>
      </c>
      <c r="AJ3107" s="23"/>
      <c r="AK3107" s="23"/>
      <c r="AL3107" s="23"/>
      <c r="AM3107" s="23">
        <v>4</v>
      </c>
      <c r="AN3107" s="23"/>
      <c r="AO3107" s="23"/>
      <c r="AP3107" s="23">
        <v>16</v>
      </c>
      <c r="AQ3107" s="23">
        <v>30</v>
      </c>
      <c r="AR3107" s="23"/>
      <c r="AS3107" s="23"/>
      <c r="AT3107" s="23"/>
      <c r="AU3107" s="14" t="str">
        <f>HYPERLINK("http://www.openstreetmap.org/?mlat=31.5752&amp;mlon=44.6426&amp;zoom=12#map=12/31.5752/44.6426","Maplink1")</f>
        <v>Maplink1</v>
      </c>
      <c r="AV3107" s="14" t="str">
        <f>HYPERLINK("https://www.google.iq/maps/search/+31.5752,44.6426/@31.5752,44.6426,14z?hl=en","Maplink2")</f>
        <v>Maplink2</v>
      </c>
      <c r="AW3107" s="14" t="str">
        <f>HYPERLINK("http://www.bing.com/maps/?lvl=14&amp;sty=h&amp;cp=31.5752~44.6426&amp;sp=point.31.5752_44.6426_Al Shanafiyah area-Al Asriyah Village","Maplink3")</f>
        <v>Maplink3</v>
      </c>
    </row>
    <row r="3108" spans="1:49" ht="15" customHeight="1" x14ac:dyDescent="0.25">
      <c r="A3108" s="21">
        <v>24583</v>
      </c>
      <c r="B3108" s="22" t="s">
        <v>22</v>
      </c>
      <c r="C3108" s="22" t="s">
        <v>6004</v>
      </c>
      <c r="D3108" s="22" t="s">
        <v>6007</v>
      </c>
      <c r="E3108" s="22" t="s">
        <v>6008</v>
      </c>
      <c r="F3108" s="22">
        <v>31.855063999999999</v>
      </c>
      <c r="G3108" s="22">
        <v>44.930777999999997</v>
      </c>
      <c r="H3108" s="21" t="s">
        <v>5725</v>
      </c>
      <c r="I3108" s="21" t="s">
        <v>6005</v>
      </c>
      <c r="J3108" s="21"/>
      <c r="K3108" s="24">
        <v>14</v>
      </c>
      <c r="L3108" s="24">
        <v>84</v>
      </c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>
        <v>14</v>
      </c>
      <c r="Z3108" s="23"/>
      <c r="AA3108" s="23"/>
      <c r="AB3108" s="23"/>
      <c r="AC3108" s="23"/>
      <c r="AD3108" s="23"/>
      <c r="AE3108" s="23"/>
      <c r="AF3108" s="23">
        <v>4</v>
      </c>
      <c r="AG3108" s="23"/>
      <c r="AH3108" s="23"/>
      <c r="AI3108" s="23"/>
      <c r="AJ3108" s="23">
        <v>8</v>
      </c>
      <c r="AK3108" s="23"/>
      <c r="AL3108" s="23"/>
      <c r="AM3108" s="23">
        <v>2</v>
      </c>
      <c r="AN3108" s="23"/>
      <c r="AO3108" s="23"/>
      <c r="AP3108" s="23"/>
      <c r="AQ3108" s="23">
        <v>14</v>
      </c>
      <c r="AR3108" s="23"/>
      <c r="AS3108" s="23"/>
      <c r="AT3108" s="23"/>
      <c r="AU3108" s="14" t="str">
        <f>HYPERLINK("http://www.openstreetmap.org/?mlat=31.8551&amp;mlon=44.9308&amp;zoom=12#map=12/31.8551/44.9308","Maplink1")</f>
        <v>Maplink1</v>
      </c>
      <c r="AV3108" s="14" t="str">
        <f>HYPERLINK("https://www.google.iq/maps/search/+31.8551,44.9308/@31.8551,44.9308,14z?hl=en","Maplink2")</f>
        <v>Maplink2</v>
      </c>
      <c r="AW3108" s="14" t="str">
        <f>HYPERLINK("http://www.bing.com/maps/?lvl=14&amp;sty=h&amp;cp=31.8551~44.9308&amp;sp=point.31.8551_44.9308_Al-Marshad village","Maplink3")</f>
        <v>Maplink3</v>
      </c>
    </row>
    <row r="3109" spans="1:49" ht="15" customHeight="1" x14ac:dyDescent="0.25">
      <c r="A3109" s="21">
        <v>21102</v>
      </c>
      <c r="B3109" s="22" t="s">
        <v>22</v>
      </c>
      <c r="C3109" s="22" t="s">
        <v>6004</v>
      </c>
      <c r="D3109" s="22" t="s">
        <v>6009</v>
      </c>
      <c r="E3109" s="22" t="s">
        <v>6010</v>
      </c>
      <c r="F3109" s="22">
        <v>31.732669999999999</v>
      </c>
      <c r="G3109" s="22">
        <v>44.967199999999998</v>
      </c>
      <c r="H3109" s="21" t="s">
        <v>5725</v>
      </c>
      <c r="I3109" s="21" t="s">
        <v>6005</v>
      </c>
      <c r="J3109" s="21" t="s">
        <v>6011</v>
      </c>
      <c r="K3109" s="24">
        <v>57</v>
      </c>
      <c r="L3109" s="24">
        <v>342</v>
      </c>
      <c r="M3109" s="23">
        <v>4</v>
      </c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>
        <v>53</v>
      </c>
      <c r="Z3109" s="23"/>
      <c r="AA3109" s="23"/>
      <c r="AB3109" s="23"/>
      <c r="AC3109" s="23"/>
      <c r="AD3109" s="23"/>
      <c r="AE3109" s="23"/>
      <c r="AF3109" s="23">
        <v>17</v>
      </c>
      <c r="AG3109" s="23"/>
      <c r="AH3109" s="23"/>
      <c r="AI3109" s="23"/>
      <c r="AJ3109" s="23">
        <v>20</v>
      </c>
      <c r="AK3109" s="23">
        <v>10</v>
      </c>
      <c r="AL3109" s="23"/>
      <c r="AM3109" s="23">
        <v>10</v>
      </c>
      <c r="AN3109" s="23"/>
      <c r="AO3109" s="23"/>
      <c r="AP3109" s="23">
        <v>17</v>
      </c>
      <c r="AQ3109" s="23">
        <v>36</v>
      </c>
      <c r="AR3109" s="23">
        <v>4</v>
      </c>
      <c r="AS3109" s="23"/>
      <c r="AT3109" s="23"/>
      <c r="AU3109" s="14" t="str">
        <f>HYPERLINK("http://www.openstreetmap.org/?mlat=31.7327&amp;mlon=44.9672&amp;zoom=12#map=12/31.7327/44.9672","Maplink1")</f>
        <v>Maplink1</v>
      </c>
      <c r="AV3109" s="14" t="str">
        <f>HYPERLINK("https://www.google.iq/maps/search/+31.7327,44.9672/@31.7327,44.9672,14z?hl=en","Maplink2")</f>
        <v>Maplink2</v>
      </c>
      <c r="AW3109" s="14" t="str">
        <f>HYPERLINK("http://www.bing.com/maps/?lvl=14&amp;sty=h&amp;cp=31.7327~44.9672&amp;sp=point.31.7327_44.9672_AL-Marsoul village","Maplink3")</f>
        <v>Maplink3</v>
      </c>
    </row>
    <row r="3110" spans="1:49" ht="15" customHeight="1" x14ac:dyDescent="0.25">
      <c r="A3110" s="21">
        <v>25283</v>
      </c>
      <c r="B3110" s="22" t="s">
        <v>22</v>
      </c>
      <c r="C3110" s="22" t="s">
        <v>6004</v>
      </c>
      <c r="D3110" s="22" t="s">
        <v>6012</v>
      </c>
      <c r="E3110" s="22" t="s">
        <v>6013</v>
      </c>
      <c r="F3110" s="22">
        <v>31.698430999999999</v>
      </c>
      <c r="G3110" s="22">
        <v>44.999519999999997</v>
      </c>
      <c r="H3110" s="21" t="s">
        <v>5725</v>
      </c>
      <c r="I3110" s="21" t="s">
        <v>6005</v>
      </c>
      <c r="J3110" s="21"/>
      <c r="K3110" s="24">
        <v>35</v>
      </c>
      <c r="L3110" s="24">
        <v>210</v>
      </c>
      <c r="M3110" s="23">
        <v>15</v>
      </c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>
        <v>20</v>
      </c>
      <c r="Z3110" s="23"/>
      <c r="AA3110" s="23"/>
      <c r="AB3110" s="23"/>
      <c r="AC3110" s="23"/>
      <c r="AD3110" s="23"/>
      <c r="AE3110" s="23"/>
      <c r="AF3110" s="23">
        <v>20</v>
      </c>
      <c r="AG3110" s="23"/>
      <c r="AH3110" s="23"/>
      <c r="AI3110" s="23"/>
      <c r="AJ3110" s="23">
        <v>8</v>
      </c>
      <c r="AK3110" s="23">
        <v>7</v>
      </c>
      <c r="AL3110" s="23"/>
      <c r="AM3110" s="23"/>
      <c r="AN3110" s="23"/>
      <c r="AO3110" s="23"/>
      <c r="AP3110" s="23">
        <v>4</v>
      </c>
      <c r="AQ3110" s="23">
        <v>11</v>
      </c>
      <c r="AR3110" s="23">
        <v>10</v>
      </c>
      <c r="AS3110" s="23">
        <v>10</v>
      </c>
      <c r="AT3110" s="23"/>
      <c r="AU3110" s="14" t="str">
        <f>HYPERLINK("http://www.openstreetmap.org/?mlat=31.6984&amp;mlon=44.9995&amp;zoom=12#map=12/31.6984/44.9995","Maplink1")</f>
        <v>Maplink1</v>
      </c>
      <c r="AV3110" s="14" t="str">
        <f>HYPERLINK("https://www.google.iq/maps/search/+31.6984,44.9995/@31.6984,44.9995,14z?hl=en","Maplink2")</f>
        <v>Maplink2</v>
      </c>
      <c r="AW3110" s="14" t="str">
        <f>HYPERLINK("http://www.bing.com/maps/?lvl=14&amp;sty=h&amp;cp=31.6984~44.9995&amp;sp=point.31.6984_44.9995_Al-Saada Alimyal village","Maplink3")</f>
        <v>Maplink3</v>
      </c>
    </row>
    <row r="3111" spans="1:49" ht="15" customHeight="1" x14ac:dyDescent="0.25">
      <c r="A3111" s="21">
        <v>2518</v>
      </c>
      <c r="B3111" s="22" t="s">
        <v>22</v>
      </c>
      <c r="C3111" s="22" t="s">
        <v>6004</v>
      </c>
      <c r="D3111" s="22" t="s">
        <v>9047</v>
      </c>
      <c r="E3111" s="22" t="s">
        <v>6014</v>
      </c>
      <c r="F3111" s="22">
        <v>31.820620999999999</v>
      </c>
      <c r="G3111" s="22">
        <v>44.952590999999998</v>
      </c>
      <c r="H3111" s="21" t="s">
        <v>5725</v>
      </c>
      <c r="I3111" s="21" t="s">
        <v>6005</v>
      </c>
      <c r="J3111" s="21" t="s">
        <v>6015</v>
      </c>
      <c r="K3111" s="24">
        <v>25</v>
      </c>
      <c r="L3111" s="24">
        <v>150</v>
      </c>
      <c r="M3111" s="23">
        <v>6</v>
      </c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>
        <v>19</v>
      </c>
      <c r="Z3111" s="23"/>
      <c r="AA3111" s="23"/>
      <c r="AB3111" s="23"/>
      <c r="AC3111" s="23"/>
      <c r="AD3111" s="23"/>
      <c r="AE3111" s="23"/>
      <c r="AF3111" s="23">
        <v>8</v>
      </c>
      <c r="AG3111" s="23"/>
      <c r="AH3111" s="23"/>
      <c r="AI3111" s="23"/>
      <c r="AJ3111" s="23">
        <v>16</v>
      </c>
      <c r="AK3111" s="23">
        <v>1</v>
      </c>
      <c r="AL3111" s="23"/>
      <c r="AM3111" s="23"/>
      <c r="AN3111" s="23"/>
      <c r="AO3111" s="23"/>
      <c r="AP3111" s="23">
        <v>6</v>
      </c>
      <c r="AQ3111" s="23">
        <v>13</v>
      </c>
      <c r="AR3111" s="23">
        <v>1</v>
      </c>
      <c r="AS3111" s="23">
        <v>5</v>
      </c>
      <c r="AT3111" s="23"/>
      <c r="AU3111" s="14" t="str">
        <f>HYPERLINK("http://www.openstreetmap.org/?mlat=31.8183&amp;mlon=44.9375&amp;zoom=12#map=12/31.8183/44.9375","Maplink1")</f>
        <v>Maplink1</v>
      </c>
      <c r="AV3111" s="14" t="str">
        <f>HYPERLINK("https://www.google.iq/maps/search/+31.8183,44.9375/@31.8183,44.9375,14z?hl=en","Maplink2")</f>
        <v>Maplink2</v>
      </c>
      <c r="AW3111" s="14" t="str">
        <f>HYPERLINK("http://www.bing.com/maps/?lvl=14&amp;sty=h&amp;cp=31.8183~44.9375&amp;sp=point.31.8183_44.9375_Al-subah","Maplink3")</f>
        <v>Maplink3</v>
      </c>
    </row>
    <row r="3112" spans="1:49" ht="15" customHeight="1" x14ac:dyDescent="0.25">
      <c r="A3112" s="21">
        <v>2539</v>
      </c>
      <c r="B3112" s="22" t="s">
        <v>22</v>
      </c>
      <c r="C3112" s="22" t="s">
        <v>6004</v>
      </c>
      <c r="D3112" s="22" t="s">
        <v>7382</v>
      </c>
      <c r="E3112" s="22" t="s">
        <v>6017</v>
      </c>
      <c r="F3112" s="22">
        <v>31.835277999999999</v>
      </c>
      <c r="G3112" s="22">
        <v>44.923333</v>
      </c>
      <c r="H3112" s="21" t="s">
        <v>5725</v>
      </c>
      <c r="I3112" s="21" t="s">
        <v>6005</v>
      </c>
      <c r="J3112" s="21" t="s">
        <v>6018</v>
      </c>
      <c r="K3112" s="24">
        <v>13</v>
      </c>
      <c r="L3112" s="24">
        <v>78</v>
      </c>
      <c r="M3112" s="23">
        <v>2</v>
      </c>
      <c r="N3112" s="23"/>
      <c r="O3112" s="23"/>
      <c r="P3112" s="23"/>
      <c r="Q3112" s="23"/>
      <c r="R3112" s="23"/>
      <c r="S3112" s="23"/>
      <c r="T3112" s="23"/>
      <c r="U3112" s="23">
        <v>1</v>
      </c>
      <c r="V3112" s="23"/>
      <c r="W3112" s="23"/>
      <c r="X3112" s="23"/>
      <c r="Y3112" s="23">
        <v>10</v>
      </c>
      <c r="Z3112" s="23"/>
      <c r="AA3112" s="23"/>
      <c r="AB3112" s="23"/>
      <c r="AC3112" s="23"/>
      <c r="AD3112" s="23"/>
      <c r="AE3112" s="23"/>
      <c r="AF3112" s="23">
        <v>3</v>
      </c>
      <c r="AG3112" s="23"/>
      <c r="AH3112" s="23"/>
      <c r="AI3112" s="23"/>
      <c r="AJ3112" s="23">
        <v>10</v>
      </c>
      <c r="AK3112" s="23"/>
      <c r="AL3112" s="23"/>
      <c r="AM3112" s="23"/>
      <c r="AN3112" s="23"/>
      <c r="AO3112" s="23"/>
      <c r="AP3112" s="23">
        <v>1</v>
      </c>
      <c r="AQ3112" s="23">
        <v>10</v>
      </c>
      <c r="AR3112" s="23">
        <v>2</v>
      </c>
      <c r="AS3112" s="23"/>
      <c r="AT3112" s="23"/>
      <c r="AU3112" s="14" t="str">
        <f>HYPERLINK("http://www.openstreetmap.org/?mlat=31.8353&amp;mlon=44.9233&amp;zoom=12#map=12/31.8353/44.9233","Maplink1")</f>
        <v>Maplink1</v>
      </c>
      <c r="AV3112" s="14" t="str">
        <f>HYPERLINK("https://www.google.iq/maps/search/+31.8353,44.9233/@31.8353,44.9233,14z?hl=en","Maplink2")</f>
        <v>Maplink2</v>
      </c>
      <c r="AW3112" s="14" t="str">
        <f>HYPERLINK("http://www.bing.com/maps/?lvl=14&amp;sty=h&amp;cp=31.8353~44.9233&amp;sp=point.31.8353_44.9233_Al-suraa","Maplink3")</f>
        <v>Maplink3</v>
      </c>
    </row>
    <row r="3113" spans="1:49" ht="15" customHeight="1" x14ac:dyDescent="0.25">
      <c r="A3113" s="21">
        <v>25282</v>
      </c>
      <c r="B3113" s="22" t="s">
        <v>22</v>
      </c>
      <c r="C3113" s="22" t="s">
        <v>6004</v>
      </c>
      <c r="D3113" s="22" t="s">
        <v>9048</v>
      </c>
      <c r="E3113" s="22" t="s">
        <v>6027</v>
      </c>
      <c r="F3113" s="22">
        <v>31.726877000000002</v>
      </c>
      <c r="G3113" s="22">
        <v>44.986932000000003</v>
      </c>
      <c r="H3113" s="21" t="s">
        <v>5725</v>
      </c>
      <c r="I3113" s="21" t="s">
        <v>6005</v>
      </c>
      <c r="J3113" s="21"/>
      <c r="K3113" s="24">
        <v>26</v>
      </c>
      <c r="L3113" s="24">
        <v>156</v>
      </c>
      <c r="M3113" s="23">
        <v>20</v>
      </c>
      <c r="N3113" s="23"/>
      <c r="O3113" s="23">
        <v>3</v>
      </c>
      <c r="P3113" s="23"/>
      <c r="Q3113" s="23"/>
      <c r="R3113" s="23"/>
      <c r="S3113" s="23"/>
      <c r="T3113" s="23"/>
      <c r="U3113" s="23"/>
      <c r="V3113" s="23"/>
      <c r="W3113" s="23"/>
      <c r="X3113" s="23"/>
      <c r="Y3113" s="23">
        <v>3</v>
      </c>
      <c r="Z3113" s="23"/>
      <c r="AA3113" s="23"/>
      <c r="AB3113" s="23"/>
      <c r="AC3113" s="23"/>
      <c r="AD3113" s="23"/>
      <c r="AE3113" s="23"/>
      <c r="AF3113" s="23">
        <v>10</v>
      </c>
      <c r="AG3113" s="23"/>
      <c r="AH3113" s="23"/>
      <c r="AI3113" s="23"/>
      <c r="AJ3113" s="23">
        <v>10</v>
      </c>
      <c r="AK3113" s="23">
        <v>6</v>
      </c>
      <c r="AL3113" s="23"/>
      <c r="AM3113" s="23"/>
      <c r="AN3113" s="23"/>
      <c r="AO3113" s="23"/>
      <c r="AP3113" s="23">
        <v>4</v>
      </c>
      <c r="AQ3113" s="23">
        <v>10</v>
      </c>
      <c r="AR3113" s="23">
        <v>7</v>
      </c>
      <c r="AS3113" s="23">
        <v>5</v>
      </c>
      <c r="AT3113" s="23"/>
      <c r="AU3113" s="14" t="str">
        <f>HYPERLINK("http://www.openstreetmap.org/?mlat=31.7269&amp;mlon=44.9869&amp;zoom=12#map=12/31.7269/44.9869","Maplink1")</f>
        <v>Maplink1</v>
      </c>
      <c r="AV3113" s="14" t="str">
        <f>HYPERLINK("https://www.google.iq/maps/search/+31.7269,44.9869/@31.7269,44.9869,14z?hl=en","Maplink2")</f>
        <v>Maplink2</v>
      </c>
      <c r="AW3113" s="14" t="str">
        <f>HYPERLINK("http://www.bing.com/maps/?lvl=14&amp;sty=h&amp;cp=31.7269~44.9869&amp;sp=point.31.7269_44.9869_Taraf Al-Sharqi","Maplink3")</f>
        <v>Maplink3</v>
      </c>
    </row>
    <row r="3114" spans="1:49" ht="15" customHeight="1" x14ac:dyDescent="0.25">
      <c r="A3114" s="21">
        <v>25286</v>
      </c>
      <c r="B3114" s="22" t="s">
        <v>22</v>
      </c>
      <c r="C3114" s="22" t="s">
        <v>6004</v>
      </c>
      <c r="D3114" s="22" t="s">
        <v>7383</v>
      </c>
      <c r="E3114" s="22" t="s">
        <v>6016</v>
      </c>
      <c r="F3114" s="22">
        <v>31.810972</v>
      </c>
      <c r="G3114" s="22">
        <v>44.943057000000003</v>
      </c>
      <c r="H3114" s="21" t="s">
        <v>5725</v>
      </c>
      <c r="I3114" s="21" t="s">
        <v>6005</v>
      </c>
      <c r="J3114" s="21"/>
      <c r="K3114" s="24">
        <v>7</v>
      </c>
      <c r="L3114" s="24">
        <v>42</v>
      </c>
      <c r="M3114" s="23">
        <v>3</v>
      </c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>
        <v>4</v>
      </c>
      <c r="Z3114" s="23"/>
      <c r="AA3114" s="23"/>
      <c r="AB3114" s="23"/>
      <c r="AC3114" s="23"/>
      <c r="AD3114" s="23"/>
      <c r="AE3114" s="23"/>
      <c r="AF3114" s="23">
        <v>4</v>
      </c>
      <c r="AG3114" s="23"/>
      <c r="AH3114" s="23"/>
      <c r="AI3114" s="23"/>
      <c r="AJ3114" s="23">
        <v>3</v>
      </c>
      <c r="AK3114" s="23"/>
      <c r="AL3114" s="23"/>
      <c r="AM3114" s="23"/>
      <c r="AN3114" s="23"/>
      <c r="AO3114" s="23"/>
      <c r="AP3114" s="23"/>
      <c r="AQ3114" s="23">
        <v>4</v>
      </c>
      <c r="AR3114" s="23">
        <v>3</v>
      </c>
      <c r="AS3114" s="23"/>
      <c r="AT3114" s="23"/>
      <c r="AU3114" s="14" t="str">
        <f>HYPERLINK("http://www.openstreetmap.org/?mlat=31.811&amp;mlon=44.9431&amp;zoom=12#map=12/31.811/44.9431","Maplink1")</f>
        <v>Maplink1</v>
      </c>
      <c r="AV3114" s="14" t="str">
        <f>HYPERLINK("https://www.google.iq/maps/search/+31.811,44.9431/@31.811,44.9431,14z?hl=en","Maplink2")</f>
        <v>Maplink2</v>
      </c>
      <c r="AW3114" s="14" t="str">
        <f>HYPERLINK("http://www.bing.com/maps/?lvl=14&amp;sty=h&amp;cp=31.811~44.9431&amp;sp=point.31.811_44.9431_Al-Sudair-Ali Al-Salman Village","Maplink3")</f>
        <v>Maplink3</v>
      </c>
    </row>
    <row r="3115" spans="1:49" ht="15" customHeight="1" x14ac:dyDescent="0.25">
      <c r="A3115" s="21">
        <v>24618</v>
      </c>
      <c r="B3115" s="22" t="s">
        <v>22</v>
      </c>
      <c r="C3115" s="22" t="s">
        <v>6004</v>
      </c>
      <c r="D3115" s="22" t="s">
        <v>7384</v>
      </c>
      <c r="E3115" s="22" t="s">
        <v>438</v>
      </c>
      <c r="F3115" s="22">
        <v>31.613285000000001</v>
      </c>
      <c r="G3115" s="22">
        <v>44.752130000000001</v>
      </c>
      <c r="H3115" s="21" t="s">
        <v>5725</v>
      </c>
      <c r="I3115" s="21" t="s">
        <v>6005</v>
      </c>
      <c r="J3115" s="21"/>
      <c r="K3115" s="24">
        <v>31</v>
      </c>
      <c r="L3115" s="24">
        <v>186</v>
      </c>
      <c r="M3115" s="23">
        <v>7</v>
      </c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>
        <v>24</v>
      </c>
      <c r="Z3115" s="23"/>
      <c r="AA3115" s="23"/>
      <c r="AB3115" s="23"/>
      <c r="AC3115" s="23"/>
      <c r="AD3115" s="23"/>
      <c r="AE3115" s="23"/>
      <c r="AF3115" s="23">
        <v>19</v>
      </c>
      <c r="AG3115" s="23"/>
      <c r="AH3115" s="23"/>
      <c r="AI3115" s="23"/>
      <c r="AJ3115" s="23"/>
      <c r="AK3115" s="23">
        <v>12</v>
      </c>
      <c r="AL3115" s="23"/>
      <c r="AM3115" s="23"/>
      <c r="AN3115" s="23"/>
      <c r="AO3115" s="23"/>
      <c r="AP3115" s="23">
        <v>14</v>
      </c>
      <c r="AQ3115" s="23">
        <v>17</v>
      </c>
      <c r="AR3115" s="23"/>
      <c r="AS3115" s="23"/>
      <c r="AT3115" s="23"/>
      <c r="AU3115" s="14" t="str">
        <f>HYPERLINK("http://www.openstreetmap.org/?mlat=31.6133&amp;mlon=44.7521&amp;zoom=12#map=12/31.6133/44.7521","Maplink1")</f>
        <v>Maplink1</v>
      </c>
      <c r="AV3115" s="14" t="str">
        <f>HYPERLINK("https://www.google.iq/maps/search/+31.6133,44.7521/@31.6133,44.7521,14z?hl=en","Maplink2")</f>
        <v>Maplink2</v>
      </c>
      <c r="AW3115" s="14" t="str">
        <f>HYPERLINK("http://www.bing.com/maps/?lvl=14&amp;sty=h&amp;cp=31.6133~44.7521&amp;sp=point.31.6133_44.7521_Hay Al saray-Al Shanafiyah Area","Maplink3")</f>
        <v>Maplink3</v>
      </c>
    </row>
    <row r="3116" spans="1:49" ht="15" customHeight="1" x14ac:dyDescent="0.25">
      <c r="A3116" s="21">
        <v>25285</v>
      </c>
      <c r="B3116" s="22" t="s">
        <v>22</v>
      </c>
      <c r="C3116" s="22" t="s">
        <v>6004</v>
      </c>
      <c r="D3116" s="22" t="s">
        <v>4565</v>
      </c>
      <c r="E3116" s="22" t="s">
        <v>120</v>
      </c>
      <c r="F3116" s="22">
        <v>31.824667999999999</v>
      </c>
      <c r="G3116" s="22">
        <v>44.946330000000003</v>
      </c>
      <c r="H3116" s="21" t="s">
        <v>5725</v>
      </c>
      <c r="I3116" s="21" t="s">
        <v>6005</v>
      </c>
      <c r="J3116" s="21"/>
      <c r="K3116" s="24">
        <v>38</v>
      </c>
      <c r="L3116" s="24">
        <v>228</v>
      </c>
      <c r="M3116" s="23">
        <v>9</v>
      </c>
      <c r="N3116" s="23"/>
      <c r="O3116" s="23"/>
      <c r="P3116" s="23"/>
      <c r="Q3116" s="23"/>
      <c r="R3116" s="23"/>
      <c r="S3116" s="23"/>
      <c r="T3116" s="23"/>
      <c r="U3116" s="23">
        <v>3</v>
      </c>
      <c r="V3116" s="23"/>
      <c r="W3116" s="23"/>
      <c r="X3116" s="23"/>
      <c r="Y3116" s="23">
        <v>26</v>
      </c>
      <c r="Z3116" s="23"/>
      <c r="AA3116" s="23"/>
      <c r="AB3116" s="23"/>
      <c r="AC3116" s="23"/>
      <c r="AD3116" s="23"/>
      <c r="AE3116" s="23"/>
      <c r="AF3116" s="23">
        <v>4</v>
      </c>
      <c r="AG3116" s="23"/>
      <c r="AH3116" s="23"/>
      <c r="AI3116" s="23"/>
      <c r="AJ3116" s="23">
        <v>22</v>
      </c>
      <c r="AK3116" s="23">
        <v>12</v>
      </c>
      <c r="AL3116" s="23"/>
      <c r="AM3116" s="23"/>
      <c r="AN3116" s="23"/>
      <c r="AO3116" s="23"/>
      <c r="AP3116" s="23">
        <v>11</v>
      </c>
      <c r="AQ3116" s="23">
        <v>18</v>
      </c>
      <c r="AR3116" s="23">
        <v>7</v>
      </c>
      <c r="AS3116" s="23">
        <v>2</v>
      </c>
      <c r="AT3116" s="23"/>
      <c r="AU3116" s="14" t="str">
        <f>HYPERLINK("http://www.openstreetmap.org/?mlat=31.8247&amp;mlon=44.9463&amp;zoom=12#map=12/31.8247/44.9463","Maplink1")</f>
        <v>Maplink1</v>
      </c>
      <c r="AV3116" s="14" t="str">
        <f>HYPERLINK("https://www.google.iq/maps/search/+31.8247,44.9463/@31.8247,44.9463,14z?hl=en","Maplink2")</f>
        <v>Maplink2</v>
      </c>
      <c r="AW3116" s="14" t="str">
        <f>HYPERLINK("http://www.bing.com/maps/?lvl=14&amp;sty=h&amp;cp=31.8247~44.9463&amp;sp=point.31.8247_44.9463_Al-Sudair-Hay Al-Askary","Maplink3")</f>
        <v>Maplink3</v>
      </c>
    </row>
    <row r="3117" spans="1:49" ht="15" customHeight="1" x14ac:dyDescent="0.25">
      <c r="A3117" s="21">
        <v>25564</v>
      </c>
      <c r="B3117" s="22" t="s">
        <v>22</v>
      </c>
      <c r="C3117" s="22" t="s">
        <v>6004</v>
      </c>
      <c r="D3117" s="22" t="s">
        <v>6019</v>
      </c>
      <c r="E3117" s="22" t="s">
        <v>6020</v>
      </c>
      <c r="F3117" s="22">
        <v>31.822616</v>
      </c>
      <c r="G3117" s="22">
        <v>44.951253999999999</v>
      </c>
      <c r="H3117" s="21" t="s">
        <v>5725</v>
      </c>
      <c r="I3117" s="21" t="s">
        <v>6005</v>
      </c>
      <c r="J3117" s="21"/>
      <c r="K3117" s="24">
        <v>11</v>
      </c>
      <c r="L3117" s="24">
        <v>66</v>
      </c>
      <c r="M3117" s="23">
        <v>5</v>
      </c>
      <c r="N3117" s="23"/>
      <c r="O3117" s="23"/>
      <c r="P3117" s="23"/>
      <c r="Q3117" s="23"/>
      <c r="R3117" s="23"/>
      <c r="S3117" s="23"/>
      <c r="T3117" s="23"/>
      <c r="U3117" s="23">
        <v>3</v>
      </c>
      <c r="V3117" s="23"/>
      <c r="W3117" s="23"/>
      <c r="X3117" s="23"/>
      <c r="Y3117" s="23">
        <v>3</v>
      </c>
      <c r="Z3117" s="23"/>
      <c r="AA3117" s="23"/>
      <c r="AB3117" s="23"/>
      <c r="AC3117" s="23"/>
      <c r="AD3117" s="23"/>
      <c r="AE3117" s="23"/>
      <c r="AF3117" s="23">
        <v>3</v>
      </c>
      <c r="AG3117" s="23"/>
      <c r="AH3117" s="23"/>
      <c r="AI3117" s="23"/>
      <c r="AJ3117" s="23">
        <v>2</v>
      </c>
      <c r="AK3117" s="23">
        <v>6</v>
      </c>
      <c r="AL3117" s="23"/>
      <c r="AM3117" s="23"/>
      <c r="AN3117" s="23"/>
      <c r="AO3117" s="23"/>
      <c r="AP3117" s="23">
        <v>7</v>
      </c>
      <c r="AQ3117" s="23">
        <v>3</v>
      </c>
      <c r="AR3117" s="23">
        <v>1</v>
      </c>
      <c r="AS3117" s="23"/>
      <c r="AT3117" s="23"/>
      <c r="AU3117" s="14" t="str">
        <f>HYPERLINK("http://www.openstreetmap.org/?mlat=31.8226&amp;mlon=44.9513&amp;zoom=12#map=12/31.8226/44.9513","Maplink1")</f>
        <v>Maplink1</v>
      </c>
      <c r="AV3117" s="14" t="str">
        <f>HYPERLINK("https://www.google.iq/maps/search/+31.8226,44.9513/@31.8226,44.9513,14z?hl=en","Maplink2")</f>
        <v>Maplink2</v>
      </c>
      <c r="AW3117" s="14" t="str">
        <f>HYPERLINK("http://www.bing.com/maps/?lvl=14&amp;sty=h&amp;cp=31.8226~44.9513&amp;sp=point.31.8226_44.9513_Hay Al-Hur","Maplink3")</f>
        <v>Maplink3</v>
      </c>
    </row>
    <row r="3118" spans="1:49" ht="15" customHeight="1" x14ac:dyDescent="0.25">
      <c r="A3118" s="21">
        <v>22000</v>
      </c>
      <c r="B3118" s="22" t="s">
        <v>22</v>
      </c>
      <c r="C3118" s="22" t="s">
        <v>6004</v>
      </c>
      <c r="D3118" s="22" t="s">
        <v>6021</v>
      </c>
      <c r="E3118" s="22" t="s">
        <v>995</v>
      </c>
      <c r="F3118" s="22">
        <v>31.714269999999999</v>
      </c>
      <c r="G3118" s="22">
        <v>44.967457000000003</v>
      </c>
      <c r="H3118" s="21" t="s">
        <v>5725</v>
      </c>
      <c r="I3118" s="21" t="s">
        <v>6005</v>
      </c>
      <c r="J3118" s="21" t="s">
        <v>6022</v>
      </c>
      <c r="K3118" s="24">
        <v>71</v>
      </c>
      <c r="L3118" s="24">
        <v>426</v>
      </c>
      <c r="M3118" s="23">
        <v>41</v>
      </c>
      <c r="N3118" s="23"/>
      <c r="O3118" s="23"/>
      <c r="P3118" s="23"/>
      <c r="Q3118" s="23"/>
      <c r="R3118" s="23"/>
      <c r="S3118" s="23"/>
      <c r="T3118" s="23"/>
      <c r="U3118" s="23">
        <v>6</v>
      </c>
      <c r="V3118" s="23"/>
      <c r="W3118" s="23"/>
      <c r="X3118" s="23"/>
      <c r="Y3118" s="23">
        <v>24</v>
      </c>
      <c r="Z3118" s="23"/>
      <c r="AA3118" s="23"/>
      <c r="AB3118" s="23"/>
      <c r="AC3118" s="23"/>
      <c r="AD3118" s="23"/>
      <c r="AE3118" s="23"/>
      <c r="AF3118" s="23">
        <v>14</v>
      </c>
      <c r="AG3118" s="23"/>
      <c r="AH3118" s="23"/>
      <c r="AI3118" s="23"/>
      <c r="AJ3118" s="23">
        <v>10</v>
      </c>
      <c r="AK3118" s="23">
        <v>47</v>
      </c>
      <c r="AL3118" s="23"/>
      <c r="AM3118" s="23"/>
      <c r="AN3118" s="23"/>
      <c r="AO3118" s="23"/>
      <c r="AP3118" s="23">
        <v>6</v>
      </c>
      <c r="AQ3118" s="23">
        <v>24</v>
      </c>
      <c r="AR3118" s="23">
        <v>29</v>
      </c>
      <c r="AS3118" s="23">
        <v>12</v>
      </c>
      <c r="AT3118" s="23"/>
      <c r="AU3118" s="14" t="str">
        <f>HYPERLINK("http://www.openstreetmap.org/?mlat=31.7143&amp;mlon=44.9701&amp;zoom=12#map=12/31.7143/44.9701","Maplink1")</f>
        <v>Maplink1</v>
      </c>
      <c r="AV3118" s="14" t="str">
        <f>HYPERLINK("https://www.google.iq/maps/search/+31.7143,44.9701/@31.7143,44.9701,14z?hl=en","Maplink2")</f>
        <v>Maplink2</v>
      </c>
      <c r="AW3118" s="14" t="str">
        <f>HYPERLINK("http://www.bing.com/maps/?lvl=14&amp;sty=h&amp;cp=31.7143~44.9701&amp;sp=point.31.7143_44.9701_Hay Hussain","Maplink3")</f>
        <v>Maplink3</v>
      </c>
    </row>
    <row r="3119" spans="1:49" ht="15" customHeight="1" x14ac:dyDescent="0.25">
      <c r="A3119" s="21">
        <v>24582</v>
      </c>
      <c r="B3119" s="22" t="s">
        <v>22</v>
      </c>
      <c r="C3119" s="22" t="s">
        <v>6004</v>
      </c>
      <c r="D3119" s="22" t="s">
        <v>9049</v>
      </c>
      <c r="E3119" s="22" t="s">
        <v>6006</v>
      </c>
      <c r="F3119" s="22">
        <v>31.732690000000002</v>
      </c>
      <c r="G3119" s="22">
        <v>44.982225999999997</v>
      </c>
      <c r="H3119" s="21" t="s">
        <v>5725</v>
      </c>
      <c r="I3119" s="21" t="s">
        <v>6005</v>
      </c>
      <c r="J3119" s="21"/>
      <c r="K3119" s="24">
        <v>50</v>
      </c>
      <c r="L3119" s="24">
        <v>300</v>
      </c>
      <c r="M3119" s="23">
        <v>7</v>
      </c>
      <c r="N3119" s="23"/>
      <c r="O3119" s="23"/>
      <c r="P3119" s="23"/>
      <c r="Q3119" s="23"/>
      <c r="R3119" s="23">
        <v>2</v>
      </c>
      <c r="S3119" s="23"/>
      <c r="T3119" s="23"/>
      <c r="U3119" s="23"/>
      <c r="V3119" s="23"/>
      <c r="W3119" s="23"/>
      <c r="X3119" s="23"/>
      <c r="Y3119" s="23">
        <v>41</v>
      </c>
      <c r="Z3119" s="23"/>
      <c r="AA3119" s="23"/>
      <c r="AB3119" s="23"/>
      <c r="AC3119" s="23"/>
      <c r="AD3119" s="23"/>
      <c r="AE3119" s="23"/>
      <c r="AF3119" s="23">
        <v>6</v>
      </c>
      <c r="AG3119" s="23"/>
      <c r="AH3119" s="23"/>
      <c r="AI3119" s="23"/>
      <c r="AJ3119" s="23">
        <v>21</v>
      </c>
      <c r="AK3119" s="23">
        <v>23</v>
      </c>
      <c r="AL3119" s="23"/>
      <c r="AM3119" s="23"/>
      <c r="AN3119" s="23"/>
      <c r="AO3119" s="23"/>
      <c r="AP3119" s="23">
        <v>7</v>
      </c>
      <c r="AQ3119" s="23">
        <v>36</v>
      </c>
      <c r="AR3119" s="23">
        <v>7</v>
      </c>
      <c r="AS3119" s="23"/>
      <c r="AT3119" s="23"/>
      <c r="AU3119" s="14" t="str">
        <f>HYPERLINK("http://www.openstreetmap.org/?mlat=31.7289&amp;mlon=44.9822&amp;zoom=12#map=12/31.7289/44.9822","Maplink1")</f>
        <v>Maplink1</v>
      </c>
      <c r="AV3119" s="14" t="str">
        <f>HYPERLINK("https://www.google.iq/maps/search/+31.7289,44.9822/@31.7289,44.9822,14z?hl=en","Maplink2")</f>
        <v>Maplink2</v>
      </c>
      <c r="AW3119" s="14" t="str">
        <f>HYPERLINK("http://www.bing.com/maps/?lvl=14&amp;sty=h&amp;cp=31.7289~44.9822&amp;sp=point.31.7289_44.9822_Al-Giwam","Maplink3")</f>
        <v>Maplink3</v>
      </c>
    </row>
    <row r="3120" spans="1:49" ht="15" customHeight="1" x14ac:dyDescent="0.25">
      <c r="A3120" s="21">
        <v>25284</v>
      </c>
      <c r="B3120" s="22" t="s">
        <v>22</v>
      </c>
      <c r="C3120" s="22" t="s">
        <v>6004</v>
      </c>
      <c r="D3120" s="22" t="s">
        <v>6023</v>
      </c>
      <c r="E3120" s="22" t="s">
        <v>6024</v>
      </c>
      <c r="F3120" s="22">
        <v>31.733919</v>
      </c>
      <c r="G3120" s="22">
        <v>44.981332999999999</v>
      </c>
      <c r="H3120" s="21" t="s">
        <v>5725</v>
      </c>
      <c r="I3120" s="21" t="s">
        <v>6005</v>
      </c>
      <c r="J3120" s="21"/>
      <c r="K3120" s="24">
        <v>42</v>
      </c>
      <c r="L3120" s="24">
        <v>252</v>
      </c>
      <c r="M3120" s="23">
        <v>10</v>
      </c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>
        <v>32</v>
      </c>
      <c r="Z3120" s="23"/>
      <c r="AA3120" s="23"/>
      <c r="AB3120" s="23"/>
      <c r="AC3120" s="23"/>
      <c r="AD3120" s="23"/>
      <c r="AE3120" s="23"/>
      <c r="AF3120" s="23">
        <v>16</v>
      </c>
      <c r="AG3120" s="23"/>
      <c r="AH3120" s="23"/>
      <c r="AI3120" s="23"/>
      <c r="AJ3120" s="23">
        <v>10</v>
      </c>
      <c r="AK3120" s="23">
        <v>16</v>
      </c>
      <c r="AL3120" s="23"/>
      <c r="AM3120" s="23"/>
      <c r="AN3120" s="23"/>
      <c r="AO3120" s="23"/>
      <c r="AP3120" s="23">
        <v>10</v>
      </c>
      <c r="AQ3120" s="23">
        <v>27</v>
      </c>
      <c r="AR3120" s="23">
        <v>5</v>
      </c>
      <c r="AS3120" s="23"/>
      <c r="AT3120" s="23"/>
      <c r="AU3120" s="14" t="str">
        <f>HYPERLINK("http://www.openstreetmap.org/?mlat=31.7339&amp;mlon=44.9813&amp;zoom=12#map=12/31.7339/44.9813","Maplink1")</f>
        <v>Maplink1</v>
      </c>
      <c r="AV3120" s="14" t="str">
        <f>HYPERLINK("https://www.google.iq/maps/search/+31.7339,44.9813/@31.7339,44.9813,14z?hl=en","Maplink2")</f>
        <v>Maplink2</v>
      </c>
      <c r="AW3120" s="14" t="str">
        <f>HYPERLINK("http://www.bing.com/maps/?lvl=14&amp;sty=h&amp;cp=31.7339~44.9813&amp;sp=point.31.7339_44.9813_Salim village","Maplink3")</f>
        <v>Maplink3</v>
      </c>
    </row>
    <row r="3121" spans="1:49" ht="15" customHeight="1" x14ac:dyDescent="0.25">
      <c r="A3121" s="21">
        <v>25281</v>
      </c>
      <c r="B3121" s="22" t="s">
        <v>22</v>
      </c>
      <c r="C3121" s="22" t="s">
        <v>6004</v>
      </c>
      <c r="D3121" s="22" t="s">
        <v>6025</v>
      </c>
      <c r="E3121" s="22" t="s">
        <v>6026</v>
      </c>
      <c r="F3121" s="22">
        <v>31.662026999999998</v>
      </c>
      <c r="G3121" s="22">
        <v>45.009269000000003</v>
      </c>
      <c r="H3121" s="21" t="s">
        <v>5725</v>
      </c>
      <c r="I3121" s="21" t="s">
        <v>6005</v>
      </c>
      <c r="J3121" s="21"/>
      <c r="K3121" s="24">
        <v>29</v>
      </c>
      <c r="L3121" s="24">
        <v>174</v>
      </c>
      <c r="M3121" s="23">
        <v>7</v>
      </c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>
        <v>22</v>
      </c>
      <c r="Z3121" s="23"/>
      <c r="AA3121" s="23"/>
      <c r="AB3121" s="23"/>
      <c r="AC3121" s="23"/>
      <c r="AD3121" s="23"/>
      <c r="AE3121" s="23"/>
      <c r="AF3121" s="23">
        <v>8</v>
      </c>
      <c r="AG3121" s="23"/>
      <c r="AH3121" s="23"/>
      <c r="AI3121" s="23"/>
      <c r="AJ3121" s="23">
        <v>21</v>
      </c>
      <c r="AK3121" s="23"/>
      <c r="AL3121" s="23"/>
      <c r="AM3121" s="23"/>
      <c r="AN3121" s="23"/>
      <c r="AO3121" s="23"/>
      <c r="AP3121" s="23">
        <v>10</v>
      </c>
      <c r="AQ3121" s="23">
        <v>12</v>
      </c>
      <c r="AR3121" s="23">
        <v>7</v>
      </c>
      <c r="AS3121" s="23"/>
      <c r="AT3121" s="23"/>
      <c r="AU3121" s="14" t="str">
        <f>HYPERLINK("http://www.openstreetmap.org/?mlat=31.662&amp;mlon=45.0093&amp;zoom=12#map=12/31.662/45.0093","Maplink1")</f>
        <v>Maplink1</v>
      </c>
      <c r="AV3121" s="14" t="str">
        <f>HYPERLINK("https://www.google.iq/maps/search/+31.662,45.0093/@31.662,45.0093,14z?hl=en","Maplink2")</f>
        <v>Maplink2</v>
      </c>
      <c r="AW3121" s="14" t="str">
        <f>HYPERLINK("http://www.bing.com/maps/?lvl=14&amp;sty=h&amp;cp=31.662~45.0093&amp;sp=point.31.662_45.0093_Tabu","Maplink3")</f>
        <v>Maplink3</v>
      </c>
    </row>
    <row r="3122" spans="1:49" ht="15" customHeight="1" x14ac:dyDescent="0.25">
      <c r="A3122" s="21">
        <v>26116</v>
      </c>
      <c r="B3122" s="22" t="s">
        <v>23</v>
      </c>
      <c r="C3122" s="22" t="s">
        <v>8236</v>
      </c>
      <c r="D3122" s="22" t="s">
        <v>8237</v>
      </c>
      <c r="E3122" s="22" t="s">
        <v>5849</v>
      </c>
      <c r="F3122" s="22">
        <v>34.407308469999997</v>
      </c>
      <c r="G3122" s="22">
        <v>43.79371673</v>
      </c>
      <c r="H3122" s="21" t="s">
        <v>6031</v>
      </c>
      <c r="I3122" s="21" t="s">
        <v>8238</v>
      </c>
      <c r="J3122" s="21"/>
      <c r="K3122" s="24">
        <v>60</v>
      </c>
      <c r="L3122" s="24">
        <v>360</v>
      </c>
      <c r="M3122" s="23"/>
      <c r="N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  <c r="AA3122" s="23">
        <v>60</v>
      </c>
      <c r="AB3122" s="23"/>
      <c r="AC3122" s="23"/>
      <c r="AD3122" s="23"/>
      <c r="AE3122" s="23"/>
      <c r="AF3122" s="23">
        <v>60</v>
      </c>
      <c r="AG3122" s="23"/>
      <c r="AH3122" s="23"/>
      <c r="AI3122" s="23"/>
      <c r="AJ3122" s="23"/>
      <c r="AK3122" s="23"/>
      <c r="AL3122" s="23"/>
      <c r="AM3122" s="23"/>
      <c r="AN3122" s="23"/>
      <c r="AO3122" s="23"/>
      <c r="AP3122" s="23"/>
      <c r="AQ3122" s="23"/>
      <c r="AR3122" s="23"/>
      <c r="AS3122" s="23"/>
      <c r="AT3122" s="23">
        <v>60</v>
      </c>
      <c r="AU3122" s="14" t="str">
        <f>HYPERLINK("http://www.openstreetmap.org/?mlat=34.405&amp;mlon=43.7884&amp;zoom=12#map=12/34.405/43.7884","Maplink1")</f>
        <v>Maplink1</v>
      </c>
      <c r="AV3122" s="14" t="str">
        <f>HYPERLINK("https://www.google.iq/maps/search/+34.405,43.7884/@34.405,43.7884,14z?hl=en","Maplink2")</f>
        <v>Maplink2</v>
      </c>
      <c r="AW3122" s="14" t="str">
        <f>HYPERLINK("http://www.bing.com/maps/?lvl=14&amp;sty=h&amp;cp=34.405~43.7884&amp;sp=point.34.405_43.7884_Al-mujammaa Al-sakani","Maplink3")</f>
        <v>Maplink3</v>
      </c>
    </row>
    <row r="3123" spans="1:49" ht="15" customHeight="1" x14ac:dyDescent="0.25">
      <c r="A3123" s="21">
        <v>20584</v>
      </c>
      <c r="B3123" s="22" t="s">
        <v>23</v>
      </c>
      <c r="C3123" s="22" t="s">
        <v>8236</v>
      </c>
      <c r="D3123" s="22" t="s">
        <v>8239</v>
      </c>
      <c r="E3123" s="22" t="s">
        <v>9050</v>
      </c>
      <c r="F3123" s="22">
        <v>34.4527</v>
      </c>
      <c r="G3123" s="22">
        <v>43.800199999999997</v>
      </c>
      <c r="H3123" s="21" t="s">
        <v>6031</v>
      </c>
      <c r="I3123" s="21" t="s">
        <v>8238</v>
      </c>
      <c r="J3123" s="21" t="s">
        <v>8240</v>
      </c>
      <c r="K3123" s="24">
        <v>4</v>
      </c>
      <c r="L3123" s="24">
        <v>24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>
        <v>4</v>
      </c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>
        <v>4</v>
      </c>
      <c r="AM3123" s="23"/>
      <c r="AN3123" s="23"/>
      <c r="AO3123" s="23"/>
      <c r="AP3123" s="23"/>
      <c r="AQ3123" s="23"/>
      <c r="AR3123" s="23"/>
      <c r="AS3123" s="23"/>
      <c r="AT3123" s="23">
        <v>4</v>
      </c>
      <c r="AU3123" s="14" t="str">
        <f>HYPERLINK("http://www.openstreetmap.org/?mlat=34.4527&amp;mlon=43.8002&amp;zoom=12#map=12/34.4527/43.8002","Maplink1")</f>
        <v>Maplink1</v>
      </c>
      <c r="AV3123" s="14" t="str">
        <f>HYPERLINK("https://www.google.iq/maps/search/+34.4527,43.8002/@34.4527,43.8002,14z?hl=en","Maplink2")</f>
        <v>Maplink2</v>
      </c>
      <c r="AW3123" s="14" t="str">
        <f>HYPERLINK("http://www.bing.com/maps/?lvl=14&amp;sty=h&amp;cp=34.4527~43.8002&amp;sp=point.34.4527_43.8002_Door Al Gharbiya","Maplink3")</f>
        <v>Maplink3</v>
      </c>
    </row>
    <row r="3124" spans="1:49" ht="15" customHeight="1" x14ac:dyDescent="0.25">
      <c r="A3124" s="21">
        <v>26077</v>
      </c>
      <c r="B3124" s="22" t="s">
        <v>23</v>
      </c>
      <c r="C3124" s="22" t="s">
        <v>8236</v>
      </c>
      <c r="D3124" s="22" t="s">
        <v>9051</v>
      </c>
      <c r="E3124" s="22" t="s">
        <v>9052</v>
      </c>
      <c r="F3124" s="22">
        <v>34.446231679999997</v>
      </c>
      <c r="G3124" s="22">
        <v>43.797421450000002</v>
      </c>
      <c r="H3124" s="21" t="s">
        <v>6031</v>
      </c>
      <c r="I3124" s="21" t="s">
        <v>8238</v>
      </c>
      <c r="J3124" s="21"/>
      <c r="K3124" s="24">
        <v>4</v>
      </c>
      <c r="L3124" s="24">
        <v>24</v>
      </c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>
        <v>4</v>
      </c>
      <c r="AB3124" s="23"/>
      <c r="AC3124" s="23"/>
      <c r="AD3124" s="23"/>
      <c r="AE3124" s="23"/>
      <c r="AF3124" s="23"/>
      <c r="AG3124" s="23"/>
      <c r="AH3124" s="23"/>
      <c r="AI3124" s="23"/>
      <c r="AJ3124" s="23"/>
      <c r="AK3124" s="23">
        <v>4</v>
      </c>
      <c r="AL3124" s="23"/>
      <c r="AM3124" s="23"/>
      <c r="AN3124" s="23"/>
      <c r="AO3124" s="23"/>
      <c r="AP3124" s="23"/>
      <c r="AQ3124" s="23"/>
      <c r="AR3124" s="23"/>
      <c r="AS3124" s="23"/>
      <c r="AT3124" s="23">
        <v>4</v>
      </c>
      <c r="AU3124" s="14" t="str">
        <f>HYPERLINK("http://www.openstreetmap.org/?mlat=34.453&amp;mlon=43.7984&amp;zoom=12#map=12/34.453/43.7984","Maplink1")</f>
        <v>Maplink1</v>
      </c>
      <c r="AV3124" s="14" t="str">
        <f>HYPERLINK("https://www.google.iq/maps/search/+34.453,43.7984/@34.453,43.7984,14z?hl=en","Maplink2")</f>
        <v>Maplink2</v>
      </c>
      <c r="AW3124" s="14" t="str">
        <f>HYPERLINK("http://www.bing.com/maps/?lvl=14&amp;sty=h&amp;cp=34.453~43.7984&amp;sp=point.34.453_43.7984_Hay Tal Al-banat","Maplink3")</f>
        <v>Maplink3</v>
      </c>
    </row>
    <row r="3125" spans="1:49" ht="15" customHeight="1" x14ac:dyDescent="0.25">
      <c r="A3125" s="21">
        <v>20981</v>
      </c>
      <c r="B3125" s="22" t="s">
        <v>23</v>
      </c>
      <c r="C3125" s="22" t="s">
        <v>6028</v>
      </c>
      <c r="D3125" s="22" t="s">
        <v>6029</v>
      </c>
      <c r="E3125" s="22" t="s">
        <v>6030</v>
      </c>
      <c r="F3125" s="22">
        <v>33.740893200000002</v>
      </c>
      <c r="G3125" s="22">
        <v>44.267094239999999</v>
      </c>
      <c r="H3125" s="21" t="s">
        <v>6031</v>
      </c>
      <c r="I3125" s="21" t="s">
        <v>6032</v>
      </c>
      <c r="J3125" s="21" t="s">
        <v>6033</v>
      </c>
      <c r="K3125" s="24">
        <v>25</v>
      </c>
      <c r="L3125" s="24">
        <v>150</v>
      </c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>
        <v>25</v>
      </c>
      <c r="Z3125" s="23"/>
      <c r="AA3125" s="23"/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>
        <v>25</v>
      </c>
      <c r="AL3125" s="23"/>
      <c r="AM3125" s="23"/>
      <c r="AN3125" s="23"/>
      <c r="AO3125" s="23"/>
      <c r="AP3125" s="23">
        <v>25</v>
      </c>
      <c r="AQ3125" s="23"/>
      <c r="AR3125" s="23"/>
      <c r="AS3125" s="23"/>
      <c r="AT3125" s="23"/>
      <c r="AU3125" s="14" t="str">
        <f>HYPERLINK("http://www.openstreetmap.org/?mlat=33.8435&amp;mlon=44.2337&amp;zoom=12#map=12/33.8435/44.2337","Maplink1")</f>
        <v>Maplink1</v>
      </c>
      <c r="AV3125" s="14" t="str">
        <f>HYPERLINK("https://www.google.iq/maps/search/+33.8435,44.2337/@33.8435,44.2337,14z?hl=en","Maplink2")</f>
        <v>Maplink2</v>
      </c>
      <c r="AW3125" s="14" t="str">
        <f>HYPERLINK("http://www.bing.com/maps/?lvl=14&amp;sty=h&amp;cp=33.8435~44.2337&amp;sp=point.33.8435_44.2337_14 Ramadhan","Maplink3")</f>
        <v>Maplink3</v>
      </c>
    </row>
    <row r="3126" spans="1:49" ht="15" customHeight="1" x14ac:dyDescent="0.25">
      <c r="A3126" s="21">
        <v>25916</v>
      </c>
      <c r="B3126" s="22" t="s">
        <v>23</v>
      </c>
      <c r="C3126" s="22" t="s">
        <v>6028</v>
      </c>
      <c r="D3126" s="22" t="s">
        <v>6034</v>
      </c>
      <c r="E3126" s="22" t="s">
        <v>6035</v>
      </c>
      <c r="F3126" s="22">
        <v>33.909314729999998</v>
      </c>
      <c r="G3126" s="22">
        <v>44.198071540000001</v>
      </c>
      <c r="H3126" s="21" t="s">
        <v>6031</v>
      </c>
      <c r="I3126" s="21" t="s">
        <v>6032</v>
      </c>
      <c r="J3126" s="21"/>
      <c r="K3126" s="24">
        <v>200</v>
      </c>
      <c r="L3126" s="24">
        <v>1200</v>
      </c>
      <c r="M3126" s="23">
        <v>75</v>
      </c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>
        <v>125</v>
      </c>
      <c r="AB3126" s="23"/>
      <c r="AC3126" s="23"/>
      <c r="AD3126" s="23"/>
      <c r="AE3126" s="23"/>
      <c r="AF3126" s="23">
        <v>20</v>
      </c>
      <c r="AG3126" s="23"/>
      <c r="AH3126" s="23">
        <v>50</v>
      </c>
      <c r="AI3126" s="23"/>
      <c r="AJ3126" s="23"/>
      <c r="AK3126" s="23">
        <v>75</v>
      </c>
      <c r="AL3126" s="23"/>
      <c r="AM3126" s="23">
        <v>55</v>
      </c>
      <c r="AN3126" s="23"/>
      <c r="AO3126" s="23">
        <v>60</v>
      </c>
      <c r="AP3126" s="23"/>
      <c r="AQ3126" s="23">
        <v>35</v>
      </c>
      <c r="AR3126" s="23">
        <v>105</v>
      </c>
      <c r="AS3126" s="23"/>
      <c r="AT3126" s="23"/>
      <c r="AU3126" s="14" t="str">
        <f>HYPERLINK("http://www.openstreetmap.org/?mlat=33.8131&amp;mlon=44.2591&amp;zoom=12#map=12/33.8131/44.2591","Maplink1")</f>
        <v>Maplink1</v>
      </c>
      <c r="AV3126" s="14" t="str">
        <f>HYPERLINK("https://www.google.iq/maps/search/+33.8131,44.2591/@33.8131,44.2591,14z?hl=en","Maplink2")</f>
        <v>Maplink2</v>
      </c>
      <c r="AW3126" s="14" t="str">
        <f>HYPERLINK("http://www.bing.com/maps/?lvl=14&amp;sty=h&amp;cp=33.8131~44.2591&amp;sp=point.33.8131_44.2591_Al Sejla village","Maplink3")</f>
        <v>Maplink3</v>
      </c>
    </row>
    <row r="3127" spans="1:49" ht="15" customHeight="1" x14ac:dyDescent="0.25">
      <c r="A3127" s="21">
        <v>25917</v>
      </c>
      <c r="B3127" s="22" t="s">
        <v>23</v>
      </c>
      <c r="C3127" s="22" t="s">
        <v>6028</v>
      </c>
      <c r="D3127" s="22" t="s">
        <v>6036</v>
      </c>
      <c r="E3127" s="22" t="s">
        <v>6037</v>
      </c>
      <c r="F3127" s="22">
        <v>33.770796220000001</v>
      </c>
      <c r="G3127" s="22">
        <v>44.292010089999998</v>
      </c>
      <c r="H3127" s="21" t="s">
        <v>6031</v>
      </c>
      <c r="I3127" s="21" t="s">
        <v>6032</v>
      </c>
      <c r="J3127" s="21"/>
      <c r="K3127" s="24">
        <v>105</v>
      </c>
      <c r="L3127" s="24">
        <v>630</v>
      </c>
      <c r="M3127" s="23">
        <v>30</v>
      </c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>
        <v>75</v>
      </c>
      <c r="AB3127" s="23"/>
      <c r="AC3127" s="23"/>
      <c r="AD3127" s="23"/>
      <c r="AE3127" s="23"/>
      <c r="AF3127" s="23">
        <v>10</v>
      </c>
      <c r="AG3127" s="23"/>
      <c r="AH3127" s="23">
        <v>30</v>
      </c>
      <c r="AI3127" s="23"/>
      <c r="AJ3127" s="23"/>
      <c r="AK3127" s="23">
        <v>40</v>
      </c>
      <c r="AL3127" s="23"/>
      <c r="AM3127" s="23">
        <v>25</v>
      </c>
      <c r="AN3127" s="23"/>
      <c r="AO3127" s="23"/>
      <c r="AP3127" s="23"/>
      <c r="AQ3127" s="23"/>
      <c r="AR3127" s="23">
        <v>88</v>
      </c>
      <c r="AS3127" s="23">
        <v>17</v>
      </c>
      <c r="AT3127" s="23"/>
      <c r="AU3127" s="14" t="str">
        <f>HYPERLINK("http://www.openstreetmap.org/?mlat=33.791&amp;mlon=44.2645&amp;zoom=12#map=12/33.791/44.2645","Maplink1")</f>
        <v>Maplink1</v>
      </c>
      <c r="AV3127" s="14" t="str">
        <f>HYPERLINK("https://www.google.iq/maps/search/+33.791,44.2645/@33.791,44.2645,14z?hl=en","Maplink2")</f>
        <v>Maplink2</v>
      </c>
      <c r="AW3127" s="14" t="str">
        <f>HYPERLINK("http://www.bing.com/maps/?lvl=14&amp;sty=h&amp;cp=33.791~44.2645&amp;sp=point.33.791_44.2645_Al Zuheari Village","Maplink3")</f>
        <v>Maplink3</v>
      </c>
    </row>
    <row r="3128" spans="1:49" ht="15" customHeight="1" x14ac:dyDescent="0.25">
      <c r="A3128" s="21">
        <v>25946</v>
      </c>
      <c r="B3128" s="22" t="s">
        <v>23</v>
      </c>
      <c r="C3128" s="22" t="s">
        <v>6028</v>
      </c>
      <c r="D3128" s="22" t="s">
        <v>6038</v>
      </c>
      <c r="E3128" s="22" t="s">
        <v>6039</v>
      </c>
      <c r="F3128" s="22">
        <v>33.800710549999998</v>
      </c>
      <c r="G3128" s="22">
        <v>44.255646740000003</v>
      </c>
      <c r="H3128" s="21" t="s">
        <v>6031</v>
      </c>
      <c r="I3128" s="21" t="s">
        <v>6032</v>
      </c>
      <c r="J3128" s="21"/>
      <c r="K3128" s="24">
        <v>150</v>
      </c>
      <c r="L3128" s="24">
        <v>900</v>
      </c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>
        <v>150</v>
      </c>
      <c r="AB3128" s="23"/>
      <c r="AC3128" s="23"/>
      <c r="AD3128" s="23"/>
      <c r="AE3128" s="23"/>
      <c r="AF3128" s="23">
        <v>25</v>
      </c>
      <c r="AG3128" s="23"/>
      <c r="AH3128" s="23"/>
      <c r="AI3128" s="23"/>
      <c r="AJ3128" s="23"/>
      <c r="AK3128" s="23">
        <v>125</v>
      </c>
      <c r="AL3128" s="23"/>
      <c r="AM3128" s="23"/>
      <c r="AN3128" s="23"/>
      <c r="AO3128" s="23"/>
      <c r="AP3128" s="23"/>
      <c r="AQ3128" s="23"/>
      <c r="AR3128" s="23"/>
      <c r="AS3128" s="23">
        <v>150</v>
      </c>
      <c r="AT3128" s="23"/>
      <c r="AU3128" s="14" t="str">
        <f>HYPERLINK("http://www.openstreetmap.org/?mlat=33.872&amp;mlon=44.1793&amp;zoom=12#map=12/33.872/44.1793","Maplink1")</f>
        <v>Maplink1</v>
      </c>
      <c r="AV3128" s="14" t="str">
        <f>HYPERLINK("https://www.google.iq/maps/search/+33.872,44.1793/@33.872,44.1793,14z?hl=en","Maplink2")</f>
        <v>Maplink2</v>
      </c>
      <c r="AW3128" s="14" t="str">
        <f>HYPERLINK("http://www.bing.com/maps/?lvl=14&amp;sty=h&amp;cp=33.872~44.1793&amp;sp=point.33.872_44.1793_Albu Mejwel Village","Maplink3")</f>
        <v>Maplink3</v>
      </c>
    </row>
    <row r="3129" spans="1:49" ht="15" customHeight="1" x14ac:dyDescent="0.25">
      <c r="A3129" s="21">
        <v>25947</v>
      </c>
      <c r="B3129" s="22" t="s">
        <v>23</v>
      </c>
      <c r="C3129" s="22" t="s">
        <v>6028</v>
      </c>
      <c r="D3129" s="22" t="s">
        <v>9053</v>
      </c>
      <c r="E3129" s="22" t="s">
        <v>6040</v>
      </c>
      <c r="F3129" s="22">
        <v>33.909243490000001</v>
      </c>
      <c r="G3129" s="22">
        <v>44.183530609999998</v>
      </c>
      <c r="H3129" s="21" t="s">
        <v>6031</v>
      </c>
      <c r="I3129" s="21" t="s">
        <v>6032</v>
      </c>
      <c r="J3129" s="21"/>
      <c r="K3129" s="24">
        <v>175</v>
      </c>
      <c r="L3129" s="24">
        <v>1050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>
        <v>175</v>
      </c>
      <c r="AB3129" s="23"/>
      <c r="AC3129" s="23"/>
      <c r="AD3129" s="23"/>
      <c r="AE3129" s="23"/>
      <c r="AF3129" s="23">
        <v>12</v>
      </c>
      <c r="AG3129" s="23"/>
      <c r="AH3129" s="23">
        <v>10</v>
      </c>
      <c r="AI3129" s="23"/>
      <c r="AJ3129" s="23"/>
      <c r="AK3129" s="23">
        <v>65</v>
      </c>
      <c r="AL3129" s="23"/>
      <c r="AM3129" s="23">
        <v>45</v>
      </c>
      <c r="AN3129" s="23">
        <v>43</v>
      </c>
      <c r="AO3129" s="23">
        <v>67</v>
      </c>
      <c r="AP3129" s="23">
        <v>108</v>
      </c>
      <c r="AQ3129" s="23"/>
      <c r="AR3129" s="23"/>
      <c r="AS3129" s="23"/>
      <c r="AT3129" s="23"/>
      <c r="AU3129" s="14" t="str">
        <f>HYPERLINK("http://www.openstreetmap.org/?mlat=33.8756&amp;mlon=44.2005&amp;zoom=12#map=12/33.8756/44.2005","Maplink1")</f>
        <v>Maplink1</v>
      </c>
      <c r="AV3129" s="14" t="str">
        <f>HYPERLINK("https://www.google.iq/maps/search/+33.8756,44.2005/@33.8756,44.2005,14z?hl=en","Maplink2")</f>
        <v>Maplink2</v>
      </c>
      <c r="AW3129" s="14" t="str">
        <f>HYPERLINK("http://www.bing.com/maps/?lvl=14&amp;sty=h&amp;cp=33.8756~44.2005&amp;sp=point.33.8756_44.2005_Bezna Village","Maplink3")</f>
        <v>Maplink3</v>
      </c>
    </row>
    <row r="3130" spans="1:49" ht="15" customHeight="1" x14ac:dyDescent="0.25">
      <c r="A3130" s="21">
        <v>23920</v>
      </c>
      <c r="B3130" s="22" t="s">
        <v>23</v>
      </c>
      <c r="C3130" s="22" t="s">
        <v>6028</v>
      </c>
      <c r="D3130" s="22" t="s">
        <v>6041</v>
      </c>
      <c r="E3130" s="22" t="s">
        <v>995</v>
      </c>
      <c r="F3130" s="22">
        <v>33.840217090000003</v>
      </c>
      <c r="G3130" s="22">
        <v>44.246030140000002</v>
      </c>
      <c r="H3130" s="21" t="s">
        <v>6031</v>
      </c>
      <c r="I3130" s="21" t="s">
        <v>6032</v>
      </c>
      <c r="J3130" s="21" t="s">
        <v>6042</v>
      </c>
      <c r="K3130" s="24">
        <v>200</v>
      </c>
      <c r="L3130" s="24">
        <v>1200</v>
      </c>
      <c r="M3130" s="23"/>
      <c r="N3130" s="23"/>
      <c r="O3130" s="23"/>
      <c r="P3130" s="23"/>
      <c r="Q3130" s="23"/>
      <c r="R3130" s="23"/>
      <c r="S3130" s="23"/>
      <c r="T3130" s="23"/>
      <c r="U3130" s="23">
        <v>125</v>
      </c>
      <c r="V3130" s="23"/>
      <c r="W3130" s="23"/>
      <c r="X3130" s="23"/>
      <c r="Y3130" s="23"/>
      <c r="Z3130" s="23"/>
      <c r="AA3130" s="23">
        <v>75</v>
      </c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>
        <v>110</v>
      </c>
      <c r="AL3130" s="23"/>
      <c r="AM3130" s="23">
        <v>90</v>
      </c>
      <c r="AN3130" s="23"/>
      <c r="AO3130" s="23"/>
      <c r="AP3130" s="23"/>
      <c r="AQ3130" s="23"/>
      <c r="AR3130" s="23"/>
      <c r="AS3130" s="23">
        <v>200</v>
      </c>
      <c r="AT3130" s="23"/>
      <c r="AU3130" s="14" t="str">
        <f>HYPERLINK("http://www.openstreetmap.org/?mlat=33.849&amp;mlon=44.2276&amp;zoom=12#map=12/33.849/44.2276","Maplink1")</f>
        <v>Maplink1</v>
      </c>
      <c r="AV3130" s="14" t="str">
        <f>HYPERLINK("https://www.google.iq/maps/search/+33.849,44.2276/@33.849,44.2276,14z?hl=en","Maplink2")</f>
        <v>Maplink2</v>
      </c>
      <c r="AW3130" s="14" t="str">
        <f>HYPERLINK("http://www.bing.com/maps/?lvl=14&amp;sty=h&amp;cp=33.849~44.2276&amp;sp=point.33.849_44.2276_Hay Al Hussien","Maplink3")</f>
        <v>Maplink3</v>
      </c>
    </row>
    <row r="3131" spans="1:49" ht="15" customHeight="1" x14ac:dyDescent="0.25">
      <c r="A3131" s="21">
        <v>25743</v>
      </c>
      <c r="B3131" s="22" t="s">
        <v>23</v>
      </c>
      <c r="C3131" s="22" t="s">
        <v>6028</v>
      </c>
      <c r="D3131" s="22" t="s">
        <v>6043</v>
      </c>
      <c r="E3131" s="22" t="s">
        <v>6044</v>
      </c>
      <c r="F3131" s="22">
        <v>33.850316890000002</v>
      </c>
      <c r="G3131" s="22">
        <v>44.229924779999997</v>
      </c>
      <c r="H3131" s="21" t="s">
        <v>6031</v>
      </c>
      <c r="I3131" s="21" t="s">
        <v>6032</v>
      </c>
      <c r="J3131" s="21"/>
      <c r="K3131" s="24">
        <v>150</v>
      </c>
      <c r="L3131" s="24">
        <v>900</v>
      </c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>
        <v>150</v>
      </c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>
        <v>150</v>
      </c>
      <c r="AL3131" s="23"/>
      <c r="AM3131" s="23"/>
      <c r="AN3131" s="23"/>
      <c r="AO3131" s="23"/>
      <c r="AP3131" s="23"/>
      <c r="AQ3131" s="23">
        <v>76</v>
      </c>
      <c r="AR3131" s="23">
        <v>74</v>
      </c>
      <c r="AS3131" s="23"/>
      <c r="AT3131" s="23"/>
      <c r="AU3131" s="14" t="str">
        <f>HYPERLINK("http://www.openstreetmap.org/?mlat=33.8464&amp;mlon=44.2348&amp;zoom=12#map=12/33.8464/44.2348","Maplink1")</f>
        <v>Maplink1</v>
      </c>
      <c r="AV3131" s="14" t="str">
        <f>HYPERLINK("https://www.google.iq/maps/search/+33.8464,44.2348/@33.8464,44.2348,14z?hl=en","Maplink2")</f>
        <v>Maplink2</v>
      </c>
      <c r="AW3131" s="14" t="str">
        <f>HYPERLINK("http://www.bing.com/maps/?lvl=14&amp;sty=h&amp;cp=33.8464~44.2348&amp;sp=point.33.8464_44.2348_Hay Al Wihda Mahala 102","Maplink3")</f>
        <v>Maplink3</v>
      </c>
    </row>
    <row r="3132" spans="1:49" ht="15" customHeight="1" x14ac:dyDescent="0.25">
      <c r="A3132" s="21">
        <v>23913</v>
      </c>
      <c r="B3132" s="22" t="s">
        <v>23</v>
      </c>
      <c r="C3132" s="22" t="s">
        <v>6028</v>
      </c>
      <c r="D3132" s="22" t="s">
        <v>6045</v>
      </c>
      <c r="E3132" s="22" t="s">
        <v>9054</v>
      </c>
      <c r="F3132" s="22">
        <v>33.836503356999998</v>
      </c>
      <c r="G3132" s="22">
        <v>44.252281809999999</v>
      </c>
      <c r="H3132" s="21" t="s">
        <v>6031</v>
      </c>
      <c r="I3132" s="21" t="s">
        <v>6032</v>
      </c>
      <c r="J3132" s="21" t="s">
        <v>6046</v>
      </c>
      <c r="K3132" s="24">
        <v>109</v>
      </c>
      <c r="L3132" s="24">
        <v>654</v>
      </c>
      <c r="M3132" s="23">
        <v>34</v>
      </c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>
        <v>75</v>
      </c>
      <c r="AB3132" s="23"/>
      <c r="AC3132" s="23"/>
      <c r="AD3132" s="23"/>
      <c r="AE3132" s="23"/>
      <c r="AF3132" s="23">
        <v>17</v>
      </c>
      <c r="AG3132" s="23"/>
      <c r="AH3132" s="23"/>
      <c r="AI3132" s="23"/>
      <c r="AJ3132" s="23"/>
      <c r="AK3132" s="23">
        <v>92</v>
      </c>
      <c r="AL3132" s="23"/>
      <c r="AM3132" s="23"/>
      <c r="AN3132" s="23"/>
      <c r="AO3132" s="23"/>
      <c r="AP3132" s="23"/>
      <c r="AQ3132" s="23"/>
      <c r="AR3132" s="23">
        <v>88</v>
      </c>
      <c r="AS3132" s="23">
        <v>21</v>
      </c>
      <c r="AT3132" s="23"/>
      <c r="AU3132" s="14" t="str">
        <f>HYPERLINK("http://www.openstreetmap.org/?mlat=33.8499&amp;mlon=44.2334&amp;zoom=12#map=12/33.8499/44.2334","Maplink1")</f>
        <v>Maplink1</v>
      </c>
      <c r="AV3132" s="14" t="str">
        <f>HYPERLINK("https://www.google.iq/maps/search/+33.8499,44.2334/@33.8499,44.2334,14z?hl=en","Maplink2")</f>
        <v>Maplink2</v>
      </c>
      <c r="AW3132" s="14" t="str">
        <f>HYPERLINK("http://www.bing.com/maps/?lvl=14&amp;sty=h&amp;cp=33.8499~44.2334&amp;sp=point.33.8499_44.2334_Hay al Zahraa 204","Maplink3")</f>
        <v>Maplink3</v>
      </c>
    </row>
    <row r="3133" spans="1:49" ht="15" customHeight="1" x14ac:dyDescent="0.25">
      <c r="A3133" s="21">
        <v>25747</v>
      </c>
      <c r="B3133" s="22" t="s">
        <v>23</v>
      </c>
      <c r="C3133" s="22" t="s">
        <v>6028</v>
      </c>
      <c r="D3133" s="22" t="s">
        <v>6047</v>
      </c>
      <c r="E3133" s="22" t="s">
        <v>6048</v>
      </c>
      <c r="F3133" s="22">
        <v>33.773045889999999</v>
      </c>
      <c r="G3133" s="22">
        <v>44.305740030000003</v>
      </c>
      <c r="H3133" s="21" t="s">
        <v>6031</v>
      </c>
      <c r="I3133" s="21" t="s">
        <v>6032</v>
      </c>
      <c r="J3133" s="21"/>
      <c r="K3133" s="24">
        <v>300</v>
      </c>
      <c r="L3133" s="24">
        <v>1800</v>
      </c>
      <c r="M3133" s="23"/>
      <c r="N3133" s="23"/>
      <c r="O3133" s="23"/>
      <c r="P3133" s="23"/>
      <c r="Q3133" s="23"/>
      <c r="R3133" s="23"/>
      <c r="S3133" s="23"/>
      <c r="T3133" s="23"/>
      <c r="U3133" s="23">
        <v>75</v>
      </c>
      <c r="V3133" s="23"/>
      <c r="W3133" s="23"/>
      <c r="X3133" s="23"/>
      <c r="Y3133" s="23"/>
      <c r="Z3133" s="23"/>
      <c r="AA3133" s="23">
        <v>225</v>
      </c>
      <c r="AB3133" s="23"/>
      <c r="AC3133" s="23"/>
      <c r="AD3133" s="23"/>
      <c r="AE3133" s="23"/>
      <c r="AF3133" s="23"/>
      <c r="AG3133" s="23"/>
      <c r="AH3133" s="23"/>
      <c r="AI3133" s="23"/>
      <c r="AJ3133" s="23"/>
      <c r="AK3133" s="23">
        <v>212</v>
      </c>
      <c r="AL3133" s="23"/>
      <c r="AM3133" s="23">
        <v>88</v>
      </c>
      <c r="AN3133" s="23"/>
      <c r="AO3133" s="23"/>
      <c r="AP3133" s="23"/>
      <c r="AQ3133" s="23"/>
      <c r="AR3133" s="23">
        <v>175</v>
      </c>
      <c r="AS3133" s="23">
        <v>125</v>
      </c>
      <c r="AT3133" s="23"/>
      <c r="AU3133" s="14" t="str">
        <f>HYPERLINK("http://www.openstreetmap.org/?mlat=33.7743&amp;mlon=44.3115&amp;zoom=12#map=12/33.7743/44.3115","Maplink1")</f>
        <v>Maplink1</v>
      </c>
      <c r="AV3133" s="14" t="str">
        <f>HYPERLINK("https://www.google.iq/maps/search/+33.7743,44.3115/@33.7743,44.3115,14z?hl=en","Maplink2")</f>
        <v>Maplink2</v>
      </c>
      <c r="AW3133" s="14" t="str">
        <f>HYPERLINK("http://www.bing.com/maps/?lvl=14&amp;sty=h&amp;cp=33.7743~44.3115&amp;sp=point.33.7743_44.3115_Markaz Al-Dujeel-Al Shabab village","Maplink3")</f>
        <v>Maplink3</v>
      </c>
    </row>
    <row r="3134" spans="1:49" ht="15" customHeight="1" x14ac:dyDescent="0.25">
      <c r="A3134" s="21">
        <v>25744</v>
      </c>
      <c r="B3134" s="22" t="s">
        <v>23</v>
      </c>
      <c r="C3134" s="22" t="s">
        <v>6028</v>
      </c>
      <c r="D3134" s="22" t="s">
        <v>6049</v>
      </c>
      <c r="E3134" s="22" t="s">
        <v>6050</v>
      </c>
      <c r="F3134" s="22">
        <v>33.819358800000003</v>
      </c>
      <c r="G3134" s="22">
        <v>44.262089860000003</v>
      </c>
      <c r="H3134" s="21" t="s">
        <v>6031</v>
      </c>
      <c r="I3134" s="21" t="s">
        <v>6032</v>
      </c>
      <c r="J3134" s="21"/>
      <c r="K3134" s="24">
        <v>300</v>
      </c>
      <c r="L3134" s="24">
        <v>1800</v>
      </c>
      <c r="M3134" s="23">
        <v>125</v>
      </c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>
        <v>175</v>
      </c>
      <c r="AB3134" s="23"/>
      <c r="AC3134" s="23"/>
      <c r="AD3134" s="23"/>
      <c r="AE3134" s="23"/>
      <c r="AF3134" s="23">
        <v>15</v>
      </c>
      <c r="AG3134" s="23"/>
      <c r="AH3134" s="23">
        <v>50</v>
      </c>
      <c r="AI3134" s="23"/>
      <c r="AJ3134" s="23"/>
      <c r="AK3134" s="23">
        <v>135</v>
      </c>
      <c r="AL3134" s="23"/>
      <c r="AM3134" s="23">
        <v>100</v>
      </c>
      <c r="AN3134" s="23"/>
      <c r="AO3134" s="23"/>
      <c r="AP3134" s="23"/>
      <c r="AQ3134" s="23">
        <v>50</v>
      </c>
      <c r="AR3134" s="23">
        <v>250</v>
      </c>
      <c r="AS3134" s="23"/>
      <c r="AT3134" s="23"/>
      <c r="AU3134" s="14" t="str">
        <f>HYPERLINK("http://www.openstreetmap.org/?mlat=33.8459&amp;mlon=44.2353&amp;zoom=12#map=12/33.8459/44.2353","Maplink1")</f>
        <v>Maplink1</v>
      </c>
      <c r="AV3134" s="14" t="str">
        <f>HYPERLINK("https://www.google.iq/maps/search/+33.8459,44.2353/@33.8459,44.2353,14z?hl=en","Maplink2")</f>
        <v>Maplink2</v>
      </c>
      <c r="AW3134" s="14" t="str">
        <f>HYPERLINK("http://www.bing.com/maps/?lvl=14&amp;sty=h&amp;cp=33.8459~44.2353&amp;sp=point.33.8459_44.2353_Markaz Al-Dujeel-Hay Al Askari","Maplink3")</f>
        <v>Maplink3</v>
      </c>
    </row>
    <row r="3135" spans="1:49" ht="15" customHeight="1" x14ac:dyDescent="0.25">
      <c r="A3135" s="21">
        <v>25746</v>
      </c>
      <c r="B3135" s="22" t="s">
        <v>23</v>
      </c>
      <c r="C3135" s="22" t="s">
        <v>6028</v>
      </c>
      <c r="D3135" s="22" t="s">
        <v>6051</v>
      </c>
      <c r="E3135" s="22" t="s">
        <v>6052</v>
      </c>
      <c r="F3135" s="22">
        <v>33.846794940000002</v>
      </c>
      <c r="G3135" s="22">
        <v>44.23551269</v>
      </c>
      <c r="H3135" s="21" t="s">
        <v>6031</v>
      </c>
      <c r="I3135" s="21" t="s">
        <v>6032</v>
      </c>
      <c r="J3135" s="21"/>
      <c r="K3135" s="24">
        <v>215</v>
      </c>
      <c r="L3135" s="24">
        <v>1290</v>
      </c>
      <c r="M3135" s="23">
        <v>15</v>
      </c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>
        <v>200</v>
      </c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>
        <v>215</v>
      </c>
      <c r="AL3135" s="23"/>
      <c r="AM3135" s="23"/>
      <c r="AN3135" s="23"/>
      <c r="AO3135" s="23"/>
      <c r="AP3135" s="23"/>
      <c r="AQ3135" s="23"/>
      <c r="AR3135" s="23">
        <v>185</v>
      </c>
      <c r="AS3135" s="23">
        <v>30</v>
      </c>
      <c r="AT3135" s="23"/>
      <c r="AU3135" s="14" t="str">
        <f>HYPERLINK("http://www.openstreetmap.org/?mlat=33.8464&amp;mlon=44.2319&amp;zoom=12#map=12/33.8464/44.2319","Maplink1")</f>
        <v>Maplink1</v>
      </c>
      <c r="AV3135" s="14" t="str">
        <f>HYPERLINK("https://www.google.iq/maps/search/+33.8464,44.2319/@33.8464,44.2319,14z?hl=en","Maplink2")</f>
        <v>Maplink2</v>
      </c>
      <c r="AW3135" s="14" t="str">
        <f>HYPERLINK("http://www.bing.com/maps/?lvl=14&amp;sty=h&amp;cp=33.8464~44.2319&amp;sp=point.33.8464_44.2319_Markaz Al-Dujeel-Hay Al Wihda Mahala 101","Maplink3")</f>
        <v>Maplink3</v>
      </c>
    </row>
    <row r="3136" spans="1:49" ht="15" customHeight="1" x14ac:dyDescent="0.25">
      <c r="A3136" s="21">
        <v>25745</v>
      </c>
      <c r="B3136" s="22" t="s">
        <v>23</v>
      </c>
      <c r="C3136" s="22" t="s">
        <v>6028</v>
      </c>
      <c r="D3136" s="22" t="s">
        <v>6053</v>
      </c>
      <c r="E3136" s="22" t="s">
        <v>6054</v>
      </c>
      <c r="F3136" s="22">
        <v>33.848575250000003</v>
      </c>
      <c r="G3136" s="22">
        <v>44.232462830000003</v>
      </c>
      <c r="H3136" s="21" t="s">
        <v>6031</v>
      </c>
      <c r="I3136" s="21" t="s">
        <v>6032</v>
      </c>
      <c r="J3136" s="21"/>
      <c r="K3136" s="24">
        <v>250</v>
      </c>
      <c r="L3136" s="24">
        <v>1500</v>
      </c>
      <c r="M3136" s="23">
        <v>75</v>
      </c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>
        <v>175</v>
      </c>
      <c r="AB3136" s="23"/>
      <c r="AC3136" s="23"/>
      <c r="AD3136" s="23"/>
      <c r="AE3136" s="23"/>
      <c r="AF3136" s="23">
        <v>20</v>
      </c>
      <c r="AG3136" s="23"/>
      <c r="AH3136" s="23"/>
      <c r="AI3136" s="23"/>
      <c r="AJ3136" s="23"/>
      <c r="AK3136" s="23">
        <v>190</v>
      </c>
      <c r="AL3136" s="23"/>
      <c r="AM3136" s="23"/>
      <c r="AN3136" s="23">
        <v>40</v>
      </c>
      <c r="AO3136" s="23"/>
      <c r="AP3136" s="23"/>
      <c r="AQ3136" s="23">
        <v>75</v>
      </c>
      <c r="AR3136" s="23">
        <v>175</v>
      </c>
      <c r="AS3136" s="23"/>
      <c r="AT3136" s="23"/>
      <c r="AU3136" s="14" t="str">
        <f>HYPERLINK("http://www.openstreetmap.org/?mlat=33.8469&amp;mlon=44.2333&amp;zoom=12#map=12/33.8469/44.2333","Maplink1")</f>
        <v>Maplink1</v>
      </c>
      <c r="AV3136" s="14" t="str">
        <f>HYPERLINK("https://www.google.iq/maps/search/+33.8469,44.2333/@33.8469,44.2333,14z?hl=en","Maplink2")</f>
        <v>Maplink2</v>
      </c>
      <c r="AW3136" s="14" t="str">
        <f>HYPERLINK("http://www.bing.com/maps/?lvl=14&amp;sty=h&amp;cp=33.8469~44.2333&amp;sp=point.33.8469_44.2333_Markaz Al-Dujeel-Hay Al Wihda Mahala 103","Maplink3")</f>
        <v>Maplink3</v>
      </c>
    </row>
    <row r="3137" spans="1:49" ht="15" customHeight="1" x14ac:dyDescent="0.25">
      <c r="A3137" s="21">
        <v>23300</v>
      </c>
      <c r="B3137" s="22" t="s">
        <v>23</v>
      </c>
      <c r="C3137" s="22" t="s">
        <v>6055</v>
      </c>
      <c r="D3137" s="22" t="s">
        <v>6057</v>
      </c>
      <c r="E3137" s="22" t="s">
        <v>9055</v>
      </c>
      <c r="F3137" s="22">
        <v>35.440358000000003</v>
      </c>
      <c r="G3137" s="22">
        <v>43.219168000000003</v>
      </c>
      <c r="H3137" s="21" t="s">
        <v>6031</v>
      </c>
      <c r="I3137" s="21" t="s">
        <v>6056</v>
      </c>
      <c r="J3137" s="21" t="s">
        <v>6058</v>
      </c>
      <c r="K3137" s="24">
        <v>200</v>
      </c>
      <c r="L3137" s="24">
        <v>1200</v>
      </c>
      <c r="M3137" s="23">
        <v>20</v>
      </c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>
        <v>30</v>
      </c>
      <c r="Z3137" s="23"/>
      <c r="AA3137" s="23">
        <v>150</v>
      </c>
      <c r="AB3137" s="23"/>
      <c r="AC3137" s="23"/>
      <c r="AD3137" s="23"/>
      <c r="AE3137" s="23"/>
      <c r="AF3137" s="23">
        <v>200</v>
      </c>
      <c r="AG3137" s="23"/>
      <c r="AH3137" s="23"/>
      <c r="AI3137" s="23"/>
      <c r="AJ3137" s="23"/>
      <c r="AK3137" s="23"/>
      <c r="AL3137" s="23"/>
      <c r="AM3137" s="23"/>
      <c r="AN3137" s="23"/>
      <c r="AO3137" s="23"/>
      <c r="AP3137" s="23">
        <v>50</v>
      </c>
      <c r="AQ3137" s="23">
        <v>150</v>
      </c>
      <c r="AR3137" s="23"/>
      <c r="AS3137" s="23"/>
      <c r="AT3137" s="23"/>
      <c r="AU3137" s="14" t="str">
        <f>HYPERLINK("http://www.openstreetmap.org/?mlat=35.4404&amp;mlon=43.2192&amp;zoom=12#map=12/35.4404/43.2192","Maplink1")</f>
        <v>Maplink1</v>
      </c>
      <c r="AV3137" s="14" t="str">
        <f>HYPERLINK("https://www.google.iq/maps/search/+35.4404,43.2192/@35.4404,43.2192,14z?hl=en","Maplink2")</f>
        <v>Maplink2</v>
      </c>
      <c r="AW3137" s="14" t="str">
        <f>HYPERLINK("http://www.bing.com/maps/?lvl=14&amp;sty=h&amp;cp=35.4404~43.2192&amp;sp=point.35.4404_43.2192_Al Fajir village (Al Tasni)","Maplink3")</f>
        <v>Maplink3</v>
      </c>
    </row>
    <row r="3138" spans="1:49" ht="15" customHeight="1" x14ac:dyDescent="0.25">
      <c r="A3138" s="21">
        <v>21005</v>
      </c>
      <c r="B3138" s="22" t="s">
        <v>23</v>
      </c>
      <c r="C3138" s="22" t="s">
        <v>6055</v>
      </c>
      <c r="D3138" s="22" t="s">
        <v>6059</v>
      </c>
      <c r="E3138" s="22" t="s">
        <v>9056</v>
      </c>
      <c r="F3138" s="22">
        <v>35.493077</v>
      </c>
      <c r="G3138" s="22">
        <v>43.235813</v>
      </c>
      <c r="H3138" s="21" t="s">
        <v>6031</v>
      </c>
      <c r="I3138" s="21" t="s">
        <v>6056</v>
      </c>
      <c r="J3138" s="21" t="s">
        <v>6060</v>
      </c>
      <c r="K3138" s="24">
        <v>200</v>
      </c>
      <c r="L3138" s="24">
        <v>1200</v>
      </c>
      <c r="M3138" s="23">
        <v>40</v>
      </c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>
        <v>160</v>
      </c>
      <c r="AB3138" s="23"/>
      <c r="AC3138" s="23"/>
      <c r="AD3138" s="23"/>
      <c r="AE3138" s="23"/>
      <c r="AF3138" s="23">
        <v>75</v>
      </c>
      <c r="AG3138" s="23"/>
      <c r="AH3138" s="23"/>
      <c r="AI3138" s="23"/>
      <c r="AJ3138" s="23"/>
      <c r="AK3138" s="23">
        <v>60</v>
      </c>
      <c r="AL3138" s="23">
        <v>50</v>
      </c>
      <c r="AM3138" s="23">
        <v>15</v>
      </c>
      <c r="AN3138" s="23"/>
      <c r="AO3138" s="23">
        <v>40</v>
      </c>
      <c r="AP3138" s="23">
        <v>160</v>
      </c>
      <c r="AQ3138" s="23"/>
      <c r="AR3138" s="23"/>
      <c r="AS3138" s="23"/>
      <c r="AT3138" s="23"/>
      <c r="AU3138" s="14" t="str">
        <f>HYPERLINK("http://www.openstreetmap.org/?mlat=35.4931&amp;mlon=43.2358&amp;zoom=12#map=12/35.4931/43.2358","Maplink1")</f>
        <v>Maplink1</v>
      </c>
      <c r="AV3138" s="14" t="str">
        <f>HYPERLINK("https://www.google.iq/maps/search/+35.4931,43.2358/@35.4931,43.2358,14z?hl=en","Maplink2")</f>
        <v>Maplink2</v>
      </c>
      <c r="AW3138" s="14" t="str">
        <f>HYPERLINK("http://www.bing.com/maps/?lvl=14&amp;sty=h&amp;cp=35.4931~43.2358&amp;sp=point.35.4931_43.2358_Al Jumiala village","Maplink3")</f>
        <v>Maplink3</v>
      </c>
    </row>
    <row r="3139" spans="1:49" ht="15" customHeight="1" x14ac:dyDescent="0.25">
      <c r="A3139" s="21">
        <v>20392</v>
      </c>
      <c r="B3139" s="22" t="s">
        <v>23</v>
      </c>
      <c r="C3139" s="22" t="s">
        <v>6055</v>
      </c>
      <c r="D3139" s="22" t="s">
        <v>6061</v>
      </c>
      <c r="E3139" s="22" t="s">
        <v>9057</v>
      </c>
      <c r="F3139" s="22">
        <v>35.610805999999997</v>
      </c>
      <c r="G3139" s="22">
        <v>43.245241999999998</v>
      </c>
      <c r="H3139" s="21" t="s">
        <v>6031</v>
      </c>
      <c r="I3139" s="21" t="s">
        <v>6056</v>
      </c>
      <c r="J3139" s="21" t="s">
        <v>6062</v>
      </c>
      <c r="K3139" s="24">
        <v>130</v>
      </c>
      <c r="L3139" s="24">
        <v>780</v>
      </c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>
        <v>130</v>
      </c>
      <c r="AB3139" s="23"/>
      <c r="AC3139" s="23"/>
      <c r="AD3139" s="23"/>
      <c r="AE3139" s="23"/>
      <c r="AF3139" s="23">
        <v>30</v>
      </c>
      <c r="AG3139" s="23"/>
      <c r="AH3139" s="23"/>
      <c r="AI3139" s="23"/>
      <c r="AJ3139" s="23"/>
      <c r="AK3139" s="23">
        <v>100</v>
      </c>
      <c r="AL3139" s="23"/>
      <c r="AM3139" s="23"/>
      <c r="AN3139" s="23"/>
      <c r="AO3139" s="23"/>
      <c r="AP3139" s="23">
        <v>130</v>
      </c>
      <c r="AQ3139" s="23"/>
      <c r="AR3139" s="23"/>
      <c r="AS3139" s="23"/>
      <c r="AT3139" s="23"/>
      <c r="AU3139" s="14" t="str">
        <f>HYPERLINK("http://www.openstreetmap.org/?mlat=35.6108&amp;mlon=43.2452&amp;zoom=12#map=12/35.6108/43.2452","Maplink1")</f>
        <v>Maplink1</v>
      </c>
      <c r="AV3139" s="14" t="str">
        <f>HYPERLINK("https://www.google.iq/maps/search/+35.6108,43.2452/@35.6108,43.2452,14z?hl=en","Maplink2")</f>
        <v>Maplink2</v>
      </c>
      <c r="AW3139" s="14" t="str">
        <f>HYPERLINK("http://www.bing.com/maps/?lvl=14&amp;sty=h&amp;cp=35.6108~43.2452&amp;sp=point.35.6108_43.2452_Al Khadraniyah","Maplink3")</f>
        <v>Maplink3</v>
      </c>
    </row>
    <row r="3140" spans="1:49" ht="15" customHeight="1" x14ac:dyDescent="0.25">
      <c r="A3140" s="21">
        <v>21002</v>
      </c>
      <c r="B3140" s="22" t="s">
        <v>23</v>
      </c>
      <c r="C3140" s="22" t="s">
        <v>6055</v>
      </c>
      <c r="D3140" s="22" t="s">
        <v>6063</v>
      </c>
      <c r="E3140" s="22" t="s">
        <v>9058</v>
      </c>
      <c r="F3140" s="22">
        <v>35.392522</v>
      </c>
      <c r="G3140" s="22">
        <v>43.259435000000003</v>
      </c>
      <c r="H3140" s="21" t="s">
        <v>6031</v>
      </c>
      <c r="I3140" s="21" t="s">
        <v>6056</v>
      </c>
      <c r="J3140" s="21" t="s">
        <v>6064</v>
      </c>
      <c r="K3140" s="24">
        <v>1300</v>
      </c>
      <c r="L3140" s="24">
        <v>7800</v>
      </c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>
        <v>1300</v>
      </c>
      <c r="AB3140" s="23"/>
      <c r="AC3140" s="23"/>
      <c r="AD3140" s="23"/>
      <c r="AE3140" s="23"/>
      <c r="AF3140" s="23">
        <v>500</v>
      </c>
      <c r="AG3140" s="23"/>
      <c r="AH3140" s="23"/>
      <c r="AI3140" s="23"/>
      <c r="AJ3140" s="23"/>
      <c r="AK3140" s="23">
        <v>800</v>
      </c>
      <c r="AL3140" s="23"/>
      <c r="AM3140" s="23"/>
      <c r="AN3140" s="23"/>
      <c r="AO3140" s="23"/>
      <c r="AP3140" s="23">
        <v>1300</v>
      </c>
      <c r="AQ3140" s="23"/>
      <c r="AR3140" s="23"/>
      <c r="AS3140" s="23"/>
      <c r="AT3140" s="23"/>
      <c r="AU3140" s="14" t="str">
        <f>HYPERLINK("http://www.openstreetmap.org/?mlat=35.4325&amp;mlon=43.2285&amp;zoom=12#map=12/35.4325/43.2285","Maplink1")</f>
        <v>Maplink1</v>
      </c>
      <c r="AV3140" s="14" t="str">
        <f>HYPERLINK("https://www.google.iq/maps/search/+35.4325,43.2285/@35.4325,43.2285,14z?hl=en","Maplink2")</f>
        <v>Maplink2</v>
      </c>
      <c r="AW3140" s="14" t="str">
        <f>HYPERLINK("http://www.bing.com/maps/?lvl=14&amp;sty=h&amp;cp=35.4325~43.2285&amp;sp=point.35.4325_43.2285_Al Khanuga village","Maplink3")</f>
        <v>Maplink3</v>
      </c>
    </row>
    <row r="3141" spans="1:49" ht="15" customHeight="1" x14ac:dyDescent="0.25">
      <c r="A3141" s="21">
        <v>24667</v>
      </c>
      <c r="B3141" s="22" t="s">
        <v>23</v>
      </c>
      <c r="C3141" s="22" t="s">
        <v>6055</v>
      </c>
      <c r="D3141" s="22" t="s">
        <v>9059</v>
      </c>
      <c r="E3141" s="22" t="s">
        <v>9060</v>
      </c>
      <c r="F3141" s="22">
        <v>35.474212999999999</v>
      </c>
      <c r="G3141" s="22">
        <v>43.239139999999999</v>
      </c>
      <c r="H3141" s="21" t="s">
        <v>6031</v>
      </c>
      <c r="I3141" s="21" t="s">
        <v>6056</v>
      </c>
      <c r="J3141" s="21"/>
      <c r="K3141" s="24">
        <v>300</v>
      </c>
      <c r="L3141" s="24">
        <v>1800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>
        <v>300</v>
      </c>
      <c r="AB3141" s="23"/>
      <c r="AC3141" s="23"/>
      <c r="AD3141" s="23"/>
      <c r="AE3141" s="23"/>
      <c r="AF3141" s="23">
        <v>300</v>
      </c>
      <c r="AG3141" s="23"/>
      <c r="AH3141" s="23"/>
      <c r="AI3141" s="23"/>
      <c r="AJ3141" s="23"/>
      <c r="AK3141" s="23"/>
      <c r="AL3141" s="23"/>
      <c r="AM3141" s="23"/>
      <c r="AN3141" s="23"/>
      <c r="AO3141" s="23"/>
      <c r="AP3141" s="23"/>
      <c r="AQ3141" s="23">
        <v>300</v>
      </c>
      <c r="AR3141" s="23"/>
      <c r="AS3141" s="23"/>
      <c r="AT3141" s="23"/>
      <c r="AU3141" s="14" t="str">
        <f>HYPERLINK("http://www.openstreetmap.org/?mlat=35.4742&amp;mlon=43.2391&amp;zoom=12#map=12/35.4742/43.2391","Maplink1")</f>
        <v>Maplink1</v>
      </c>
      <c r="AV3141" s="14" t="str">
        <f>HYPERLINK("https://www.google.iq/maps/search/+35.4742,43.2391/@35.4742,43.2391,14z?hl=en","Maplink2")</f>
        <v>Maplink2</v>
      </c>
      <c r="AW3141" s="14" t="str">
        <f>HYPERLINK("http://www.bing.com/maps/?lvl=14&amp;sty=h&amp;cp=35.4742~43.2391&amp;sp=point.35.4742_43.2391_Al hawy village-Al qlisat","Maplink3")</f>
        <v>Maplink3</v>
      </c>
    </row>
    <row r="3142" spans="1:49" ht="15" customHeight="1" x14ac:dyDescent="0.25">
      <c r="A3142" s="21">
        <v>20395</v>
      </c>
      <c r="B3142" s="22" t="s">
        <v>23</v>
      </c>
      <c r="C3142" s="22" t="s">
        <v>6055</v>
      </c>
      <c r="D3142" s="22" t="s">
        <v>6065</v>
      </c>
      <c r="E3142" s="22" t="s">
        <v>9061</v>
      </c>
      <c r="F3142" s="22">
        <v>35.538307000000003</v>
      </c>
      <c r="G3142" s="22">
        <v>43.224873000000002</v>
      </c>
      <c r="H3142" s="21" t="s">
        <v>6031</v>
      </c>
      <c r="I3142" s="21" t="s">
        <v>6056</v>
      </c>
      <c r="J3142" s="21" t="s">
        <v>6066</v>
      </c>
      <c r="K3142" s="24">
        <v>100</v>
      </c>
      <c r="L3142" s="24">
        <v>600</v>
      </c>
      <c r="M3142" s="23">
        <v>4</v>
      </c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>
        <v>96</v>
      </c>
      <c r="AB3142" s="23"/>
      <c r="AC3142" s="23"/>
      <c r="AD3142" s="23"/>
      <c r="AE3142" s="23"/>
      <c r="AF3142" s="23">
        <v>100</v>
      </c>
      <c r="AG3142" s="23"/>
      <c r="AH3142" s="23"/>
      <c r="AI3142" s="23"/>
      <c r="AJ3142" s="23"/>
      <c r="AK3142" s="23"/>
      <c r="AL3142" s="23"/>
      <c r="AM3142" s="23"/>
      <c r="AN3142" s="23"/>
      <c r="AO3142" s="23">
        <v>4</v>
      </c>
      <c r="AP3142" s="23">
        <v>80</v>
      </c>
      <c r="AQ3142" s="23">
        <v>16</v>
      </c>
      <c r="AR3142" s="23"/>
      <c r="AS3142" s="23"/>
      <c r="AT3142" s="23"/>
      <c r="AU3142" s="14" t="str">
        <f>HYPERLINK("http://www.openstreetmap.org/?mlat=35.5383&amp;mlon=43.2249&amp;zoom=12#map=12/35.5383/43.2249","Maplink1")</f>
        <v>Maplink1</v>
      </c>
      <c r="AV3142" s="14" t="str">
        <f>HYPERLINK("https://www.google.iq/maps/search/+35.5383,43.2249/@35.5383,43.2249,14z?hl=en","Maplink2")</f>
        <v>Maplink2</v>
      </c>
      <c r="AW3142" s="14" t="str">
        <f>HYPERLINK("http://www.bing.com/maps/?lvl=14&amp;sty=h&amp;cp=35.5383~43.2249&amp;sp=point.35.5383_43.2249_Baaja","Maplink3")</f>
        <v>Maplink3</v>
      </c>
    </row>
    <row r="3143" spans="1:49" ht="15" customHeight="1" x14ac:dyDescent="0.25">
      <c r="A3143" s="21">
        <v>21004</v>
      </c>
      <c r="B3143" s="22" t="s">
        <v>23</v>
      </c>
      <c r="C3143" s="22" t="s">
        <v>6055</v>
      </c>
      <c r="D3143" s="22" t="s">
        <v>3417</v>
      </c>
      <c r="E3143" s="22" t="s">
        <v>622</v>
      </c>
      <c r="F3143" s="22">
        <v>35.530934000000002</v>
      </c>
      <c r="G3143" s="22">
        <v>43.226177999999997</v>
      </c>
      <c r="H3143" s="21" t="s">
        <v>6031</v>
      </c>
      <c r="I3143" s="21" t="s">
        <v>6056</v>
      </c>
      <c r="J3143" s="21" t="s">
        <v>6067</v>
      </c>
      <c r="K3143" s="24">
        <v>250</v>
      </c>
      <c r="L3143" s="24">
        <v>1500</v>
      </c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>
        <v>250</v>
      </c>
      <c r="AB3143" s="23"/>
      <c r="AC3143" s="23"/>
      <c r="AD3143" s="23"/>
      <c r="AE3143" s="23"/>
      <c r="AF3143" s="23"/>
      <c r="AG3143" s="23"/>
      <c r="AH3143" s="23"/>
      <c r="AI3143" s="23"/>
      <c r="AJ3143" s="23"/>
      <c r="AK3143" s="23">
        <v>250</v>
      </c>
      <c r="AL3143" s="23"/>
      <c r="AM3143" s="23"/>
      <c r="AN3143" s="23"/>
      <c r="AO3143" s="23"/>
      <c r="AP3143" s="23"/>
      <c r="AQ3143" s="23">
        <v>250</v>
      </c>
      <c r="AR3143" s="23"/>
      <c r="AS3143" s="23"/>
      <c r="AT3143" s="23"/>
      <c r="AU3143" s="14" t="str">
        <f>HYPERLINK("http://www.openstreetmap.org/?mlat=35.5309&amp;mlon=43.2262&amp;zoom=12#map=12/35.5309/43.2262","Maplink1")</f>
        <v>Maplink1</v>
      </c>
      <c r="AV3143" s="14" t="str">
        <f>HYPERLINK("https://www.google.iq/maps/search/+35.5309,43.2262/@35.5309,43.2262,14z?hl=en","Maplink2")</f>
        <v>Maplink2</v>
      </c>
      <c r="AW3143" s="14" t="str">
        <f>HYPERLINK("http://www.bing.com/maps/?lvl=14&amp;sty=h&amp;cp=35.5309~43.2262&amp;sp=point.35.5309_43.2262_Hay Al Askari-Al Shirqat","Maplink3")</f>
        <v>Maplink3</v>
      </c>
    </row>
    <row r="3144" spans="1:49" ht="15" customHeight="1" x14ac:dyDescent="0.25">
      <c r="A3144" s="21">
        <v>24210</v>
      </c>
      <c r="B3144" s="22" t="s">
        <v>23</v>
      </c>
      <c r="C3144" s="22" t="s">
        <v>6055</v>
      </c>
      <c r="D3144" s="22" t="s">
        <v>6068</v>
      </c>
      <c r="E3144" s="22" t="s">
        <v>9062</v>
      </c>
      <c r="F3144" s="22">
        <v>35.518799999999999</v>
      </c>
      <c r="G3144" s="22">
        <v>43.2271</v>
      </c>
      <c r="H3144" s="21" t="s">
        <v>6031</v>
      </c>
      <c r="I3144" s="21" t="s">
        <v>6056</v>
      </c>
      <c r="J3144" s="21" t="s">
        <v>6069</v>
      </c>
      <c r="K3144" s="24">
        <v>20</v>
      </c>
      <c r="L3144" s="24">
        <v>120</v>
      </c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>
        <v>20</v>
      </c>
      <c r="AB3144" s="23"/>
      <c r="AC3144" s="23"/>
      <c r="AD3144" s="23"/>
      <c r="AE3144" s="23"/>
      <c r="AF3144" s="23">
        <v>20</v>
      </c>
      <c r="AG3144" s="23"/>
      <c r="AH3144" s="23"/>
      <c r="AI3144" s="23"/>
      <c r="AJ3144" s="23"/>
      <c r="AK3144" s="23"/>
      <c r="AL3144" s="23"/>
      <c r="AM3144" s="23"/>
      <c r="AN3144" s="23"/>
      <c r="AO3144" s="23"/>
      <c r="AP3144" s="23">
        <v>20</v>
      </c>
      <c r="AQ3144" s="23"/>
      <c r="AR3144" s="23"/>
      <c r="AS3144" s="23"/>
      <c r="AT3144" s="23"/>
      <c r="AU3144" s="14" t="str">
        <f>HYPERLINK("http://www.openstreetmap.org/?mlat=35.5188&amp;mlon=43.2271&amp;zoom=12#map=12/35.5188/43.2271","Maplink1")</f>
        <v>Maplink1</v>
      </c>
      <c r="AV3144" s="14" t="str">
        <f>HYPERLINK("https://www.google.iq/maps/search/+35.5188,43.2271/@35.5188,43.2271,14z?hl=en","Maplink2")</f>
        <v>Maplink2</v>
      </c>
      <c r="AW3144" s="14" t="str">
        <f>HYPERLINK("http://www.bing.com/maps/?lvl=14&amp;sty=h&amp;cp=35.5188~43.2271&amp;sp=point.35.5188_43.2271_Hay Al Qasbah","Maplink3")</f>
        <v>Maplink3</v>
      </c>
    </row>
    <row r="3145" spans="1:49" ht="15" customHeight="1" x14ac:dyDescent="0.25">
      <c r="A3145" s="21">
        <v>24246</v>
      </c>
      <c r="B3145" s="22" t="s">
        <v>23</v>
      </c>
      <c r="C3145" s="22" t="s">
        <v>6055</v>
      </c>
      <c r="D3145" s="22" t="s">
        <v>6070</v>
      </c>
      <c r="E3145" s="22" t="s">
        <v>9063</v>
      </c>
      <c r="F3145" s="22">
        <v>35.507100000000001</v>
      </c>
      <c r="G3145" s="22">
        <v>43.244100000000003</v>
      </c>
      <c r="H3145" s="21" t="s">
        <v>6031</v>
      </c>
      <c r="I3145" s="21" t="s">
        <v>6056</v>
      </c>
      <c r="J3145" s="21" t="s">
        <v>6071</v>
      </c>
      <c r="K3145" s="24">
        <v>50</v>
      </c>
      <c r="L3145" s="24">
        <v>300</v>
      </c>
      <c r="M3145" s="23"/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>
        <v>50</v>
      </c>
      <c r="AB3145" s="23"/>
      <c r="AC3145" s="23"/>
      <c r="AD3145" s="23"/>
      <c r="AE3145" s="23"/>
      <c r="AF3145" s="23">
        <v>50</v>
      </c>
      <c r="AG3145" s="23"/>
      <c r="AH3145" s="23"/>
      <c r="AI3145" s="23"/>
      <c r="AJ3145" s="23"/>
      <c r="AK3145" s="23"/>
      <c r="AL3145" s="23"/>
      <c r="AM3145" s="23"/>
      <c r="AN3145" s="23"/>
      <c r="AO3145" s="23"/>
      <c r="AP3145" s="23">
        <v>50</v>
      </c>
      <c r="AQ3145" s="23"/>
      <c r="AR3145" s="23"/>
      <c r="AS3145" s="23"/>
      <c r="AT3145" s="23"/>
      <c r="AU3145" s="14" t="str">
        <f>HYPERLINK("http://www.openstreetmap.org/?mlat=35.5071&amp;mlon=43.2441&amp;zoom=12#map=12/35.5071/43.2441","Maplink1")</f>
        <v>Maplink1</v>
      </c>
      <c r="AV3145" s="14" t="str">
        <f>HYPERLINK("https://www.google.iq/maps/search/+35.5071,43.2441/@35.5071,43.2441,14z?hl=en","Maplink2")</f>
        <v>Maplink2</v>
      </c>
      <c r="AW3145" s="14" t="str">
        <f>HYPERLINK("http://www.bing.com/maps/?lvl=14&amp;sty=h&amp;cp=35.5071~43.2441&amp;sp=point.35.5071_43.2441_Hay Al Ziraa","Maplink3")</f>
        <v>Maplink3</v>
      </c>
    </row>
    <row r="3146" spans="1:49" ht="15" customHeight="1" x14ac:dyDescent="0.25">
      <c r="A3146" s="21">
        <v>20403</v>
      </c>
      <c r="B3146" s="22" t="s">
        <v>23</v>
      </c>
      <c r="C3146" s="22" t="s">
        <v>6055</v>
      </c>
      <c r="D3146" s="22" t="s">
        <v>6072</v>
      </c>
      <c r="E3146" s="22" t="s">
        <v>9064</v>
      </c>
      <c r="F3146" s="22">
        <v>35.590428000000003</v>
      </c>
      <c r="G3146" s="22">
        <v>43.239811000000003</v>
      </c>
      <c r="H3146" s="21" t="s">
        <v>6031</v>
      </c>
      <c r="I3146" s="21" t="s">
        <v>6056</v>
      </c>
      <c r="J3146" s="21" t="s">
        <v>6073</v>
      </c>
      <c r="K3146" s="24">
        <v>15</v>
      </c>
      <c r="L3146" s="24">
        <v>90</v>
      </c>
      <c r="M3146" s="23">
        <v>15</v>
      </c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/>
      <c r="AI3146" s="23"/>
      <c r="AJ3146" s="23"/>
      <c r="AK3146" s="23">
        <v>10</v>
      </c>
      <c r="AL3146" s="23"/>
      <c r="AM3146" s="23">
        <v>5</v>
      </c>
      <c r="AN3146" s="23"/>
      <c r="AO3146" s="23">
        <v>15</v>
      </c>
      <c r="AP3146" s="23"/>
      <c r="AQ3146" s="23"/>
      <c r="AR3146" s="23"/>
      <c r="AS3146" s="23"/>
      <c r="AT3146" s="23"/>
      <c r="AU3146" s="14" t="str">
        <f>HYPERLINK("http://www.openstreetmap.org/?mlat=35.5904&amp;mlon=43.2398&amp;zoom=12#map=12/35.5904/43.2398","Maplink1")</f>
        <v>Maplink1</v>
      </c>
      <c r="AV3146" s="14" t="str">
        <f>HYPERLINK("https://www.google.iq/maps/search/+35.5904,43.2398/@35.5904,43.2398,14z?hl=en","Maplink2")</f>
        <v>Maplink2</v>
      </c>
      <c r="AW3146" s="14" t="str">
        <f>HYPERLINK("http://www.bing.com/maps/?lvl=14&amp;sty=h&amp;cp=35.5904~43.2398&amp;sp=point.35.5904_43.2398_Huriyah al jazerah-Al- Aboud","Maplink3")</f>
        <v>Maplink3</v>
      </c>
    </row>
    <row r="3147" spans="1:49" ht="15" customHeight="1" x14ac:dyDescent="0.25">
      <c r="A3147" s="21">
        <v>20991</v>
      </c>
      <c r="B3147" s="22" t="s">
        <v>23</v>
      </c>
      <c r="C3147" s="22" t="s">
        <v>6055</v>
      </c>
      <c r="D3147" s="22" t="s">
        <v>6074</v>
      </c>
      <c r="E3147" s="22" t="s">
        <v>9065</v>
      </c>
      <c r="F3147" s="22">
        <v>35.468224999999997</v>
      </c>
      <c r="G3147" s="22">
        <v>43.244653</v>
      </c>
      <c r="H3147" s="21" t="s">
        <v>6031</v>
      </c>
      <c r="I3147" s="21" t="s">
        <v>6056</v>
      </c>
      <c r="J3147" s="21" t="s">
        <v>6075</v>
      </c>
      <c r="K3147" s="24">
        <v>100</v>
      </c>
      <c r="L3147" s="24">
        <v>600</v>
      </c>
      <c r="M3147" s="23">
        <v>16</v>
      </c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>
        <v>84</v>
      </c>
      <c r="AB3147" s="23"/>
      <c r="AC3147" s="23"/>
      <c r="AD3147" s="23"/>
      <c r="AE3147" s="23"/>
      <c r="AF3147" s="23">
        <v>60</v>
      </c>
      <c r="AG3147" s="23"/>
      <c r="AH3147" s="23"/>
      <c r="AI3147" s="23"/>
      <c r="AJ3147" s="23"/>
      <c r="AK3147" s="23">
        <v>40</v>
      </c>
      <c r="AL3147" s="23"/>
      <c r="AM3147" s="23"/>
      <c r="AN3147" s="23"/>
      <c r="AO3147" s="23">
        <v>16</v>
      </c>
      <c r="AP3147" s="23">
        <v>84</v>
      </c>
      <c r="AQ3147" s="23"/>
      <c r="AR3147" s="23"/>
      <c r="AS3147" s="23"/>
      <c r="AT3147" s="23"/>
      <c r="AU3147" s="14" t="str">
        <f>HYPERLINK("http://www.openstreetmap.org/?mlat=35.4682&amp;mlon=43.2447&amp;zoom=12#map=12/35.4682/43.2447","Maplink1")</f>
        <v>Maplink1</v>
      </c>
      <c r="AV3147" s="14" t="str">
        <f>HYPERLINK("https://www.google.iq/maps/search/+35.4682,43.2447/@35.4682,43.2447,14z?hl=en","Maplink2")</f>
        <v>Maplink2</v>
      </c>
      <c r="AW3147" s="14" t="str">
        <f>HYPERLINK("http://www.bing.com/maps/?lvl=14&amp;sty=h&amp;cp=35.4682~43.2447&amp;sp=point.35.4682_43.2447_Qaryat Al Sabkha","Maplink3")</f>
        <v>Maplink3</v>
      </c>
    </row>
    <row r="3148" spans="1:49" ht="15" customHeight="1" x14ac:dyDescent="0.25">
      <c r="A3148" s="21">
        <v>21006</v>
      </c>
      <c r="B3148" s="22" t="s">
        <v>23</v>
      </c>
      <c r="C3148" s="22" t="s">
        <v>6055</v>
      </c>
      <c r="D3148" s="22" t="s">
        <v>6076</v>
      </c>
      <c r="E3148" s="22" t="s">
        <v>6077</v>
      </c>
      <c r="F3148" s="22">
        <v>35.488326999999998</v>
      </c>
      <c r="G3148" s="22">
        <v>43.227102000000002</v>
      </c>
      <c r="H3148" s="21" t="s">
        <v>6031</v>
      </c>
      <c r="I3148" s="21" t="s">
        <v>6056</v>
      </c>
      <c r="J3148" s="21" t="s">
        <v>6078</v>
      </c>
      <c r="K3148" s="24">
        <v>100</v>
      </c>
      <c r="L3148" s="24">
        <v>600</v>
      </c>
      <c r="M3148" s="23">
        <v>10</v>
      </c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>
        <v>90</v>
      </c>
      <c r="AB3148" s="23"/>
      <c r="AC3148" s="23"/>
      <c r="AD3148" s="23"/>
      <c r="AE3148" s="23"/>
      <c r="AF3148" s="23">
        <v>50</v>
      </c>
      <c r="AG3148" s="23"/>
      <c r="AH3148" s="23"/>
      <c r="AI3148" s="23"/>
      <c r="AJ3148" s="23"/>
      <c r="AK3148" s="23">
        <v>30</v>
      </c>
      <c r="AL3148" s="23">
        <v>10</v>
      </c>
      <c r="AM3148" s="23">
        <v>10</v>
      </c>
      <c r="AN3148" s="23"/>
      <c r="AO3148" s="23">
        <v>10</v>
      </c>
      <c r="AP3148" s="23">
        <v>40</v>
      </c>
      <c r="AQ3148" s="23">
        <v>50</v>
      </c>
      <c r="AR3148" s="23"/>
      <c r="AS3148" s="23"/>
      <c r="AT3148" s="23"/>
      <c r="AU3148" s="14" t="str">
        <f>HYPERLINK("http://www.openstreetmap.org/?mlat=35.4883&amp;mlon=43.2271&amp;zoom=12#map=12/35.4883/43.2271","Maplink1")</f>
        <v>Maplink1</v>
      </c>
      <c r="AV3148" s="14" t="str">
        <f>HYPERLINK("https://www.google.iq/maps/search/+35.4883,43.2271/@35.4883,43.2271,14z?hl=en","Maplink2")</f>
        <v>Maplink2</v>
      </c>
      <c r="AW3148" s="14" t="str">
        <f>HYPERLINK("http://www.bing.com/maps/?lvl=14&amp;sty=h&amp;cp=35.4883~43.2271&amp;sp=point.35.4883_43.2271_Tal Al Jumiala area","Maplink3")</f>
        <v>Maplink3</v>
      </c>
    </row>
    <row r="3149" spans="1:49" ht="15" customHeight="1" x14ac:dyDescent="0.25">
      <c r="A3149" s="21">
        <v>23388</v>
      </c>
      <c r="B3149" s="22" t="s">
        <v>23</v>
      </c>
      <c r="C3149" s="22" t="s">
        <v>6079</v>
      </c>
      <c r="D3149" s="22" t="s">
        <v>6185</v>
      </c>
      <c r="E3149" s="22" t="s">
        <v>9066</v>
      </c>
      <c r="F3149" s="22">
        <v>34.768366739999998</v>
      </c>
      <c r="G3149" s="22">
        <v>43.59085838</v>
      </c>
      <c r="H3149" s="21" t="s">
        <v>6031</v>
      </c>
      <c r="I3149" s="21" t="s">
        <v>6081</v>
      </c>
      <c r="J3149" s="21" t="s">
        <v>8241</v>
      </c>
      <c r="K3149" s="24">
        <v>91</v>
      </c>
      <c r="L3149" s="24">
        <v>546</v>
      </c>
      <c r="M3149" s="23"/>
      <c r="N3149" s="23"/>
      <c r="O3149" s="23"/>
      <c r="P3149" s="23"/>
      <c r="Q3149" s="23"/>
      <c r="R3149" s="23"/>
      <c r="S3149" s="23"/>
      <c r="T3149" s="23"/>
      <c r="U3149" s="23">
        <v>5</v>
      </c>
      <c r="V3149" s="23"/>
      <c r="W3149" s="23"/>
      <c r="X3149" s="23"/>
      <c r="Y3149" s="23"/>
      <c r="Z3149" s="23"/>
      <c r="AA3149" s="23">
        <v>86</v>
      </c>
      <c r="AB3149" s="23"/>
      <c r="AC3149" s="23"/>
      <c r="AD3149" s="23"/>
      <c r="AE3149" s="23"/>
      <c r="AF3149" s="23">
        <v>44</v>
      </c>
      <c r="AG3149" s="23"/>
      <c r="AH3149" s="23">
        <v>27</v>
      </c>
      <c r="AI3149" s="23"/>
      <c r="AJ3149" s="23"/>
      <c r="AK3149" s="23">
        <v>20</v>
      </c>
      <c r="AL3149" s="23"/>
      <c r="AM3149" s="23"/>
      <c r="AN3149" s="23"/>
      <c r="AO3149" s="23"/>
      <c r="AP3149" s="23">
        <v>29</v>
      </c>
      <c r="AQ3149" s="23">
        <v>11</v>
      </c>
      <c r="AR3149" s="23"/>
      <c r="AS3149" s="23"/>
      <c r="AT3149" s="23">
        <v>51</v>
      </c>
      <c r="AU3149" s="14" t="str">
        <f>HYPERLINK("http://www.openstreetmap.org/?mlat=34.8242&amp;mlon=43.5281&amp;zoom=12#map=12/34.8242/43.5281","Maplink1")</f>
        <v>Maplink1</v>
      </c>
      <c r="AV3149" s="14" t="str">
        <f>HYPERLINK("https://www.google.iq/maps/search/+34.8242,43.5281/@34.8242,43.5281,14z?hl=en","Maplink2")</f>
        <v>Maplink2</v>
      </c>
      <c r="AW3149" s="14" t="str">
        <f>HYPERLINK("http://www.bing.com/maps/?lvl=14&amp;sty=h&amp;cp=34.8242~43.5281&amp;sp=point.34.8242_43.5281_Al-Hamra village","Maplink3")</f>
        <v>Maplink3</v>
      </c>
    </row>
    <row r="3150" spans="1:49" ht="15" customHeight="1" x14ac:dyDescent="0.25">
      <c r="A3150" s="21">
        <v>25921</v>
      </c>
      <c r="B3150" s="22" t="s">
        <v>23</v>
      </c>
      <c r="C3150" s="22" t="s">
        <v>6079</v>
      </c>
      <c r="D3150" s="22" t="s">
        <v>9067</v>
      </c>
      <c r="E3150" s="22" t="s">
        <v>9068</v>
      </c>
      <c r="F3150" s="22">
        <v>34.84794823</v>
      </c>
      <c r="G3150" s="22">
        <v>43.51412586</v>
      </c>
      <c r="H3150" s="21" t="s">
        <v>6031</v>
      </c>
      <c r="I3150" s="21" t="s">
        <v>6081</v>
      </c>
      <c r="J3150" s="21"/>
      <c r="K3150" s="24">
        <v>152</v>
      </c>
      <c r="L3150" s="24">
        <v>912</v>
      </c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>
        <v>16</v>
      </c>
      <c r="Z3150" s="23"/>
      <c r="AA3150" s="23">
        <v>136</v>
      </c>
      <c r="AB3150" s="23"/>
      <c r="AC3150" s="23"/>
      <c r="AD3150" s="23"/>
      <c r="AE3150" s="23"/>
      <c r="AF3150" s="23">
        <v>20</v>
      </c>
      <c r="AG3150" s="23"/>
      <c r="AH3150" s="23">
        <v>32</v>
      </c>
      <c r="AI3150" s="23"/>
      <c r="AJ3150" s="23">
        <v>15</v>
      </c>
      <c r="AK3150" s="23">
        <v>20</v>
      </c>
      <c r="AL3150" s="23"/>
      <c r="AM3150" s="23">
        <v>65</v>
      </c>
      <c r="AN3150" s="23"/>
      <c r="AO3150" s="23"/>
      <c r="AP3150" s="23"/>
      <c r="AQ3150" s="23"/>
      <c r="AR3150" s="23"/>
      <c r="AS3150" s="23"/>
      <c r="AT3150" s="23">
        <v>152</v>
      </c>
      <c r="AU3150" s="14" t="str">
        <f>HYPERLINK("http://www.openstreetmap.org/?mlat=34.8327&amp;mlon=43.5162&amp;zoom=12#map=12/34.8327/43.5162","Maplink1")</f>
        <v>Maplink1</v>
      </c>
      <c r="AV3150" s="14" t="str">
        <f>HYPERLINK("https://www.google.iq/maps/search/+34.8327,43.5162/@34.8327,43.5162,14z?hl=en","Maplink2")</f>
        <v>Maplink2</v>
      </c>
      <c r="AW3150" s="14" t="str">
        <f>HYPERLINK("http://www.bing.com/maps/?lvl=14&amp;sty=h&amp;cp=34.8327~43.5162&amp;sp=point.34.8327_43.5162_Al-Hejaj village -13","Maplink3")</f>
        <v>Maplink3</v>
      </c>
    </row>
    <row r="3151" spans="1:49" ht="15" customHeight="1" x14ac:dyDescent="0.25">
      <c r="A3151" s="21">
        <v>20655</v>
      </c>
      <c r="B3151" s="22" t="s">
        <v>23</v>
      </c>
      <c r="C3151" s="22" t="s">
        <v>6079</v>
      </c>
      <c r="D3151" s="22" t="s">
        <v>7476</v>
      </c>
      <c r="E3151" s="22" t="s">
        <v>6080</v>
      </c>
      <c r="F3151" s="22">
        <v>34.886780000000002</v>
      </c>
      <c r="G3151" s="22">
        <v>43.488549999999996</v>
      </c>
      <c r="H3151" s="21" t="s">
        <v>6031</v>
      </c>
      <c r="I3151" s="21" t="s">
        <v>6081</v>
      </c>
      <c r="J3151" s="21" t="s">
        <v>6082</v>
      </c>
      <c r="K3151" s="24">
        <v>200</v>
      </c>
      <c r="L3151" s="24">
        <v>1200</v>
      </c>
      <c r="M3151" s="23"/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>
        <v>200</v>
      </c>
      <c r="AB3151" s="23"/>
      <c r="AC3151" s="23"/>
      <c r="AD3151" s="23"/>
      <c r="AE3151" s="23"/>
      <c r="AF3151" s="23">
        <v>200</v>
      </c>
      <c r="AG3151" s="23"/>
      <c r="AH3151" s="23"/>
      <c r="AI3151" s="23"/>
      <c r="AJ3151" s="23"/>
      <c r="AK3151" s="23"/>
      <c r="AL3151" s="23"/>
      <c r="AM3151" s="23"/>
      <c r="AN3151" s="23"/>
      <c r="AO3151" s="23"/>
      <c r="AP3151" s="23"/>
      <c r="AQ3151" s="23">
        <v>155</v>
      </c>
      <c r="AR3151" s="23"/>
      <c r="AS3151" s="23"/>
      <c r="AT3151" s="23">
        <v>45</v>
      </c>
      <c r="AU3151" s="14" t="str">
        <f>HYPERLINK("http://www.openstreetmap.org/?mlat=34.8868&amp;mlon=43.4885&amp;zoom=12#map=12/34.8868/43.4885","Maplink1")</f>
        <v>Maplink1</v>
      </c>
      <c r="AV3151" s="14" t="str">
        <f>HYPERLINK("https://www.google.iq/maps/search/+34.8868,43.4885/@34.8868,43.4885,14z?hl=en","Maplink2")</f>
        <v>Maplink2</v>
      </c>
      <c r="AW3151" s="14" t="str">
        <f>HYPERLINK("http://www.bing.com/maps/?lvl=14&amp;sty=h&amp;cp=34.8868~43.4885&amp;sp=point.34.8868_43.4885_Al Angaa","Maplink3")</f>
        <v>Maplink3</v>
      </c>
    </row>
    <row r="3152" spans="1:49" ht="15" customHeight="1" x14ac:dyDescent="0.25">
      <c r="A3152" s="21">
        <v>24304</v>
      </c>
      <c r="B3152" s="22" t="s">
        <v>23</v>
      </c>
      <c r="C3152" s="22" t="s">
        <v>6079</v>
      </c>
      <c r="D3152" s="22" t="s">
        <v>6083</v>
      </c>
      <c r="E3152" s="22" t="s">
        <v>9069</v>
      </c>
      <c r="F3152" s="22">
        <v>35.185783000000001</v>
      </c>
      <c r="G3152" s="22">
        <v>43.401864000000003</v>
      </c>
      <c r="H3152" s="21" t="s">
        <v>6031</v>
      </c>
      <c r="I3152" s="21" t="s">
        <v>6081</v>
      </c>
      <c r="J3152" s="21" t="s">
        <v>6084</v>
      </c>
      <c r="K3152" s="24">
        <v>150</v>
      </c>
      <c r="L3152" s="24">
        <v>900</v>
      </c>
      <c r="M3152" s="23"/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>
        <v>150</v>
      </c>
      <c r="AB3152" s="23"/>
      <c r="AC3152" s="23"/>
      <c r="AD3152" s="23"/>
      <c r="AE3152" s="23"/>
      <c r="AF3152" s="23">
        <v>70</v>
      </c>
      <c r="AG3152" s="23"/>
      <c r="AH3152" s="23"/>
      <c r="AI3152" s="23"/>
      <c r="AJ3152" s="23">
        <v>10</v>
      </c>
      <c r="AK3152" s="23">
        <v>10</v>
      </c>
      <c r="AL3152" s="23">
        <v>30</v>
      </c>
      <c r="AM3152" s="23">
        <v>30</v>
      </c>
      <c r="AN3152" s="23"/>
      <c r="AO3152" s="23"/>
      <c r="AP3152" s="23">
        <v>150</v>
      </c>
      <c r="AQ3152" s="23"/>
      <c r="AR3152" s="23"/>
      <c r="AS3152" s="23"/>
      <c r="AT3152" s="23"/>
      <c r="AU3152" s="14" t="str">
        <f>HYPERLINK("http://www.openstreetmap.org/?mlat=35.1858&amp;mlon=43.4019&amp;zoom=12#map=12/35.1858/43.4019","Maplink1")</f>
        <v>Maplink1</v>
      </c>
      <c r="AV3152" s="14" t="str">
        <f>HYPERLINK("https://www.google.iq/maps/search/+35.1858,43.4019/@35.1858,43.4019,14z?hl=en","Maplink2")</f>
        <v>Maplink2</v>
      </c>
      <c r="AW3152" s="14" t="str">
        <f>HYPERLINK("http://www.bing.com/maps/?lvl=14&amp;sty=h&amp;cp=35.1858~43.4019&amp;sp=point.35.1858_43.4019_Al Mushhaq Village","Maplink3")</f>
        <v>Maplink3</v>
      </c>
    </row>
    <row r="3153" spans="1:49" ht="15" customHeight="1" x14ac:dyDescent="0.25">
      <c r="A3153" s="21">
        <v>24305</v>
      </c>
      <c r="B3153" s="22" t="s">
        <v>23</v>
      </c>
      <c r="C3153" s="22" t="s">
        <v>6079</v>
      </c>
      <c r="D3153" s="22" t="s">
        <v>6085</v>
      </c>
      <c r="E3153" s="22" t="s">
        <v>9070</v>
      </c>
      <c r="F3153" s="22">
        <v>35.333402</v>
      </c>
      <c r="G3153" s="22">
        <v>43.352386000000003</v>
      </c>
      <c r="H3153" s="21" t="s">
        <v>6031</v>
      </c>
      <c r="I3153" s="21" t="s">
        <v>6081</v>
      </c>
      <c r="J3153" s="21" t="s">
        <v>6086</v>
      </c>
      <c r="K3153" s="24">
        <v>100</v>
      </c>
      <c r="L3153" s="24">
        <v>600</v>
      </c>
      <c r="M3153" s="23"/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>
        <v>100</v>
      </c>
      <c r="AB3153" s="23"/>
      <c r="AC3153" s="23"/>
      <c r="AD3153" s="23"/>
      <c r="AE3153" s="23"/>
      <c r="AF3153" s="23">
        <v>30</v>
      </c>
      <c r="AG3153" s="23"/>
      <c r="AH3153" s="23"/>
      <c r="AI3153" s="23"/>
      <c r="AJ3153" s="23">
        <v>15</v>
      </c>
      <c r="AK3153" s="23">
        <v>10</v>
      </c>
      <c r="AL3153" s="23">
        <v>10</v>
      </c>
      <c r="AM3153" s="23">
        <v>35</v>
      </c>
      <c r="AN3153" s="23"/>
      <c r="AO3153" s="23"/>
      <c r="AP3153" s="23">
        <v>100</v>
      </c>
      <c r="AQ3153" s="23"/>
      <c r="AR3153" s="23"/>
      <c r="AS3153" s="23"/>
      <c r="AT3153" s="23"/>
      <c r="AU3153" s="14" t="str">
        <f>HYPERLINK("http://www.openstreetmap.org/?mlat=35.3193&amp;mlon=43.3137&amp;zoom=12#map=12/35.3193/43.3137","Maplink1")</f>
        <v>Maplink1</v>
      </c>
      <c r="AV3153" s="14" t="str">
        <f>HYPERLINK("https://www.google.iq/maps/search/+35.3193,43.3137/@35.3193,43.3137,14z?hl=en","Maplink2")</f>
        <v>Maplink2</v>
      </c>
      <c r="AW3153" s="14" t="str">
        <f>HYPERLINK("http://www.bing.com/maps/?lvl=14&amp;sty=h&amp;cp=35.3193~43.3137&amp;sp=point.35.3193_43.3137_Al Namel Village","Maplink3")</f>
        <v>Maplink3</v>
      </c>
    </row>
    <row r="3154" spans="1:49" ht="15" customHeight="1" x14ac:dyDescent="0.25">
      <c r="A3154" s="21">
        <v>25706</v>
      </c>
      <c r="B3154" s="22" t="s">
        <v>23</v>
      </c>
      <c r="C3154" s="22" t="s">
        <v>6079</v>
      </c>
      <c r="D3154" s="22" t="s">
        <v>9071</v>
      </c>
      <c r="E3154" s="22" t="s">
        <v>9072</v>
      </c>
      <c r="F3154" s="22">
        <v>34.825642250000001</v>
      </c>
      <c r="G3154" s="22">
        <v>43.546981529999996</v>
      </c>
      <c r="H3154" s="21" t="s">
        <v>6031</v>
      </c>
      <c r="I3154" s="21" t="s">
        <v>6081</v>
      </c>
      <c r="J3154" s="21"/>
      <c r="K3154" s="24">
        <v>400</v>
      </c>
      <c r="L3154" s="24">
        <v>2400</v>
      </c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>
        <v>120</v>
      </c>
      <c r="Z3154" s="23"/>
      <c r="AA3154" s="23">
        <v>280</v>
      </c>
      <c r="AB3154" s="23"/>
      <c r="AC3154" s="23"/>
      <c r="AD3154" s="23"/>
      <c r="AE3154" s="23"/>
      <c r="AF3154" s="23">
        <v>120</v>
      </c>
      <c r="AG3154" s="23"/>
      <c r="AH3154" s="23">
        <v>70</v>
      </c>
      <c r="AI3154" s="23"/>
      <c r="AJ3154" s="23"/>
      <c r="AK3154" s="23">
        <v>90</v>
      </c>
      <c r="AL3154" s="23">
        <v>50</v>
      </c>
      <c r="AM3154" s="23">
        <v>70</v>
      </c>
      <c r="AN3154" s="23"/>
      <c r="AO3154" s="23"/>
      <c r="AP3154" s="23"/>
      <c r="AQ3154" s="23">
        <v>142</v>
      </c>
      <c r="AR3154" s="23">
        <v>56</v>
      </c>
      <c r="AS3154" s="23"/>
      <c r="AT3154" s="23">
        <v>202</v>
      </c>
      <c r="AU3154" s="14" t="str">
        <f>HYPERLINK("http://www.openstreetmap.org/?mlat=34.8235&amp;mlon=43.5222&amp;zoom=12#map=12/34.8235/43.5222","Maplink1")</f>
        <v>Maplink1</v>
      </c>
      <c r="AV3154" s="14" t="str">
        <f>HYPERLINK("https://www.google.iq/maps/search/+34.8235,43.5222/@34.8235,43.5222,14z?hl=en","Maplink2")</f>
        <v>Maplink2</v>
      </c>
      <c r="AW3154" s="14" t="str">
        <f>HYPERLINK("http://www.bing.com/maps/?lvl=14&amp;sty=h&amp;cp=34.8235~43.5222&amp;sp=point.34.8235_43.5222_Albu-tumah village-12","Maplink3")</f>
        <v>Maplink3</v>
      </c>
    </row>
    <row r="3155" spans="1:49" ht="15" customHeight="1" x14ac:dyDescent="0.25">
      <c r="A3155" s="21">
        <v>20686</v>
      </c>
      <c r="B3155" s="22" t="s">
        <v>23</v>
      </c>
      <c r="C3155" s="22" t="s">
        <v>6079</v>
      </c>
      <c r="D3155" s="22" t="s">
        <v>8090</v>
      </c>
      <c r="E3155" s="22" t="s">
        <v>9073</v>
      </c>
      <c r="F3155" s="22">
        <v>34.946399999999997</v>
      </c>
      <c r="G3155" s="22">
        <v>43.499699999999997</v>
      </c>
      <c r="H3155" s="21" t="s">
        <v>6031</v>
      </c>
      <c r="I3155" s="21" t="s">
        <v>6081</v>
      </c>
      <c r="J3155" s="21" t="s">
        <v>8091</v>
      </c>
      <c r="K3155" s="24">
        <v>117</v>
      </c>
      <c r="L3155" s="24">
        <v>702</v>
      </c>
      <c r="M3155" s="23"/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>
        <v>117</v>
      </c>
      <c r="AB3155" s="23"/>
      <c r="AC3155" s="23"/>
      <c r="AD3155" s="23"/>
      <c r="AE3155" s="23"/>
      <c r="AF3155" s="23">
        <v>28</v>
      </c>
      <c r="AG3155" s="23"/>
      <c r="AH3155" s="23">
        <v>89</v>
      </c>
      <c r="AI3155" s="23"/>
      <c r="AJ3155" s="23"/>
      <c r="AK3155" s="23"/>
      <c r="AL3155" s="23"/>
      <c r="AM3155" s="23"/>
      <c r="AN3155" s="23"/>
      <c r="AO3155" s="23"/>
      <c r="AP3155" s="23"/>
      <c r="AQ3155" s="23"/>
      <c r="AR3155" s="23"/>
      <c r="AS3155" s="23"/>
      <c r="AT3155" s="23">
        <v>117</v>
      </c>
      <c r="AU3155" s="14" t="str">
        <f>HYPERLINK("http://www.openstreetmap.org/?mlat=34.9464&amp;mlon=43.4997&amp;zoom=12#map=12/34.9464/43.4997","Maplink1")</f>
        <v>Maplink1</v>
      </c>
      <c r="AV3155" s="14" t="str">
        <f>HYPERLINK("https://www.google.iq/maps/search/+34.9464,43.4997/@34.9464,43.4997,14z?hl=en","Maplink2")</f>
        <v>Maplink2</v>
      </c>
      <c r="AW3155" s="14" t="str">
        <f>HYPERLINK("http://www.bing.com/maps/?lvl=14&amp;sty=h&amp;cp=34.9464~43.4997&amp;sp=point.34.9464_43.4997_Jireesh village","Maplink3")</f>
        <v>Maplink3</v>
      </c>
    </row>
    <row r="3156" spans="1:49" ht="15" customHeight="1" x14ac:dyDescent="0.25">
      <c r="A3156" s="21">
        <v>22958</v>
      </c>
      <c r="B3156" s="22" t="s">
        <v>23</v>
      </c>
      <c r="C3156" s="22" t="s">
        <v>6079</v>
      </c>
      <c r="D3156" s="22" t="s">
        <v>6087</v>
      </c>
      <c r="E3156" s="22" t="s">
        <v>6088</v>
      </c>
      <c r="F3156" s="22">
        <v>35.081696999999998</v>
      </c>
      <c r="G3156" s="22">
        <v>43.522956999999998</v>
      </c>
      <c r="H3156" s="21" t="s">
        <v>6031</v>
      </c>
      <c r="I3156" s="21" t="s">
        <v>6081</v>
      </c>
      <c r="J3156" s="21" t="s">
        <v>6089</v>
      </c>
      <c r="K3156" s="24">
        <v>100</v>
      </c>
      <c r="L3156" s="24">
        <v>600</v>
      </c>
      <c r="M3156" s="23"/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>
        <v>100</v>
      </c>
      <c r="AB3156" s="23"/>
      <c r="AC3156" s="23"/>
      <c r="AD3156" s="23"/>
      <c r="AE3156" s="23"/>
      <c r="AF3156" s="23">
        <v>55</v>
      </c>
      <c r="AG3156" s="23"/>
      <c r="AH3156" s="23"/>
      <c r="AI3156" s="23"/>
      <c r="AJ3156" s="23">
        <v>10</v>
      </c>
      <c r="AK3156" s="23">
        <v>5</v>
      </c>
      <c r="AL3156" s="23">
        <v>10</v>
      </c>
      <c r="AM3156" s="23">
        <v>20</v>
      </c>
      <c r="AN3156" s="23"/>
      <c r="AO3156" s="23"/>
      <c r="AP3156" s="23">
        <v>100</v>
      </c>
      <c r="AQ3156" s="23"/>
      <c r="AR3156" s="23"/>
      <c r="AS3156" s="23"/>
      <c r="AT3156" s="23"/>
      <c r="AU3156" s="14" t="str">
        <f>HYPERLINK("http://www.openstreetmap.org/?mlat=35.0817&amp;mlon=43.523&amp;zoom=12#map=12/35.0817/43.523","Maplink1")</f>
        <v>Maplink1</v>
      </c>
      <c r="AV3156" s="14" t="str">
        <f>HYPERLINK("https://www.google.iq/maps/search/+35.0817,43.523/@35.0817,43.523,14z?hl=en","Maplink2")</f>
        <v>Maplink2</v>
      </c>
      <c r="AW3156" s="14" t="str">
        <f>HYPERLINK("http://www.bing.com/maps/?lvl=14&amp;sty=h&amp;cp=35.0817~43.523&amp;sp=point.35.0817_43.523_Maslakha Al Sufla (Shikh Abdula village)","Maplink3")</f>
        <v>Maplink3</v>
      </c>
    </row>
    <row r="3157" spans="1:49" ht="15" customHeight="1" x14ac:dyDescent="0.25">
      <c r="A3157" s="21">
        <v>22959</v>
      </c>
      <c r="B3157" s="22" t="s">
        <v>23</v>
      </c>
      <c r="C3157" s="22" t="s">
        <v>6079</v>
      </c>
      <c r="D3157" s="22" t="s">
        <v>6090</v>
      </c>
      <c r="E3157" s="22" t="s">
        <v>6091</v>
      </c>
      <c r="F3157" s="22">
        <v>35.090910999999998</v>
      </c>
      <c r="G3157" s="22">
        <v>43.519889999999997</v>
      </c>
      <c r="H3157" s="21" t="s">
        <v>6031</v>
      </c>
      <c r="I3157" s="21" t="s">
        <v>6081</v>
      </c>
      <c r="J3157" s="21" t="s">
        <v>6092</v>
      </c>
      <c r="K3157" s="24">
        <v>40</v>
      </c>
      <c r="L3157" s="24">
        <v>240</v>
      </c>
      <c r="M3157" s="23"/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>
        <v>40</v>
      </c>
      <c r="AB3157" s="23"/>
      <c r="AC3157" s="23"/>
      <c r="AD3157" s="23"/>
      <c r="AE3157" s="23"/>
      <c r="AF3157" s="23">
        <v>15</v>
      </c>
      <c r="AG3157" s="23"/>
      <c r="AH3157" s="23"/>
      <c r="AI3157" s="23"/>
      <c r="AJ3157" s="23"/>
      <c r="AK3157" s="23">
        <v>5</v>
      </c>
      <c r="AL3157" s="23">
        <v>5</v>
      </c>
      <c r="AM3157" s="23">
        <v>15</v>
      </c>
      <c r="AN3157" s="23"/>
      <c r="AO3157" s="23"/>
      <c r="AP3157" s="23">
        <v>40</v>
      </c>
      <c r="AQ3157" s="23"/>
      <c r="AR3157" s="23"/>
      <c r="AS3157" s="23"/>
      <c r="AT3157" s="23"/>
      <c r="AU3157" s="14" t="str">
        <f>HYPERLINK("http://www.openstreetmap.org/?mlat=35.0909&amp;mlon=43.5199&amp;zoom=12#map=12/35.0909/43.5199","Maplink1")</f>
        <v>Maplink1</v>
      </c>
      <c r="AV3157" s="14" t="str">
        <f>HYPERLINK("https://www.google.iq/maps/search/+35.0909,43.5199/@35.0909,43.5199,14z?hl=en","Maplink2")</f>
        <v>Maplink2</v>
      </c>
      <c r="AW3157" s="14" t="str">
        <f>HYPERLINK("http://www.bing.com/maps/?lvl=14&amp;sty=h&amp;cp=35.0909~43.5199&amp;sp=point.35.0909_43.5199_Maslakha Al Ulya","Maplink3")</f>
        <v>Maplink3</v>
      </c>
    </row>
    <row r="3158" spans="1:49" ht="15" customHeight="1" x14ac:dyDescent="0.25">
      <c r="A3158" s="21">
        <v>22813</v>
      </c>
      <c r="B3158" s="22" t="s">
        <v>23</v>
      </c>
      <c r="C3158" s="22" t="s">
        <v>6079</v>
      </c>
      <c r="D3158" s="22" t="s">
        <v>6093</v>
      </c>
      <c r="E3158" s="22" t="s">
        <v>9074</v>
      </c>
      <c r="F3158" s="22">
        <v>34.86265641</v>
      </c>
      <c r="G3158" s="22">
        <v>43.507938340000003</v>
      </c>
      <c r="H3158" s="21" t="s">
        <v>6031</v>
      </c>
      <c r="I3158" s="21" t="s">
        <v>6081</v>
      </c>
      <c r="J3158" s="21" t="s">
        <v>6094</v>
      </c>
      <c r="K3158" s="24">
        <v>375</v>
      </c>
      <c r="L3158" s="24">
        <v>2250</v>
      </c>
      <c r="M3158" s="23"/>
      <c r="N3158" s="23"/>
      <c r="O3158" s="23"/>
      <c r="P3158" s="23"/>
      <c r="Q3158" s="23"/>
      <c r="R3158" s="23"/>
      <c r="S3158" s="23"/>
      <c r="T3158" s="23"/>
      <c r="U3158" s="23">
        <v>150</v>
      </c>
      <c r="V3158" s="23"/>
      <c r="W3158" s="23"/>
      <c r="X3158" s="23"/>
      <c r="Y3158" s="23"/>
      <c r="Z3158" s="23"/>
      <c r="AA3158" s="23">
        <v>225</v>
      </c>
      <c r="AB3158" s="23"/>
      <c r="AC3158" s="23"/>
      <c r="AD3158" s="23"/>
      <c r="AE3158" s="23"/>
      <c r="AF3158" s="23">
        <v>25</v>
      </c>
      <c r="AG3158" s="23"/>
      <c r="AH3158" s="23">
        <v>250</v>
      </c>
      <c r="AI3158" s="23"/>
      <c r="AJ3158" s="23"/>
      <c r="AK3158" s="23"/>
      <c r="AL3158" s="23"/>
      <c r="AM3158" s="23">
        <v>100</v>
      </c>
      <c r="AN3158" s="23"/>
      <c r="AO3158" s="23"/>
      <c r="AP3158" s="23"/>
      <c r="AQ3158" s="23"/>
      <c r="AR3158" s="23"/>
      <c r="AS3158" s="23">
        <v>325</v>
      </c>
      <c r="AT3158" s="23">
        <v>50</v>
      </c>
      <c r="AU3158" s="14" t="str">
        <f>HYPERLINK("http://www.openstreetmap.org/?mlat=34.8726&amp;mlon=43.5206&amp;zoom=12#map=12/34.8726/43.5206","Maplink1")</f>
        <v>Maplink1</v>
      </c>
      <c r="AV3158" s="14" t="str">
        <f>HYPERLINK("https://www.google.iq/maps/search/+34.8726,43.5206/@34.8726,43.5206,14z?hl=en","Maplink2")</f>
        <v>Maplink2</v>
      </c>
      <c r="AW3158" s="14" t="str">
        <f>HYPERLINK("http://www.bing.com/maps/?lvl=14&amp;sty=h&amp;cp=34.8726~43.5206&amp;sp=point.34.8726_43.5206_Qaryat Al Sareen","Maplink3")</f>
        <v>Maplink3</v>
      </c>
    </row>
    <row r="3159" spans="1:49" ht="15" customHeight="1" x14ac:dyDescent="0.25">
      <c r="A3159" s="21">
        <v>23140</v>
      </c>
      <c r="B3159" s="22" t="s">
        <v>23</v>
      </c>
      <c r="C3159" s="22" t="s">
        <v>6095</v>
      </c>
      <c r="D3159" s="22" t="s">
        <v>6096</v>
      </c>
      <c r="E3159" s="22" t="s">
        <v>6097</v>
      </c>
      <c r="F3159" s="22">
        <v>34.085740440000002</v>
      </c>
      <c r="G3159" s="22">
        <v>44.163247660000003</v>
      </c>
      <c r="H3159" s="21" t="s">
        <v>6031</v>
      </c>
      <c r="I3159" s="21" t="s">
        <v>6098</v>
      </c>
      <c r="J3159" s="21" t="s">
        <v>6099</v>
      </c>
      <c r="K3159" s="24">
        <v>409</v>
      </c>
      <c r="L3159" s="24">
        <v>2454</v>
      </c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>
        <v>409</v>
      </c>
      <c r="AB3159" s="23"/>
      <c r="AC3159" s="23"/>
      <c r="AD3159" s="23"/>
      <c r="AE3159" s="23"/>
      <c r="AF3159" s="23">
        <v>75</v>
      </c>
      <c r="AG3159" s="23"/>
      <c r="AH3159" s="23">
        <v>207</v>
      </c>
      <c r="AI3159" s="23"/>
      <c r="AJ3159" s="23"/>
      <c r="AK3159" s="23">
        <v>27</v>
      </c>
      <c r="AL3159" s="23"/>
      <c r="AM3159" s="23">
        <v>100</v>
      </c>
      <c r="AN3159" s="23"/>
      <c r="AO3159" s="23"/>
      <c r="AP3159" s="23">
        <v>170</v>
      </c>
      <c r="AQ3159" s="23">
        <v>239</v>
      </c>
      <c r="AR3159" s="23"/>
      <c r="AS3159" s="23"/>
      <c r="AT3159" s="23"/>
      <c r="AU3159" s="14" t="str">
        <f>HYPERLINK("http://www.openstreetmap.org/?mlat=34.14&amp;mlon=44.1221&amp;zoom=12#map=12/34.14/44.1221","Maplink1")</f>
        <v>Maplink1</v>
      </c>
      <c r="AV3159" s="14" t="str">
        <f>HYPERLINK("https://www.google.iq/maps/search/+34.14,44.1221/@34.14,44.1221,14z?hl=en","Maplink2")</f>
        <v>Maplink2</v>
      </c>
      <c r="AW3159" s="14" t="str">
        <f>HYPERLINK("http://www.bing.com/maps/?lvl=14&amp;sty=h&amp;cp=34.14~44.1221&amp;sp=point.34.14_44.1221_Al Hardaniyah","Maplink3")</f>
        <v>Maplink3</v>
      </c>
    </row>
    <row r="3160" spans="1:49" ht="15" customHeight="1" x14ac:dyDescent="0.25">
      <c r="A3160" s="21">
        <v>29600</v>
      </c>
      <c r="B3160" s="22" t="s">
        <v>23</v>
      </c>
      <c r="C3160" s="22" t="s">
        <v>6095</v>
      </c>
      <c r="D3160" s="22" t="s">
        <v>8242</v>
      </c>
      <c r="E3160" s="22" t="s">
        <v>8243</v>
      </c>
      <c r="F3160" s="22">
        <v>34.070946999999997</v>
      </c>
      <c r="G3160" s="22">
        <v>44.154379300000002</v>
      </c>
      <c r="H3160" s="21" t="s">
        <v>6031</v>
      </c>
      <c r="I3160" s="21" t="s">
        <v>6098</v>
      </c>
      <c r="J3160" s="21"/>
      <c r="K3160" s="24">
        <v>273</v>
      </c>
      <c r="L3160" s="24">
        <v>1638</v>
      </c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>
        <v>273</v>
      </c>
      <c r="AB3160" s="23"/>
      <c r="AC3160" s="23"/>
      <c r="AD3160" s="23"/>
      <c r="AE3160" s="23">
        <v>273</v>
      </c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>
        <v>273</v>
      </c>
      <c r="AR3160" s="23"/>
      <c r="AS3160" s="23"/>
      <c r="AT3160" s="23"/>
      <c r="AU3160" s="14" t="str">
        <f>HYPERLINK("http://www.openstreetmap.org/?mlat=34.0709&amp;mlon=44.1544&amp;zoom=12#map=12/34.0709/44.1544","Maplink1")</f>
        <v>Maplink1</v>
      </c>
      <c r="AV3160" s="14" t="str">
        <f>HYPERLINK("https://www.google.iq/maps/search/+34.0709,44.1544/@34.0709,44.1544,14z?hl=en","Maplink2")</f>
        <v>Maplink2</v>
      </c>
      <c r="AW3160" s="14" t="str">
        <f>HYPERLINK("http://www.bing.com/maps/?lvl=14&amp;sty=h&amp;cp=34.0709~44.1544&amp;sp=point.34.0709_44.1544","Maplink3")</f>
        <v>Maplink3</v>
      </c>
    </row>
    <row r="3161" spans="1:49" ht="15" customHeight="1" x14ac:dyDescent="0.25">
      <c r="A3161" s="21">
        <v>26020</v>
      </c>
      <c r="B3161" s="22" t="s">
        <v>23</v>
      </c>
      <c r="C3161" s="22" t="s">
        <v>6095</v>
      </c>
      <c r="D3161" s="22" t="s">
        <v>6100</v>
      </c>
      <c r="E3161" s="22" t="s">
        <v>3188</v>
      </c>
      <c r="F3161" s="22">
        <v>34.058575230000002</v>
      </c>
      <c r="G3161" s="22">
        <v>44.258428270000003</v>
      </c>
      <c r="H3161" s="21" t="s">
        <v>6031</v>
      </c>
      <c r="I3161" s="21" t="s">
        <v>6098</v>
      </c>
      <c r="J3161" s="21"/>
      <c r="K3161" s="24">
        <v>75</v>
      </c>
      <c r="L3161" s="24">
        <v>450</v>
      </c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>
        <v>75</v>
      </c>
      <c r="AB3161" s="23"/>
      <c r="AC3161" s="23"/>
      <c r="AD3161" s="23"/>
      <c r="AE3161" s="23"/>
      <c r="AF3161" s="23">
        <v>20</v>
      </c>
      <c r="AG3161" s="23"/>
      <c r="AH3161" s="23"/>
      <c r="AI3161" s="23"/>
      <c r="AJ3161" s="23"/>
      <c r="AK3161" s="23">
        <v>30</v>
      </c>
      <c r="AL3161" s="23"/>
      <c r="AM3161" s="23">
        <v>25</v>
      </c>
      <c r="AN3161" s="23"/>
      <c r="AO3161" s="23"/>
      <c r="AP3161" s="23"/>
      <c r="AQ3161" s="23"/>
      <c r="AR3161" s="23">
        <v>75</v>
      </c>
      <c r="AS3161" s="23"/>
      <c r="AT3161" s="23"/>
      <c r="AU3161" s="14" t="str">
        <f>HYPERLINK("http://www.openstreetmap.org/?mlat=34.0415&amp;mlon=44.2366&amp;zoom=12#map=12/34.0415/44.2366","Maplink1")</f>
        <v>Maplink1</v>
      </c>
      <c r="AV3161" s="14" t="str">
        <f>HYPERLINK("https://www.google.iq/maps/search/+34.0415,44.2366/@34.0415,44.2366,14z?hl=en","Maplink2")</f>
        <v>Maplink2</v>
      </c>
      <c r="AW3161" s="14" t="str">
        <f>HYPERLINK("http://www.bing.com/maps/?lvl=14&amp;sty=h&amp;cp=34.0415~44.2366&amp;sp=point.34.0415_44.2366_Al Mashrooa Village","Maplink3")</f>
        <v>Maplink3</v>
      </c>
    </row>
    <row r="3162" spans="1:49" ht="15" customHeight="1" x14ac:dyDescent="0.25">
      <c r="A3162" s="21">
        <v>25742</v>
      </c>
      <c r="B3162" s="22" t="s">
        <v>23</v>
      </c>
      <c r="C3162" s="22" t="s">
        <v>6095</v>
      </c>
      <c r="D3162" s="22" t="s">
        <v>6101</v>
      </c>
      <c r="E3162" s="22" t="s">
        <v>6102</v>
      </c>
      <c r="F3162" s="22">
        <v>34.032523079999997</v>
      </c>
      <c r="G3162" s="22">
        <v>44.231025440000003</v>
      </c>
      <c r="H3162" s="21" t="s">
        <v>6031</v>
      </c>
      <c r="I3162" s="21" t="s">
        <v>6098</v>
      </c>
      <c r="J3162" s="21"/>
      <c r="K3162" s="24">
        <v>714</v>
      </c>
      <c r="L3162" s="24">
        <v>4284</v>
      </c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>
        <v>714</v>
      </c>
      <c r="AB3162" s="23"/>
      <c r="AC3162" s="23"/>
      <c r="AD3162" s="23"/>
      <c r="AE3162" s="23"/>
      <c r="AF3162" s="23"/>
      <c r="AG3162" s="23"/>
      <c r="AH3162" s="23"/>
      <c r="AI3162" s="23"/>
      <c r="AJ3162" s="23"/>
      <c r="AK3162" s="23">
        <v>354</v>
      </c>
      <c r="AL3162" s="23"/>
      <c r="AM3162" s="23">
        <v>204</v>
      </c>
      <c r="AN3162" s="23">
        <v>156</v>
      </c>
      <c r="AO3162" s="23"/>
      <c r="AP3162" s="23"/>
      <c r="AQ3162" s="23"/>
      <c r="AR3162" s="23">
        <v>314</v>
      </c>
      <c r="AS3162" s="23">
        <v>400</v>
      </c>
      <c r="AT3162" s="23"/>
      <c r="AU3162" s="14" t="str">
        <f>HYPERLINK("http://www.openstreetmap.org/?mlat=34.0313&amp;mlon=44.227&amp;zoom=12#map=12/34.0313/44.227","Maplink1")</f>
        <v>Maplink1</v>
      </c>
      <c r="AV3162" s="14" t="str">
        <f>HYPERLINK("https://www.google.iq/maps/search/+34.0313,44.227/@34.0313,44.227,14z?hl=en","Maplink2")</f>
        <v>Maplink2</v>
      </c>
      <c r="AW3162" s="14" t="str">
        <f>HYPERLINK("http://www.bing.com/maps/?lvl=14&amp;sty=h&amp;cp=34.0313~44.227&amp;sp=point.34.0313_44.227_Al-Duloeyah-Hay Al Jubor","Maplink3")</f>
        <v>Maplink3</v>
      </c>
    </row>
    <row r="3163" spans="1:49" ht="15" customHeight="1" x14ac:dyDescent="0.25">
      <c r="A3163" s="21">
        <v>20770</v>
      </c>
      <c r="B3163" s="22" t="s">
        <v>23</v>
      </c>
      <c r="C3163" s="22" t="s">
        <v>6095</v>
      </c>
      <c r="D3163" s="22" t="s">
        <v>6103</v>
      </c>
      <c r="E3163" s="22" t="s">
        <v>6104</v>
      </c>
      <c r="F3163" s="22">
        <v>34.046609420000003</v>
      </c>
      <c r="G3163" s="22">
        <v>44.219951469999998</v>
      </c>
      <c r="H3163" s="21" t="s">
        <v>6031</v>
      </c>
      <c r="I3163" s="21" t="s">
        <v>6098</v>
      </c>
      <c r="J3163" s="21" t="s">
        <v>6105</v>
      </c>
      <c r="K3163" s="24">
        <v>240</v>
      </c>
      <c r="L3163" s="24">
        <v>1440</v>
      </c>
      <c r="M3163" s="23"/>
      <c r="N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>
        <v>240</v>
      </c>
      <c r="AB3163" s="23"/>
      <c r="AC3163" s="23"/>
      <c r="AD3163" s="23"/>
      <c r="AE3163" s="23"/>
      <c r="AF3163" s="23">
        <v>22</v>
      </c>
      <c r="AG3163" s="23"/>
      <c r="AH3163" s="23">
        <v>18</v>
      </c>
      <c r="AI3163" s="23"/>
      <c r="AJ3163" s="23"/>
      <c r="AK3163" s="23">
        <v>77</v>
      </c>
      <c r="AL3163" s="23"/>
      <c r="AM3163" s="23">
        <v>73</v>
      </c>
      <c r="AN3163" s="23">
        <v>50</v>
      </c>
      <c r="AO3163" s="23"/>
      <c r="AP3163" s="23"/>
      <c r="AQ3163" s="23"/>
      <c r="AR3163" s="23">
        <v>240</v>
      </c>
      <c r="AS3163" s="23"/>
      <c r="AT3163" s="23"/>
      <c r="AU3163" s="14" t="str">
        <f>HYPERLINK("http://www.openstreetmap.org/?mlat=34.046&amp;mlon=44.2213&amp;zoom=12#map=12/34.046/44.2213","Maplink1")</f>
        <v>Maplink1</v>
      </c>
      <c r="AV3163" s="14" t="str">
        <f>HYPERLINK("https://www.google.iq/maps/search/+34.046,44.2213/@34.046,44.2213,14z?hl=en","Maplink2")</f>
        <v>Maplink2</v>
      </c>
      <c r="AW3163" s="14" t="str">
        <f>HYPERLINK("http://www.bing.com/maps/?lvl=14&amp;sty=h&amp;cp=34.046~44.2213&amp;sp=point.34.046_44.2213_Al-Duloeyah-Hay khazraj","Maplink3")</f>
        <v>Maplink3</v>
      </c>
    </row>
    <row r="3164" spans="1:49" ht="15" customHeight="1" x14ac:dyDescent="0.25">
      <c r="A3164" s="21">
        <v>20921</v>
      </c>
      <c r="B3164" s="22" t="s">
        <v>23</v>
      </c>
      <c r="C3164" s="22" t="s">
        <v>6095</v>
      </c>
      <c r="D3164" s="22" t="s">
        <v>9075</v>
      </c>
      <c r="E3164" s="22" t="s">
        <v>9076</v>
      </c>
      <c r="F3164" s="22">
        <v>34.033575190000001</v>
      </c>
      <c r="G3164" s="22">
        <v>44.205532410000004</v>
      </c>
      <c r="H3164" s="21" t="s">
        <v>6031</v>
      </c>
      <c r="I3164" s="21" t="s">
        <v>6098</v>
      </c>
      <c r="J3164" s="21" t="s">
        <v>6106</v>
      </c>
      <c r="K3164" s="24">
        <v>150</v>
      </c>
      <c r="L3164" s="24">
        <v>900</v>
      </c>
      <c r="M3164" s="23"/>
      <c r="N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>
        <v>150</v>
      </c>
      <c r="AB3164" s="23"/>
      <c r="AC3164" s="23"/>
      <c r="AD3164" s="23"/>
      <c r="AE3164" s="23"/>
      <c r="AF3164" s="23">
        <v>12</v>
      </c>
      <c r="AG3164" s="23"/>
      <c r="AH3164" s="23">
        <v>17</v>
      </c>
      <c r="AI3164" s="23"/>
      <c r="AJ3164" s="23"/>
      <c r="AK3164" s="23">
        <v>40</v>
      </c>
      <c r="AL3164" s="23"/>
      <c r="AM3164" s="23">
        <v>55</v>
      </c>
      <c r="AN3164" s="23">
        <v>26</v>
      </c>
      <c r="AO3164" s="23"/>
      <c r="AP3164" s="23"/>
      <c r="AQ3164" s="23"/>
      <c r="AR3164" s="23">
        <v>65</v>
      </c>
      <c r="AS3164" s="23">
        <v>85</v>
      </c>
      <c r="AT3164" s="23"/>
      <c r="AU3164" s="14" t="str">
        <f>HYPERLINK("http://www.openstreetmap.org/?mlat=34.0164&amp;mlon=44.1453&amp;zoom=12#map=12/34.0164/44.1453","Maplink1")</f>
        <v>Maplink1</v>
      </c>
      <c r="AV3164" s="14" t="str">
        <f>HYPERLINK("https://www.google.iq/maps/search/+34.0164,44.1453/@34.0164,44.1453,14z?hl=en","Maplink2")</f>
        <v>Maplink2</v>
      </c>
      <c r="AW3164" s="14" t="str">
        <f>HYPERLINK("http://www.bing.com/maps/?lvl=14&amp;sty=h&amp;cp=34.0164~44.1453&amp;sp=point.34.0164_44.1453_Al-Haweeja Al bahriya","Maplink3")</f>
        <v>Maplink3</v>
      </c>
    </row>
    <row r="3165" spans="1:49" ht="15" customHeight="1" x14ac:dyDescent="0.25">
      <c r="A3165" s="21">
        <v>20771</v>
      </c>
      <c r="B3165" s="22" t="s">
        <v>23</v>
      </c>
      <c r="C3165" s="22" t="s">
        <v>6095</v>
      </c>
      <c r="D3165" s="22" t="s">
        <v>9077</v>
      </c>
      <c r="E3165" s="22" t="s">
        <v>9078</v>
      </c>
      <c r="F3165" s="22">
        <v>34.072733309999997</v>
      </c>
      <c r="G3165" s="22">
        <v>44.111659779999997</v>
      </c>
      <c r="H3165" s="21" t="s">
        <v>6031</v>
      </c>
      <c r="I3165" s="21" t="s">
        <v>6098</v>
      </c>
      <c r="J3165" s="21" t="s">
        <v>6107</v>
      </c>
      <c r="K3165" s="24">
        <v>325</v>
      </c>
      <c r="L3165" s="24">
        <v>1950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>
        <v>325</v>
      </c>
      <c r="AB3165" s="23"/>
      <c r="AC3165" s="23"/>
      <c r="AD3165" s="23"/>
      <c r="AE3165" s="23"/>
      <c r="AF3165" s="23">
        <v>50</v>
      </c>
      <c r="AG3165" s="23"/>
      <c r="AH3165" s="23">
        <v>63</v>
      </c>
      <c r="AI3165" s="23"/>
      <c r="AJ3165" s="23">
        <v>32</v>
      </c>
      <c r="AK3165" s="23">
        <v>60</v>
      </c>
      <c r="AL3165" s="23"/>
      <c r="AM3165" s="23">
        <v>100</v>
      </c>
      <c r="AN3165" s="23">
        <v>20</v>
      </c>
      <c r="AO3165" s="23"/>
      <c r="AP3165" s="23"/>
      <c r="AQ3165" s="23">
        <v>100</v>
      </c>
      <c r="AR3165" s="23">
        <v>175</v>
      </c>
      <c r="AS3165" s="23">
        <v>50</v>
      </c>
      <c r="AT3165" s="23"/>
      <c r="AU3165" s="14" t="str">
        <f>HYPERLINK("http://www.openstreetmap.org/?mlat=34.0387&amp;mlon=44.1187&amp;zoom=12#map=12/34.0387/44.1187","Maplink1")</f>
        <v>Maplink1</v>
      </c>
      <c r="AV3165" s="14" t="str">
        <f>HYPERLINK("https://www.google.iq/maps/search/+34.0387,44.1187/@34.0387,44.1187,14z?hl=en","Maplink2")</f>
        <v>Maplink2</v>
      </c>
      <c r="AW3165" s="14" t="str">
        <f>HYPERLINK("http://www.bing.com/maps/?lvl=14&amp;sty=h&amp;cp=34.0387~44.1187&amp;sp=point.34.0387_44.1187_Albu Farraj","Maplink3")</f>
        <v>Maplink3</v>
      </c>
    </row>
    <row r="3166" spans="1:49" ht="15" customHeight="1" x14ac:dyDescent="0.25">
      <c r="A3166" s="21">
        <v>20767</v>
      </c>
      <c r="B3166" s="22" t="s">
        <v>23</v>
      </c>
      <c r="C3166" s="22" t="s">
        <v>6095</v>
      </c>
      <c r="D3166" s="22" t="s">
        <v>6108</v>
      </c>
      <c r="E3166" s="22" t="s">
        <v>6109</v>
      </c>
      <c r="F3166" s="22">
        <v>34.058075340000002</v>
      </c>
      <c r="G3166" s="22">
        <v>44.217821950000001</v>
      </c>
      <c r="H3166" s="21" t="s">
        <v>6031</v>
      </c>
      <c r="I3166" s="21" t="s">
        <v>6098</v>
      </c>
      <c r="J3166" s="21" t="s">
        <v>6110</v>
      </c>
      <c r="K3166" s="24">
        <v>410</v>
      </c>
      <c r="L3166" s="24">
        <v>2460</v>
      </c>
      <c r="M3166" s="23">
        <v>35</v>
      </c>
      <c r="N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>
        <v>25</v>
      </c>
      <c r="Z3166" s="23"/>
      <c r="AA3166" s="23">
        <v>350</v>
      </c>
      <c r="AB3166" s="23"/>
      <c r="AC3166" s="23"/>
      <c r="AD3166" s="23"/>
      <c r="AE3166" s="23"/>
      <c r="AF3166" s="23">
        <v>13</v>
      </c>
      <c r="AG3166" s="23"/>
      <c r="AH3166" s="23">
        <v>33</v>
      </c>
      <c r="AI3166" s="23"/>
      <c r="AJ3166" s="23"/>
      <c r="AK3166" s="23">
        <v>58</v>
      </c>
      <c r="AL3166" s="23">
        <v>150</v>
      </c>
      <c r="AM3166" s="23">
        <v>80</v>
      </c>
      <c r="AN3166" s="23">
        <v>76</v>
      </c>
      <c r="AO3166" s="23"/>
      <c r="AP3166" s="23"/>
      <c r="AQ3166" s="23"/>
      <c r="AR3166" s="23">
        <v>335</v>
      </c>
      <c r="AS3166" s="23"/>
      <c r="AT3166" s="23">
        <v>75</v>
      </c>
      <c r="AU3166" s="14" t="str">
        <f>HYPERLINK("http://www.openstreetmap.org/?mlat=34.0099&amp;mlon=44.1457&amp;zoom=12#map=12/34.0099/44.1457","Maplink1")</f>
        <v>Maplink1</v>
      </c>
      <c r="AV3166" s="14" t="str">
        <f>HYPERLINK("https://www.google.iq/maps/search/+34.0099,44.1457/@34.0099,44.1457,14z?hl=en","Maplink2")</f>
        <v>Maplink2</v>
      </c>
      <c r="AW3166" s="14" t="str">
        <f>HYPERLINK("http://www.bing.com/maps/?lvl=14&amp;sty=h&amp;cp=34.0099~44.1457&amp;sp=point.34.0099_44.1457_Albu Jewari","Maplink3")</f>
        <v>Maplink3</v>
      </c>
    </row>
    <row r="3167" spans="1:49" ht="15" customHeight="1" x14ac:dyDescent="0.25">
      <c r="A3167" s="21">
        <v>20773</v>
      </c>
      <c r="B3167" s="22" t="s">
        <v>23</v>
      </c>
      <c r="C3167" s="22" t="s">
        <v>6095</v>
      </c>
      <c r="D3167" s="22" t="s">
        <v>6111</v>
      </c>
      <c r="E3167" s="22" t="s">
        <v>6112</v>
      </c>
      <c r="F3167" s="22">
        <v>34.026709490000002</v>
      </c>
      <c r="G3167" s="22">
        <v>44.281843780000003</v>
      </c>
      <c r="H3167" s="21" t="s">
        <v>6031</v>
      </c>
      <c r="I3167" s="21" t="s">
        <v>6098</v>
      </c>
      <c r="J3167" s="21" t="s">
        <v>6113</v>
      </c>
      <c r="K3167" s="24">
        <v>212</v>
      </c>
      <c r="L3167" s="24">
        <v>1272</v>
      </c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>
        <v>212</v>
      </c>
      <c r="AB3167" s="23"/>
      <c r="AC3167" s="23"/>
      <c r="AD3167" s="23"/>
      <c r="AE3167" s="23"/>
      <c r="AF3167" s="23">
        <v>25</v>
      </c>
      <c r="AG3167" s="23"/>
      <c r="AH3167" s="23"/>
      <c r="AI3167" s="23"/>
      <c r="AJ3167" s="23"/>
      <c r="AK3167" s="23">
        <v>80</v>
      </c>
      <c r="AL3167" s="23"/>
      <c r="AM3167" s="23">
        <v>63</v>
      </c>
      <c r="AN3167" s="23">
        <v>44</v>
      </c>
      <c r="AO3167" s="23"/>
      <c r="AP3167" s="23"/>
      <c r="AQ3167" s="23">
        <v>112</v>
      </c>
      <c r="AR3167" s="23">
        <v>100</v>
      </c>
      <c r="AS3167" s="23"/>
      <c r="AT3167" s="23"/>
      <c r="AU3167" s="14" t="str">
        <f>HYPERLINK("http://www.openstreetmap.org/?mlat=34.0235&amp;mlon=44.1975&amp;zoom=12#map=12/34.0235/44.1975","Maplink1")</f>
        <v>Maplink1</v>
      </c>
      <c r="AV3167" s="14" t="str">
        <f>HYPERLINK("https://www.google.iq/maps/search/+34.0235,44.1975/@34.0235,44.1975,14z?hl=en","Maplink2")</f>
        <v>Maplink2</v>
      </c>
      <c r="AW3167" s="14" t="str">
        <f>HYPERLINK("http://www.bing.com/maps/?lvl=14&amp;sty=h&amp;cp=34.0235~44.1975&amp;sp=point.34.0235_44.1975_Beshakan village","Maplink3")</f>
        <v>Maplink3</v>
      </c>
    </row>
    <row r="3168" spans="1:49" ht="15" customHeight="1" x14ac:dyDescent="0.25">
      <c r="A3168" s="21">
        <v>29601</v>
      </c>
      <c r="B3168" s="22" t="s">
        <v>23</v>
      </c>
      <c r="C3168" s="22" t="s">
        <v>6095</v>
      </c>
      <c r="D3168" s="22" t="s">
        <v>8244</v>
      </c>
      <c r="E3168" s="22" t="s">
        <v>8245</v>
      </c>
      <c r="F3168" s="22">
        <v>34.0484182</v>
      </c>
      <c r="G3168" s="22">
        <v>43.982770199999997</v>
      </c>
      <c r="H3168" s="21" t="s">
        <v>6031</v>
      </c>
      <c r="I3168" s="21" t="s">
        <v>6098</v>
      </c>
      <c r="J3168" s="21"/>
      <c r="K3168" s="24">
        <v>513</v>
      </c>
      <c r="L3168" s="24">
        <v>3078</v>
      </c>
      <c r="M3168" s="23"/>
      <c r="N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>
        <v>513</v>
      </c>
      <c r="AB3168" s="23"/>
      <c r="AC3168" s="23"/>
      <c r="AD3168" s="23"/>
      <c r="AE3168" s="23">
        <v>513</v>
      </c>
      <c r="AF3168" s="23"/>
      <c r="AG3168" s="23"/>
      <c r="AH3168" s="23"/>
      <c r="AI3168" s="23"/>
      <c r="AJ3168" s="23"/>
      <c r="AK3168" s="23"/>
      <c r="AL3168" s="23"/>
      <c r="AM3168" s="23"/>
      <c r="AN3168" s="23"/>
      <c r="AO3168" s="23"/>
      <c r="AP3168" s="23"/>
      <c r="AQ3168" s="23"/>
      <c r="AR3168" s="23">
        <v>197</v>
      </c>
      <c r="AS3168" s="23">
        <v>316</v>
      </c>
      <c r="AT3168" s="23"/>
      <c r="AU3168" s="14" t="str">
        <f>HYPERLINK("http://www.openstreetmap.org/?mlat=34.0484&amp;mlon=43.9828&amp;zoom=12#map=12/34.0484/43.9828","Maplink1")</f>
        <v>Maplink1</v>
      </c>
      <c r="AV3168" s="14" t="str">
        <f>HYPERLINK("https://www.google.iq/maps/search/+34.0484,43.9828/@34.0484,43.9828,14z?hl=en","Maplink2")</f>
        <v>Maplink2</v>
      </c>
      <c r="AW3168" s="14" t="str">
        <f>HYPERLINK("http://www.bing.com/maps/?lvl=14&amp;sty=h&amp;cp=34.0484~43.9828&amp;sp=point.34.0484_43.9828","Maplink3")</f>
        <v>Maplink3</v>
      </c>
    </row>
    <row r="3169" spans="1:49" ht="15" customHeight="1" x14ac:dyDescent="0.25">
      <c r="A3169" s="21">
        <v>26021</v>
      </c>
      <c r="B3169" s="22" t="s">
        <v>23</v>
      </c>
      <c r="C3169" s="22" t="s">
        <v>6095</v>
      </c>
      <c r="D3169" s="22" t="s">
        <v>6114</v>
      </c>
      <c r="E3169" s="22" t="s">
        <v>6115</v>
      </c>
      <c r="F3169" s="22">
        <v>34.075593589999997</v>
      </c>
      <c r="G3169" s="22">
        <v>44.28724493</v>
      </c>
      <c r="H3169" s="21" t="s">
        <v>6031</v>
      </c>
      <c r="I3169" s="21" t="s">
        <v>6098</v>
      </c>
      <c r="J3169" s="21"/>
      <c r="K3169" s="24">
        <v>150</v>
      </c>
      <c r="L3169" s="24">
        <v>900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>
        <v>150</v>
      </c>
      <c r="AB3169" s="23"/>
      <c r="AC3169" s="23"/>
      <c r="AD3169" s="23"/>
      <c r="AE3169" s="23"/>
      <c r="AF3169" s="23">
        <v>30</v>
      </c>
      <c r="AG3169" s="23"/>
      <c r="AH3169" s="23">
        <v>20</v>
      </c>
      <c r="AI3169" s="23"/>
      <c r="AJ3169" s="23"/>
      <c r="AK3169" s="23">
        <v>40</v>
      </c>
      <c r="AL3169" s="23"/>
      <c r="AM3169" s="23">
        <v>60</v>
      </c>
      <c r="AN3169" s="23"/>
      <c r="AO3169" s="23"/>
      <c r="AP3169" s="23"/>
      <c r="AQ3169" s="23"/>
      <c r="AR3169" s="23">
        <v>150</v>
      </c>
      <c r="AS3169" s="23"/>
      <c r="AT3169" s="23"/>
      <c r="AU3169" s="14" t="str">
        <f>HYPERLINK("http://www.openstreetmap.org/?mlat=34.0438&amp;mlon=44.23&amp;zoom=12#map=12/34.0438/44.23","Maplink1")</f>
        <v>Maplink1</v>
      </c>
      <c r="AV3169" s="14" t="str">
        <f>HYPERLINK("https://www.google.iq/maps/search/+34.0438,44.23/@34.0438,44.23,14z?hl=en","Maplink2")</f>
        <v>Maplink2</v>
      </c>
      <c r="AW3169" s="14" t="str">
        <f>HYPERLINK("http://www.bing.com/maps/?lvl=14&amp;sty=h&amp;cp=34.0438~44.23&amp;sp=point.34.0438_44.23_Gbeabah Village","Maplink3")</f>
        <v>Maplink3</v>
      </c>
    </row>
    <row r="3170" spans="1:49" ht="15" customHeight="1" x14ac:dyDescent="0.25">
      <c r="A3170" s="21">
        <v>25918</v>
      </c>
      <c r="B3170" s="22" t="s">
        <v>23</v>
      </c>
      <c r="C3170" s="22" t="s">
        <v>6095</v>
      </c>
      <c r="D3170" s="22" t="s">
        <v>6116</v>
      </c>
      <c r="E3170" s="22" t="s">
        <v>6117</v>
      </c>
      <c r="F3170" s="22">
        <v>34.039355389999997</v>
      </c>
      <c r="G3170" s="22">
        <v>44.051857839999997</v>
      </c>
      <c r="H3170" s="21" t="s">
        <v>6031</v>
      </c>
      <c r="I3170" s="21" t="s">
        <v>6098</v>
      </c>
      <c r="J3170" s="21"/>
      <c r="K3170" s="24">
        <v>170</v>
      </c>
      <c r="L3170" s="24">
        <v>1020</v>
      </c>
      <c r="M3170" s="23"/>
      <c r="N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>
        <v>170</v>
      </c>
      <c r="AB3170" s="23"/>
      <c r="AC3170" s="23"/>
      <c r="AD3170" s="23"/>
      <c r="AE3170" s="23"/>
      <c r="AF3170" s="23"/>
      <c r="AG3170" s="23"/>
      <c r="AH3170" s="23">
        <v>73</v>
      </c>
      <c r="AI3170" s="23">
        <v>7</v>
      </c>
      <c r="AJ3170" s="23"/>
      <c r="AK3170" s="23">
        <v>75</v>
      </c>
      <c r="AL3170" s="23"/>
      <c r="AM3170" s="23">
        <v>15</v>
      </c>
      <c r="AN3170" s="23"/>
      <c r="AO3170" s="23"/>
      <c r="AP3170" s="23"/>
      <c r="AQ3170" s="23"/>
      <c r="AR3170" s="23">
        <v>85</v>
      </c>
      <c r="AS3170" s="23">
        <v>85</v>
      </c>
      <c r="AT3170" s="23"/>
      <c r="AU3170" s="14" t="str">
        <f>HYPERLINK("http://www.openstreetmap.org/?mlat=34.0434&amp;mlon=43.9898&amp;zoom=12#map=12/34.0434/43.9898","Maplink1")</f>
        <v>Maplink1</v>
      </c>
      <c r="AV3170" s="14" t="str">
        <f>HYPERLINK("https://www.google.iq/maps/search/+34.0434,43.9898/@34.0434,43.9898,14z?hl=en","Maplink2")</f>
        <v>Maplink2</v>
      </c>
      <c r="AW3170" s="14" t="str">
        <f>HYPERLINK("http://www.bing.com/maps/?lvl=14&amp;sty=h&amp;cp=34.0434~43.9898&amp;sp=point.34.0434_43.9898_Hallub","Maplink3")</f>
        <v>Maplink3</v>
      </c>
    </row>
    <row r="3171" spans="1:49" ht="15" customHeight="1" x14ac:dyDescent="0.25">
      <c r="A3171" s="21">
        <v>22065</v>
      </c>
      <c r="B3171" s="22" t="s">
        <v>23</v>
      </c>
      <c r="C3171" s="22" t="s">
        <v>6095</v>
      </c>
      <c r="D3171" s="22" t="s">
        <v>9079</v>
      </c>
      <c r="E3171" s="22" t="s">
        <v>9080</v>
      </c>
      <c r="F3171" s="22">
        <v>34.049490609999999</v>
      </c>
      <c r="G3171" s="22">
        <v>44.987108710000001</v>
      </c>
      <c r="H3171" s="21" t="s">
        <v>6031</v>
      </c>
      <c r="I3171" s="21" t="s">
        <v>6098</v>
      </c>
      <c r="J3171" s="21" t="s">
        <v>6118</v>
      </c>
      <c r="K3171" s="24">
        <v>793</v>
      </c>
      <c r="L3171" s="24">
        <v>4758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793</v>
      </c>
      <c r="AB3171" s="23"/>
      <c r="AC3171" s="23"/>
      <c r="AD3171" s="23"/>
      <c r="AE3171" s="23"/>
      <c r="AF3171" s="23"/>
      <c r="AG3171" s="23"/>
      <c r="AH3171" s="23">
        <v>266</v>
      </c>
      <c r="AI3171" s="23"/>
      <c r="AJ3171" s="23"/>
      <c r="AK3171" s="23">
        <v>172</v>
      </c>
      <c r="AL3171" s="23"/>
      <c r="AM3171" s="23">
        <v>355</v>
      </c>
      <c r="AN3171" s="23"/>
      <c r="AO3171" s="23">
        <v>27</v>
      </c>
      <c r="AP3171" s="23"/>
      <c r="AQ3171" s="23"/>
      <c r="AR3171" s="23">
        <v>68</v>
      </c>
      <c r="AS3171" s="23">
        <v>698</v>
      </c>
      <c r="AT3171" s="23"/>
      <c r="AU3171" s="14" t="str">
        <f>HYPERLINK("http://www.openstreetmap.org/?mlat=34.0655&amp;mlon=43.9931&amp;zoom=12#map=12/34.0655/43.9931","Maplink1")</f>
        <v>Maplink1</v>
      </c>
      <c r="AV3171" s="14" t="str">
        <f>HYPERLINK("https://www.google.iq/maps/search/+34.0655,43.9931/@34.0655,43.9931,14z?hl=en","Maplink2")</f>
        <v>Maplink2</v>
      </c>
      <c r="AW3171" s="14" t="str">
        <f>HYPERLINK("http://www.bing.com/maps/?lvl=14&amp;sty=h&amp;cp=34.0655~43.9931&amp;sp=point.34.0655_43.9931_Qaryat Abu Sefa-1","Maplink3")</f>
        <v>Maplink3</v>
      </c>
    </row>
    <row r="3172" spans="1:49" ht="15" customHeight="1" x14ac:dyDescent="0.25">
      <c r="A3172" s="21">
        <v>21589</v>
      </c>
      <c r="B3172" s="22" t="s">
        <v>23</v>
      </c>
      <c r="C3172" s="22" t="s">
        <v>6119</v>
      </c>
      <c r="D3172" s="22" t="s">
        <v>6121</v>
      </c>
      <c r="E3172" s="22" t="s">
        <v>9081</v>
      </c>
      <c r="F3172" s="22">
        <v>34.201600429999999</v>
      </c>
      <c r="G3172" s="22">
        <v>43.892763160000001</v>
      </c>
      <c r="H3172" s="21" t="s">
        <v>6031</v>
      </c>
      <c r="I3172" s="21" t="s">
        <v>6120</v>
      </c>
      <c r="J3172" s="21" t="s">
        <v>6122</v>
      </c>
      <c r="K3172" s="24">
        <v>133</v>
      </c>
      <c r="L3172" s="24">
        <v>798</v>
      </c>
      <c r="M3172" s="23">
        <v>3</v>
      </c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>
        <v>130</v>
      </c>
      <c r="AB3172" s="23"/>
      <c r="AC3172" s="23"/>
      <c r="AD3172" s="23"/>
      <c r="AE3172" s="23"/>
      <c r="AF3172" s="23">
        <v>1</v>
      </c>
      <c r="AG3172" s="23"/>
      <c r="AH3172" s="23"/>
      <c r="AI3172" s="23">
        <v>3</v>
      </c>
      <c r="AJ3172" s="23">
        <v>4</v>
      </c>
      <c r="AK3172" s="23">
        <v>76</v>
      </c>
      <c r="AL3172" s="23">
        <v>3</v>
      </c>
      <c r="AM3172" s="23">
        <v>46</v>
      </c>
      <c r="AN3172" s="23"/>
      <c r="AO3172" s="23"/>
      <c r="AP3172" s="23"/>
      <c r="AQ3172" s="23"/>
      <c r="AR3172" s="23">
        <v>50</v>
      </c>
      <c r="AS3172" s="23">
        <v>83</v>
      </c>
      <c r="AT3172" s="23"/>
      <c r="AU3172" s="14" t="str">
        <f>HYPERLINK("http://www.openstreetmap.org/?mlat=34.1991&amp;mlon=43.8947&amp;zoom=12#map=12/34.1991/43.8947","Maplink1")</f>
        <v>Maplink1</v>
      </c>
      <c r="AV3172" s="14" t="str">
        <f>HYPERLINK("https://www.google.iq/maps/search/+34.1991,43.8947/@34.1991,43.8947,14z?hl=en","Maplink2")</f>
        <v>Maplink2</v>
      </c>
      <c r="AW3172" s="14" t="str">
        <f>HYPERLINK("http://www.bing.com/maps/?lvl=14&amp;sty=h&amp;cp=34.1991~43.8947&amp;sp=point.34.1991_43.8947_Al Armushia (Mahala 332)","Maplink3")</f>
        <v>Maplink3</v>
      </c>
    </row>
    <row r="3173" spans="1:49" ht="15" customHeight="1" x14ac:dyDescent="0.25">
      <c r="A3173" s="21">
        <v>23876</v>
      </c>
      <c r="B3173" s="22" t="s">
        <v>23</v>
      </c>
      <c r="C3173" s="22" t="s">
        <v>6119</v>
      </c>
      <c r="D3173" s="22" t="s">
        <v>6123</v>
      </c>
      <c r="E3173" s="22" t="s">
        <v>9082</v>
      </c>
      <c r="F3173" s="22">
        <v>34.186432080000003</v>
      </c>
      <c r="G3173" s="22">
        <v>43.895916270000001</v>
      </c>
      <c r="H3173" s="21" t="s">
        <v>6031</v>
      </c>
      <c r="I3173" s="21" t="s">
        <v>6120</v>
      </c>
      <c r="J3173" s="21" t="s">
        <v>6124</v>
      </c>
      <c r="K3173" s="24">
        <v>221</v>
      </c>
      <c r="L3173" s="24">
        <v>1326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>
        <v>6</v>
      </c>
      <c r="Z3173" s="23"/>
      <c r="AA3173" s="23">
        <v>215</v>
      </c>
      <c r="AB3173" s="23"/>
      <c r="AC3173" s="23"/>
      <c r="AD3173" s="23"/>
      <c r="AE3173" s="23"/>
      <c r="AF3173" s="23"/>
      <c r="AG3173" s="23"/>
      <c r="AH3173" s="23"/>
      <c r="AI3173" s="23"/>
      <c r="AJ3173" s="23">
        <v>19</v>
      </c>
      <c r="AK3173" s="23">
        <v>170</v>
      </c>
      <c r="AL3173" s="23">
        <v>32</v>
      </c>
      <c r="AM3173" s="23"/>
      <c r="AN3173" s="23"/>
      <c r="AO3173" s="23"/>
      <c r="AP3173" s="23">
        <v>20</v>
      </c>
      <c r="AQ3173" s="23">
        <v>180</v>
      </c>
      <c r="AR3173" s="23">
        <v>15</v>
      </c>
      <c r="AS3173" s="23"/>
      <c r="AT3173" s="23">
        <v>6</v>
      </c>
      <c r="AU3173" s="14" t="str">
        <f>HYPERLINK("http://www.openstreetmap.org/?mlat=34.1845&amp;mlon=43.902&amp;zoom=12#map=12/34.1845/43.902","Maplink1")</f>
        <v>Maplink1</v>
      </c>
      <c r="AV3173" s="14" t="str">
        <f>HYPERLINK("https://www.google.iq/maps/search/+34.1845,43.902/@34.1845,43.902,14z?hl=en","Maplink2")</f>
        <v>Maplink2</v>
      </c>
      <c r="AW3173" s="14" t="str">
        <f>HYPERLINK("http://www.bing.com/maps/?lvl=14&amp;sty=h&amp;cp=34.1845~43.902&amp;sp=point.34.1845_43.902_Al Jibariya Mahala 316","Maplink3")</f>
        <v>Maplink3</v>
      </c>
    </row>
    <row r="3174" spans="1:49" ht="15" customHeight="1" x14ac:dyDescent="0.25">
      <c r="A3174" s="21">
        <v>21588</v>
      </c>
      <c r="B3174" s="22" t="s">
        <v>23</v>
      </c>
      <c r="C3174" s="22" t="s">
        <v>6119</v>
      </c>
      <c r="D3174" s="22" t="s">
        <v>6125</v>
      </c>
      <c r="E3174" s="22" t="s">
        <v>9083</v>
      </c>
      <c r="F3174" s="22">
        <v>34.184038829999999</v>
      </c>
      <c r="G3174" s="22">
        <v>43.906865549999999</v>
      </c>
      <c r="H3174" s="21" t="s">
        <v>6031</v>
      </c>
      <c r="I3174" s="21" t="s">
        <v>6120</v>
      </c>
      <c r="J3174" s="21" t="s">
        <v>6126</v>
      </c>
      <c r="K3174" s="24">
        <v>761</v>
      </c>
      <c r="L3174" s="24">
        <v>4566</v>
      </c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>
        <v>761</v>
      </c>
      <c r="AB3174" s="23"/>
      <c r="AC3174" s="23"/>
      <c r="AD3174" s="23"/>
      <c r="AE3174" s="23"/>
      <c r="AF3174" s="23">
        <v>62</v>
      </c>
      <c r="AG3174" s="23"/>
      <c r="AH3174" s="23">
        <v>41</v>
      </c>
      <c r="AI3174" s="23">
        <v>18</v>
      </c>
      <c r="AJ3174" s="23"/>
      <c r="AK3174" s="23">
        <v>221</v>
      </c>
      <c r="AL3174" s="23"/>
      <c r="AM3174" s="23">
        <v>419</v>
      </c>
      <c r="AN3174" s="23"/>
      <c r="AO3174" s="23">
        <v>21</v>
      </c>
      <c r="AP3174" s="23">
        <v>188</v>
      </c>
      <c r="AQ3174" s="23">
        <v>158</v>
      </c>
      <c r="AR3174" s="23">
        <v>181</v>
      </c>
      <c r="AS3174" s="23">
        <v>213</v>
      </c>
      <c r="AT3174" s="23"/>
      <c r="AU3174" s="14" t="str">
        <f>HYPERLINK("http://www.openstreetmap.org/?mlat=34.1836&amp;mlon=43.9091&amp;zoom=12#map=12/34.1836/43.9091","Maplink1")</f>
        <v>Maplink1</v>
      </c>
      <c r="AV3174" s="14" t="str">
        <f>HYPERLINK("https://www.google.iq/maps/search/+34.1836,43.9091/@34.1836,43.9091,14z?hl=en","Maplink2")</f>
        <v>Maplink2</v>
      </c>
      <c r="AW3174" s="14" t="str">
        <f>HYPERLINK("http://www.bing.com/maps/?lvl=14&amp;sty=h&amp;cp=34.1836~43.9091&amp;sp=point.34.1836_43.9091_Al Jubairiyah Al Thalitha","Maplink3")</f>
        <v>Maplink3</v>
      </c>
    </row>
    <row r="3175" spans="1:49" ht="15" customHeight="1" x14ac:dyDescent="0.25">
      <c r="A3175" s="21">
        <v>25518</v>
      </c>
      <c r="B3175" s="22" t="s">
        <v>23</v>
      </c>
      <c r="C3175" s="22" t="s">
        <v>6119</v>
      </c>
      <c r="D3175" s="22" t="s">
        <v>6127</v>
      </c>
      <c r="E3175" s="22" t="s">
        <v>6128</v>
      </c>
      <c r="F3175" s="22">
        <v>34.204961449999999</v>
      </c>
      <c r="G3175" s="22">
        <v>43.871943520000002</v>
      </c>
      <c r="H3175" s="21" t="s">
        <v>6031</v>
      </c>
      <c r="I3175" s="21" t="s">
        <v>6120</v>
      </c>
      <c r="J3175" s="21"/>
      <c r="K3175" s="24">
        <v>75</v>
      </c>
      <c r="L3175" s="24">
        <v>450</v>
      </c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>
        <v>75</v>
      </c>
      <c r="AB3175" s="23"/>
      <c r="AC3175" s="23"/>
      <c r="AD3175" s="23"/>
      <c r="AE3175" s="23"/>
      <c r="AF3175" s="23">
        <v>6</v>
      </c>
      <c r="AG3175" s="23"/>
      <c r="AH3175" s="23"/>
      <c r="AI3175" s="23"/>
      <c r="AJ3175" s="23"/>
      <c r="AK3175" s="23">
        <v>69</v>
      </c>
      <c r="AL3175" s="23"/>
      <c r="AM3175" s="23"/>
      <c r="AN3175" s="23"/>
      <c r="AO3175" s="23">
        <v>2</v>
      </c>
      <c r="AP3175" s="23">
        <v>11</v>
      </c>
      <c r="AQ3175" s="23">
        <v>37</v>
      </c>
      <c r="AR3175" s="23">
        <v>8</v>
      </c>
      <c r="AS3175" s="23">
        <v>17</v>
      </c>
      <c r="AT3175" s="23"/>
      <c r="AU3175" s="14" t="str">
        <f>HYPERLINK("http://www.openstreetmap.org/?mlat=34.192&amp;mlon=43.8716&amp;zoom=12#map=12/34.192/43.8716","Maplink1")</f>
        <v>Maplink1</v>
      </c>
      <c r="AV3175" s="14" t="str">
        <f>HYPERLINK("https://www.google.iq/maps/search/+34.192,43.8716/@34.192,43.8716,14z?hl=en","Maplink2")</f>
        <v>Maplink2</v>
      </c>
      <c r="AW3175" s="14" t="str">
        <f>HYPERLINK("http://www.bing.com/maps/?lvl=14&amp;sty=h&amp;cp=34.192~43.8716&amp;sp=point.34.192_43.8716_Al Mahalla Al Gharbiah","Maplink3")</f>
        <v>Maplink3</v>
      </c>
    </row>
    <row r="3176" spans="1:49" ht="15" customHeight="1" x14ac:dyDescent="0.25">
      <c r="A3176" s="21">
        <v>21723</v>
      </c>
      <c r="B3176" s="22" t="s">
        <v>23</v>
      </c>
      <c r="C3176" s="22" t="s">
        <v>6119</v>
      </c>
      <c r="D3176" s="22" t="s">
        <v>6129</v>
      </c>
      <c r="E3176" s="22" t="s">
        <v>9084</v>
      </c>
      <c r="F3176" s="22">
        <v>34.182769980000003</v>
      </c>
      <c r="G3176" s="22">
        <v>43.857258430000002</v>
      </c>
      <c r="H3176" s="21" t="s">
        <v>6031</v>
      </c>
      <c r="I3176" s="21" t="s">
        <v>6120</v>
      </c>
      <c r="J3176" s="21" t="s">
        <v>6130</v>
      </c>
      <c r="K3176" s="24">
        <v>232</v>
      </c>
      <c r="L3176" s="24">
        <v>1392</v>
      </c>
      <c r="M3176" s="23">
        <v>10</v>
      </c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222</v>
      </c>
      <c r="AB3176" s="23"/>
      <c r="AC3176" s="23"/>
      <c r="AD3176" s="23"/>
      <c r="AE3176" s="23"/>
      <c r="AF3176" s="23">
        <v>11</v>
      </c>
      <c r="AG3176" s="23"/>
      <c r="AH3176" s="23">
        <v>3</v>
      </c>
      <c r="AI3176" s="23">
        <v>43</v>
      </c>
      <c r="AJ3176" s="23"/>
      <c r="AK3176" s="23">
        <v>175</v>
      </c>
      <c r="AL3176" s="23"/>
      <c r="AM3176" s="23"/>
      <c r="AN3176" s="23"/>
      <c r="AO3176" s="23">
        <v>10</v>
      </c>
      <c r="AP3176" s="23">
        <v>69</v>
      </c>
      <c r="AQ3176" s="23">
        <v>8</v>
      </c>
      <c r="AR3176" s="23"/>
      <c r="AS3176" s="23">
        <v>145</v>
      </c>
      <c r="AT3176" s="23"/>
      <c r="AU3176" s="14" t="str">
        <f>HYPERLINK("http://www.openstreetmap.org/?mlat=34.1843&amp;mlon=43.8548&amp;zoom=12#map=12/34.1843/43.8548","Maplink1")</f>
        <v>Maplink1</v>
      </c>
      <c r="AV3176" s="14" t="str">
        <f>HYPERLINK("https://www.google.iq/maps/search/+34.1843,43.8548/@34.1843,43.8548,14z?hl=en","Maplink2")</f>
        <v>Maplink2</v>
      </c>
      <c r="AW3176" s="14" t="str">
        <f>HYPERLINK("http://www.bing.com/maps/?lvl=14&amp;sty=h&amp;cp=34.1843~43.8548&amp;sp=point.34.1843_43.8548_Al Qala-Mahal 201","Maplink3")</f>
        <v>Maplink3</v>
      </c>
    </row>
    <row r="3177" spans="1:49" ht="15" customHeight="1" x14ac:dyDescent="0.25">
      <c r="A3177" s="21">
        <v>23781</v>
      </c>
      <c r="B3177" s="22" t="s">
        <v>23</v>
      </c>
      <c r="C3177" s="22" t="s">
        <v>6119</v>
      </c>
      <c r="D3177" s="22" t="s">
        <v>6131</v>
      </c>
      <c r="E3177" s="22" t="s">
        <v>9085</v>
      </c>
      <c r="F3177" s="22">
        <v>34.078442189999997</v>
      </c>
      <c r="G3177" s="22">
        <v>44.05397859</v>
      </c>
      <c r="H3177" s="21" t="s">
        <v>6031</v>
      </c>
      <c r="I3177" s="21" t="s">
        <v>6120</v>
      </c>
      <c r="J3177" s="21" t="s">
        <v>6132</v>
      </c>
      <c r="K3177" s="24">
        <v>49</v>
      </c>
      <c r="L3177" s="24">
        <v>294</v>
      </c>
      <c r="M3177" s="23"/>
      <c r="N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>
        <v>49</v>
      </c>
      <c r="AB3177" s="23"/>
      <c r="AC3177" s="23"/>
      <c r="AD3177" s="23"/>
      <c r="AE3177" s="23"/>
      <c r="AF3177" s="23">
        <v>4</v>
      </c>
      <c r="AG3177" s="23"/>
      <c r="AH3177" s="23">
        <v>3</v>
      </c>
      <c r="AI3177" s="23"/>
      <c r="AJ3177" s="23"/>
      <c r="AK3177" s="23">
        <v>26</v>
      </c>
      <c r="AL3177" s="23"/>
      <c r="AM3177" s="23">
        <v>16</v>
      </c>
      <c r="AN3177" s="23"/>
      <c r="AO3177" s="23"/>
      <c r="AP3177" s="23"/>
      <c r="AQ3177" s="23"/>
      <c r="AR3177" s="23">
        <v>37</v>
      </c>
      <c r="AS3177" s="23">
        <v>12</v>
      </c>
      <c r="AT3177" s="23"/>
      <c r="AU3177" s="14" t="str">
        <f>HYPERLINK("http://www.openstreetmap.org/?mlat=34.0764&amp;mlon=44.0655&amp;zoom=12#map=12/34.0764/44.0655","Maplink1")</f>
        <v>Maplink1</v>
      </c>
      <c r="AV3177" s="14" t="str">
        <f>HYPERLINK("https://www.google.iq/maps/search/+34.0764,44.0655/@34.0764,44.0655,14z?hl=en","Maplink2")</f>
        <v>Maplink2</v>
      </c>
      <c r="AW3177" s="14" t="str">
        <f>HYPERLINK("http://www.bing.com/maps/?lvl=14&amp;sty=h&amp;cp=34.0764~44.0655&amp;sp=point.34.0764_44.0655_Al Sayoya-Mahala 1","Maplink3")</f>
        <v>Maplink3</v>
      </c>
    </row>
    <row r="3178" spans="1:49" ht="15" customHeight="1" x14ac:dyDescent="0.25">
      <c r="A3178" s="21">
        <v>20695</v>
      </c>
      <c r="B3178" s="22" t="s">
        <v>23</v>
      </c>
      <c r="C3178" s="22" t="s">
        <v>6119</v>
      </c>
      <c r="D3178" s="22" t="s">
        <v>9086</v>
      </c>
      <c r="E3178" s="22" t="s">
        <v>9087</v>
      </c>
      <c r="F3178" s="22">
        <v>34.29937718</v>
      </c>
      <c r="G3178" s="22">
        <v>43.783179339999997</v>
      </c>
      <c r="H3178" s="21" t="s">
        <v>6031</v>
      </c>
      <c r="I3178" s="21" t="s">
        <v>6120</v>
      </c>
      <c r="J3178" s="21" t="s">
        <v>6133</v>
      </c>
      <c r="K3178" s="24">
        <v>345</v>
      </c>
      <c r="L3178" s="24">
        <v>2070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345</v>
      </c>
      <c r="AB3178" s="23"/>
      <c r="AC3178" s="23"/>
      <c r="AD3178" s="23"/>
      <c r="AE3178" s="23"/>
      <c r="AF3178" s="23">
        <v>164</v>
      </c>
      <c r="AG3178" s="23"/>
      <c r="AH3178" s="23">
        <v>20</v>
      </c>
      <c r="AI3178" s="23"/>
      <c r="AJ3178" s="23"/>
      <c r="AK3178" s="23">
        <v>111</v>
      </c>
      <c r="AL3178" s="23"/>
      <c r="AM3178" s="23">
        <v>50</v>
      </c>
      <c r="AN3178" s="23"/>
      <c r="AO3178" s="23"/>
      <c r="AP3178" s="23"/>
      <c r="AQ3178" s="23"/>
      <c r="AR3178" s="23"/>
      <c r="AS3178" s="23">
        <v>325</v>
      </c>
      <c r="AT3178" s="23">
        <v>20</v>
      </c>
      <c r="AU3178" s="14" t="str">
        <f>HYPERLINK("http://www.openstreetmap.org/?mlat=34.3184&amp;mlon=43.7674&amp;zoom=12#map=12/34.3184/43.7674","Maplink1")</f>
        <v>Maplink1</v>
      </c>
      <c r="AV3178" s="14" t="str">
        <f>HYPERLINK("https://www.google.iq/maps/search/+34.3184,43.7674/@34.3184,43.7674,14z?hl=en","Maplink2")</f>
        <v>Maplink2</v>
      </c>
      <c r="AW3178" s="14" t="str">
        <f>HYPERLINK("http://www.bing.com/maps/?lvl=14&amp;sty=h&amp;cp=34.3184~43.7674&amp;sp=point.34.3184_43.7674_Al-Abasiya","Maplink3")</f>
        <v>Maplink3</v>
      </c>
    </row>
    <row r="3179" spans="1:49" ht="15" customHeight="1" x14ac:dyDescent="0.25">
      <c r="A3179" s="21">
        <v>20675</v>
      </c>
      <c r="B3179" s="22" t="s">
        <v>23</v>
      </c>
      <c r="C3179" s="22" t="s">
        <v>6119</v>
      </c>
      <c r="D3179" s="22" t="s">
        <v>6134</v>
      </c>
      <c r="E3179" s="22" t="s">
        <v>9088</v>
      </c>
      <c r="F3179" s="22">
        <v>34.208181310000001</v>
      </c>
      <c r="G3179" s="22">
        <v>43.906555500000003</v>
      </c>
      <c r="H3179" s="21" t="s">
        <v>6031</v>
      </c>
      <c r="I3179" s="21" t="s">
        <v>6120</v>
      </c>
      <c r="J3179" s="21" t="s">
        <v>6135</v>
      </c>
      <c r="K3179" s="24">
        <v>430</v>
      </c>
      <c r="L3179" s="24">
        <v>2580</v>
      </c>
      <c r="M3179" s="23">
        <v>5</v>
      </c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>
        <v>8</v>
      </c>
      <c r="Z3179" s="23"/>
      <c r="AA3179" s="23">
        <v>417</v>
      </c>
      <c r="AB3179" s="23"/>
      <c r="AC3179" s="23"/>
      <c r="AD3179" s="23"/>
      <c r="AE3179" s="23"/>
      <c r="AF3179" s="23">
        <v>20</v>
      </c>
      <c r="AG3179" s="23"/>
      <c r="AH3179" s="23">
        <v>171</v>
      </c>
      <c r="AI3179" s="23"/>
      <c r="AJ3179" s="23"/>
      <c r="AK3179" s="23">
        <v>182</v>
      </c>
      <c r="AL3179" s="23"/>
      <c r="AM3179" s="23">
        <v>57</v>
      </c>
      <c r="AN3179" s="23"/>
      <c r="AO3179" s="23">
        <v>10</v>
      </c>
      <c r="AP3179" s="23">
        <v>135</v>
      </c>
      <c r="AQ3179" s="23">
        <v>27</v>
      </c>
      <c r="AR3179" s="23">
        <v>143</v>
      </c>
      <c r="AS3179" s="23">
        <v>115</v>
      </c>
      <c r="AT3179" s="23"/>
      <c r="AU3179" s="14" t="str">
        <f>HYPERLINK("http://www.openstreetmap.org/?mlat=34.2077&amp;mlon=43.9078&amp;zoom=12#map=12/34.2077/43.9078","Maplink1")</f>
        <v>Maplink1</v>
      </c>
      <c r="AV3179" s="14" t="str">
        <f>HYPERLINK("https://www.google.iq/maps/search/+34.2077,43.9078/@34.2077,43.9078,14z?hl=en","Maplink2")</f>
        <v>Maplink2</v>
      </c>
      <c r="AW3179" s="14" t="str">
        <f>HYPERLINK("http://www.bing.com/maps/?lvl=14&amp;sty=h&amp;cp=34.2077~43.9078&amp;sp=point.34.2077_43.9078_Al-Efraz area","Maplink3")</f>
        <v>Maplink3</v>
      </c>
    </row>
    <row r="3180" spans="1:49" ht="15" customHeight="1" x14ac:dyDescent="0.25">
      <c r="A3180" s="21">
        <v>20674</v>
      </c>
      <c r="B3180" s="22" t="s">
        <v>23</v>
      </c>
      <c r="C3180" s="22" t="s">
        <v>6119</v>
      </c>
      <c r="D3180" s="22" t="s">
        <v>6136</v>
      </c>
      <c r="E3180" s="22" t="s">
        <v>3204</v>
      </c>
      <c r="F3180" s="22">
        <v>34.202021160000001</v>
      </c>
      <c r="G3180" s="22">
        <v>43.811763470000002</v>
      </c>
      <c r="H3180" s="21" t="s">
        <v>6031</v>
      </c>
      <c r="I3180" s="21" t="s">
        <v>6120</v>
      </c>
      <c r="J3180" s="21" t="s">
        <v>6137</v>
      </c>
      <c r="K3180" s="24">
        <v>401</v>
      </c>
      <c r="L3180" s="24">
        <v>2406</v>
      </c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>
        <v>401</v>
      </c>
      <c r="AB3180" s="23"/>
      <c r="AC3180" s="23"/>
      <c r="AD3180" s="23"/>
      <c r="AE3180" s="23"/>
      <c r="AF3180" s="23">
        <v>125</v>
      </c>
      <c r="AG3180" s="23"/>
      <c r="AH3180" s="23"/>
      <c r="AI3180" s="23"/>
      <c r="AJ3180" s="23"/>
      <c r="AK3180" s="23">
        <v>108</v>
      </c>
      <c r="AL3180" s="23">
        <v>27</v>
      </c>
      <c r="AM3180" s="23">
        <v>141</v>
      </c>
      <c r="AN3180" s="23"/>
      <c r="AO3180" s="23"/>
      <c r="AP3180" s="23"/>
      <c r="AQ3180" s="23"/>
      <c r="AR3180" s="23">
        <v>67</v>
      </c>
      <c r="AS3180" s="23">
        <v>307</v>
      </c>
      <c r="AT3180" s="23">
        <v>27</v>
      </c>
      <c r="AU3180" s="14" t="str">
        <f>HYPERLINK("http://www.openstreetmap.org/?mlat=34.1933&amp;mlon=43.8135&amp;zoom=12#map=12/34.1933/43.8135","Maplink1")</f>
        <v>Maplink1</v>
      </c>
      <c r="AV3180" s="14" t="str">
        <f>HYPERLINK("https://www.google.iq/maps/search/+34.1933,43.8135/@34.1933,43.8135,14z?hl=en","Maplink2")</f>
        <v>Maplink2</v>
      </c>
      <c r="AW3180" s="14" t="str">
        <f>HYPERLINK("http://www.bing.com/maps/?lvl=14&amp;sty=h&amp;cp=34.1933~43.8135&amp;sp=point.34.1933_43.8135_Al-Hewaish area","Maplink3")</f>
        <v>Maplink3</v>
      </c>
    </row>
    <row r="3181" spans="1:49" ht="15" customHeight="1" x14ac:dyDescent="0.25">
      <c r="A3181" s="21">
        <v>20643</v>
      </c>
      <c r="B3181" s="22" t="s">
        <v>23</v>
      </c>
      <c r="C3181" s="22" t="s">
        <v>6119</v>
      </c>
      <c r="D3181" s="22" t="s">
        <v>6138</v>
      </c>
      <c r="E3181" s="22" t="s">
        <v>5916</v>
      </c>
      <c r="F3181" s="22">
        <v>34.212341760000001</v>
      </c>
      <c r="G3181" s="22">
        <v>43.90191059</v>
      </c>
      <c r="H3181" s="21" t="s">
        <v>6031</v>
      </c>
      <c r="I3181" s="21" t="s">
        <v>6120</v>
      </c>
      <c r="J3181" s="21" t="s">
        <v>6139</v>
      </c>
      <c r="K3181" s="24">
        <v>372</v>
      </c>
      <c r="L3181" s="24">
        <v>2232</v>
      </c>
      <c r="M3181" s="23"/>
      <c r="N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>
        <v>372</v>
      </c>
      <c r="AB3181" s="23"/>
      <c r="AC3181" s="23"/>
      <c r="AD3181" s="23"/>
      <c r="AE3181" s="23"/>
      <c r="AF3181" s="23">
        <v>20</v>
      </c>
      <c r="AG3181" s="23"/>
      <c r="AH3181" s="23"/>
      <c r="AI3181" s="23"/>
      <c r="AJ3181" s="23"/>
      <c r="AK3181" s="23">
        <v>297</v>
      </c>
      <c r="AL3181" s="23"/>
      <c r="AM3181" s="23">
        <v>55</v>
      </c>
      <c r="AN3181" s="23"/>
      <c r="AO3181" s="23">
        <v>30</v>
      </c>
      <c r="AP3181" s="23">
        <v>210</v>
      </c>
      <c r="AQ3181" s="23">
        <v>52</v>
      </c>
      <c r="AR3181" s="23">
        <v>80</v>
      </c>
      <c r="AS3181" s="23"/>
      <c r="AT3181" s="23"/>
      <c r="AU3181" s="14" t="str">
        <f>HYPERLINK("http://www.openstreetmap.org/?mlat=34.2129&amp;mlon=43.9002&amp;zoom=12#map=12/34.2129/43.9002","Maplink1")</f>
        <v>Maplink1</v>
      </c>
      <c r="AV3181" s="14" t="str">
        <f>HYPERLINK("https://www.google.iq/maps/search/+34.2129,43.9002/@34.2129,43.9002,14z?hl=en","Maplink2")</f>
        <v>Maplink2</v>
      </c>
      <c r="AW3181" s="14" t="str">
        <f>HYPERLINK("http://www.bing.com/maps/?lvl=14&amp;sty=h&amp;cp=34.2129~43.9002&amp;sp=point.34.2129_43.9002_Al-Jamiaa Area","Maplink3")</f>
        <v>Maplink3</v>
      </c>
    </row>
    <row r="3182" spans="1:49" ht="15" customHeight="1" x14ac:dyDescent="0.25">
      <c r="A3182" s="21">
        <v>20633</v>
      </c>
      <c r="B3182" s="22" t="s">
        <v>23</v>
      </c>
      <c r="C3182" s="22" t="s">
        <v>6119</v>
      </c>
      <c r="D3182" s="22" t="s">
        <v>6140</v>
      </c>
      <c r="E3182" s="22" t="s">
        <v>9089</v>
      </c>
      <c r="F3182" s="22">
        <v>34.189695989999997</v>
      </c>
      <c r="G3182" s="22">
        <v>43.90905566</v>
      </c>
      <c r="H3182" s="21" t="s">
        <v>6031</v>
      </c>
      <c r="I3182" s="21" t="s">
        <v>6120</v>
      </c>
      <c r="J3182" s="21" t="s">
        <v>6141</v>
      </c>
      <c r="K3182" s="24">
        <v>415</v>
      </c>
      <c r="L3182" s="24">
        <v>2490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>
        <v>415</v>
      </c>
      <c r="AB3182" s="23"/>
      <c r="AC3182" s="23"/>
      <c r="AD3182" s="23"/>
      <c r="AE3182" s="23"/>
      <c r="AF3182" s="23">
        <v>31</v>
      </c>
      <c r="AG3182" s="23"/>
      <c r="AH3182" s="23">
        <v>4</v>
      </c>
      <c r="AI3182" s="23"/>
      <c r="AJ3182" s="23"/>
      <c r="AK3182" s="23">
        <v>337</v>
      </c>
      <c r="AL3182" s="23">
        <v>40</v>
      </c>
      <c r="AM3182" s="23">
        <v>3</v>
      </c>
      <c r="AN3182" s="23"/>
      <c r="AO3182" s="23"/>
      <c r="AP3182" s="23"/>
      <c r="AQ3182" s="23">
        <v>40</v>
      </c>
      <c r="AR3182" s="23">
        <v>197</v>
      </c>
      <c r="AS3182" s="23">
        <v>178</v>
      </c>
      <c r="AT3182" s="23"/>
      <c r="AU3182" s="14" t="str">
        <f>HYPERLINK("http://www.openstreetmap.org/?mlat=34.1913&amp;mlon=43.9071&amp;zoom=12#map=12/34.1913/43.9071","Maplink1")</f>
        <v>Maplink1</v>
      </c>
      <c r="AV3182" s="14" t="str">
        <f>HYPERLINK("https://www.google.iq/maps/search/+34.1913,43.9071/@34.1913,43.9071,14z?hl=en","Maplink2")</f>
        <v>Maplink2</v>
      </c>
      <c r="AW3182" s="14" t="str">
        <f>HYPERLINK("http://www.bing.com/maps/?lvl=14&amp;sty=h&amp;cp=34.1913~43.9071&amp;sp=point.34.1913_43.9071_Al-Shuhadaa-Mahalla 324","Maplink3")</f>
        <v>Maplink3</v>
      </c>
    </row>
    <row r="3183" spans="1:49" ht="15" customHeight="1" x14ac:dyDescent="0.25">
      <c r="A3183" s="21">
        <v>20649</v>
      </c>
      <c r="B3183" s="22" t="s">
        <v>23</v>
      </c>
      <c r="C3183" s="22" t="s">
        <v>6119</v>
      </c>
      <c r="D3183" s="22" t="s">
        <v>6142</v>
      </c>
      <c r="E3183" s="22" t="s">
        <v>9090</v>
      </c>
      <c r="F3183" s="22">
        <v>34.190409330000001</v>
      </c>
      <c r="G3183" s="22">
        <v>43.877495779999997</v>
      </c>
      <c r="H3183" s="21" t="s">
        <v>6031</v>
      </c>
      <c r="I3183" s="21" t="s">
        <v>6120</v>
      </c>
      <c r="J3183" s="21" t="s">
        <v>6143</v>
      </c>
      <c r="K3183" s="24">
        <v>249</v>
      </c>
      <c r="L3183" s="24">
        <v>1494</v>
      </c>
      <c r="M3183" s="23">
        <v>6</v>
      </c>
      <c r="N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>
        <v>243</v>
      </c>
      <c r="AB3183" s="23"/>
      <c r="AC3183" s="23"/>
      <c r="AD3183" s="23"/>
      <c r="AE3183" s="23"/>
      <c r="AF3183" s="23">
        <v>12</v>
      </c>
      <c r="AG3183" s="23"/>
      <c r="AH3183" s="23"/>
      <c r="AI3183" s="23"/>
      <c r="AJ3183" s="23"/>
      <c r="AK3183" s="23">
        <v>230</v>
      </c>
      <c r="AL3183" s="23"/>
      <c r="AM3183" s="23">
        <v>4</v>
      </c>
      <c r="AN3183" s="23">
        <v>3</v>
      </c>
      <c r="AO3183" s="23"/>
      <c r="AP3183" s="23"/>
      <c r="AQ3183" s="23">
        <v>162</v>
      </c>
      <c r="AR3183" s="23"/>
      <c r="AS3183" s="23">
        <v>87</v>
      </c>
      <c r="AT3183" s="23"/>
      <c r="AU3183" s="14" t="str">
        <f>HYPERLINK("http://www.openstreetmap.org/?mlat=34.1886&amp;mlon=43.8828&amp;zoom=12#map=12/34.1886/43.8828","Maplink1")</f>
        <v>Maplink1</v>
      </c>
      <c r="AV3183" s="14" t="str">
        <f>HYPERLINK("https://www.google.iq/maps/search/+34.1886,43.8828/@34.1886,43.8828,14z?hl=en","Maplink2")</f>
        <v>Maplink2</v>
      </c>
      <c r="AW3183" s="14" t="str">
        <f>HYPERLINK("http://www.bing.com/maps/?lvl=14&amp;sty=h&amp;cp=34.1886~43.8828&amp;sp=point.34.1886_43.8828_Al-Sikak-111","Maplink3")</f>
        <v>Maplink3</v>
      </c>
    </row>
    <row r="3184" spans="1:49" ht="15" customHeight="1" x14ac:dyDescent="0.25">
      <c r="A3184" s="21">
        <v>20752</v>
      </c>
      <c r="B3184" s="22" t="s">
        <v>23</v>
      </c>
      <c r="C3184" s="22" t="s">
        <v>6119</v>
      </c>
      <c r="D3184" s="22" t="s">
        <v>6144</v>
      </c>
      <c r="E3184" s="22" t="s">
        <v>9091</v>
      </c>
      <c r="F3184" s="22">
        <v>34.368115000000003</v>
      </c>
      <c r="G3184" s="22">
        <v>43.660998999999997</v>
      </c>
      <c r="H3184" s="21" t="s">
        <v>6031</v>
      </c>
      <c r="I3184" s="21" t="s">
        <v>6120</v>
      </c>
      <c r="J3184" s="21" t="s">
        <v>6145</v>
      </c>
      <c r="K3184" s="24">
        <v>9</v>
      </c>
      <c r="L3184" s="24">
        <v>54</v>
      </c>
      <c r="M3184" s="23"/>
      <c r="N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>
        <v>9</v>
      </c>
      <c r="AB3184" s="23"/>
      <c r="AC3184" s="23"/>
      <c r="AD3184" s="23"/>
      <c r="AE3184" s="23"/>
      <c r="AF3184" s="23">
        <v>5</v>
      </c>
      <c r="AG3184" s="23"/>
      <c r="AH3184" s="23"/>
      <c r="AI3184" s="23"/>
      <c r="AJ3184" s="23"/>
      <c r="AK3184" s="23"/>
      <c r="AL3184" s="23"/>
      <c r="AM3184" s="23">
        <v>4</v>
      </c>
      <c r="AN3184" s="23"/>
      <c r="AO3184" s="23"/>
      <c r="AP3184" s="23"/>
      <c r="AQ3184" s="23"/>
      <c r="AR3184" s="23"/>
      <c r="AS3184" s="23">
        <v>9</v>
      </c>
      <c r="AT3184" s="23"/>
      <c r="AU3184" s="14" t="str">
        <f>HYPERLINK("http://www.openstreetmap.org/?mlat=34.3681&amp;mlon=43.661&amp;zoom=12#map=12/34.3681/43.661","Maplink1")</f>
        <v>Maplink1</v>
      </c>
      <c r="AV3184" s="14" t="str">
        <f>HYPERLINK("https://www.google.iq/maps/search/+34.3681,43.661/@34.3681,43.661,14z?hl=en","Maplink2")</f>
        <v>Maplink2</v>
      </c>
      <c r="AW3184" s="14" t="str">
        <f>HYPERLINK("http://www.bing.com/maps/?lvl=14&amp;sty=h&amp;cp=34.3681~43.661&amp;sp=point.34.3681_43.661_Al_Jazera","Maplink3")</f>
        <v>Maplink3</v>
      </c>
    </row>
    <row r="3185" spans="1:49" ht="15" customHeight="1" x14ac:dyDescent="0.25">
      <c r="A3185" s="21">
        <v>22580</v>
      </c>
      <c r="B3185" s="22" t="s">
        <v>23</v>
      </c>
      <c r="C3185" s="22" t="s">
        <v>6119</v>
      </c>
      <c r="D3185" s="22" t="s">
        <v>6146</v>
      </c>
      <c r="E3185" s="22" t="s">
        <v>6147</v>
      </c>
      <c r="F3185" s="22">
        <v>34.205613020000001</v>
      </c>
      <c r="G3185" s="22">
        <v>43.884455860000003</v>
      </c>
      <c r="H3185" s="21" t="s">
        <v>6031</v>
      </c>
      <c r="I3185" s="21" t="s">
        <v>6120</v>
      </c>
      <c r="J3185" s="21" t="s">
        <v>6148</v>
      </c>
      <c r="K3185" s="24">
        <v>326</v>
      </c>
      <c r="L3185" s="24">
        <v>1956</v>
      </c>
      <c r="M3185" s="23">
        <v>5</v>
      </c>
      <c r="N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>
        <v>5</v>
      </c>
      <c r="Z3185" s="23"/>
      <c r="AA3185" s="23">
        <v>316</v>
      </c>
      <c r="AB3185" s="23"/>
      <c r="AC3185" s="23"/>
      <c r="AD3185" s="23"/>
      <c r="AE3185" s="23"/>
      <c r="AF3185" s="23">
        <v>5</v>
      </c>
      <c r="AG3185" s="23"/>
      <c r="AH3185" s="23"/>
      <c r="AI3185" s="23"/>
      <c r="AJ3185" s="23"/>
      <c r="AK3185" s="23">
        <v>305</v>
      </c>
      <c r="AL3185" s="23">
        <v>16</v>
      </c>
      <c r="AM3185" s="23"/>
      <c r="AN3185" s="23"/>
      <c r="AO3185" s="23">
        <v>5</v>
      </c>
      <c r="AP3185" s="23">
        <v>110</v>
      </c>
      <c r="AQ3185" s="23">
        <v>200</v>
      </c>
      <c r="AR3185" s="23">
        <v>11</v>
      </c>
      <c r="AS3185" s="23"/>
      <c r="AT3185" s="23"/>
      <c r="AU3185" s="14" t="str">
        <f>HYPERLINK("http://www.openstreetmap.org/?mlat=34.2024&amp;mlon=43.8668&amp;zoom=12#map=12/34.2024/43.8668","Maplink1")</f>
        <v>Maplink1</v>
      </c>
      <c r="AV3185" s="14" t="str">
        <f>HYPERLINK("https://www.google.iq/maps/search/+34.2024,43.8668/@34.2024,43.8668,14z?hl=en","Maplink2")</f>
        <v>Maplink2</v>
      </c>
      <c r="AW3185" s="14" t="str">
        <f>HYPERLINK("http://www.bing.com/maps/?lvl=14&amp;sty=h&amp;cp=34.2024~43.8668&amp;sp=point.34.2024_43.8668_Hay Al Baladiya-104","Maplink3")</f>
        <v>Maplink3</v>
      </c>
    </row>
    <row r="3186" spans="1:49" ht="15" customHeight="1" x14ac:dyDescent="0.25">
      <c r="A3186" s="21">
        <v>22474</v>
      </c>
      <c r="B3186" s="22" t="s">
        <v>23</v>
      </c>
      <c r="C3186" s="22" t="s">
        <v>6119</v>
      </c>
      <c r="D3186" s="22" t="s">
        <v>6149</v>
      </c>
      <c r="E3186" s="22" t="s">
        <v>9092</v>
      </c>
      <c r="F3186" s="22">
        <v>34.195095240000001</v>
      </c>
      <c r="G3186" s="22">
        <v>43.894225220000003</v>
      </c>
      <c r="H3186" s="21" t="s">
        <v>6031</v>
      </c>
      <c r="I3186" s="21" t="s">
        <v>6120</v>
      </c>
      <c r="J3186" s="21" t="s">
        <v>6150</v>
      </c>
      <c r="K3186" s="24">
        <v>48</v>
      </c>
      <c r="L3186" s="24">
        <v>288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>
        <v>48</v>
      </c>
      <c r="AB3186" s="23"/>
      <c r="AC3186" s="23"/>
      <c r="AD3186" s="23"/>
      <c r="AE3186" s="23"/>
      <c r="AF3186" s="23"/>
      <c r="AG3186" s="23"/>
      <c r="AH3186" s="23"/>
      <c r="AI3186" s="23"/>
      <c r="AJ3186" s="23"/>
      <c r="AK3186" s="23"/>
      <c r="AL3186" s="23">
        <v>43</v>
      </c>
      <c r="AM3186" s="23">
        <v>5</v>
      </c>
      <c r="AN3186" s="23"/>
      <c r="AO3186" s="23"/>
      <c r="AP3186" s="23">
        <v>20</v>
      </c>
      <c r="AQ3186" s="23">
        <v>23</v>
      </c>
      <c r="AR3186" s="23"/>
      <c r="AS3186" s="23"/>
      <c r="AT3186" s="23">
        <v>5</v>
      </c>
      <c r="AU3186" s="14" t="str">
        <f>HYPERLINK("http://www.openstreetmap.org/?mlat=34.1956&amp;mlon=43.8924&amp;zoom=12#map=12/34.1956/43.8924","Maplink1")</f>
        <v>Maplink1</v>
      </c>
      <c r="AV3186" s="14" t="str">
        <f>HYPERLINK("https://www.google.iq/maps/search/+34.1956,43.8924/@34.1956,43.8924,14z?hl=en","Maplink2")</f>
        <v>Maplink2</v>
      </c>
      <c r="AW3186" s="14" t="str">
        <f>HYPERLINK("http://www.bing.com/maps/?lvl=14&amp;sty=h&amp;cp=34.1956~43.8924&amp;sp=point.34.1956_43.8924_Hay Al Dhubbat-Mahalla 334","Maplink3")</f>
        <v>Maplink3</v>
      </c>
    </row>
    <row r="3187" spans="1:49" ht="15" customHeight="1" x14ac:dyDescent="0.25">
      <c r="A3187" s="21">
        <v>22584</v>
      </c>
      <c r="B3187" s="22" t="s">
        <v>23</v>
      </c>
      <c r="C3187" s="22" t="s">
        <v>6119</v>
      </c>
      <c r="D3187" s="22" t="s">
        <v>6151</v>
      </c>
      <c r="E3187" s="22" t="s">
        <v>9093</v>
      </c>
      <c r="F3187" s="22">
        <v>34.193618299999997</v>
      </c>
      <c r="G3187" s="22">
        <v>43.895672099999999</v>
      </c>
      <c r="H3187" s="21" t="s">
        <v>6031</v>
      </c>
      <c r="I3187" s="21" t="s">
        <v>6120</v>
      </c>
      <c r="J3187" s="21" t="s">
        <v>6152</v>
      </c>
      <c r="K3187" s="24">
        <v>49</v>
      </c>
      <c r="L3187" s="24">
        <v>294</v>
      </c>
      <c r="M3187" s="23"/>
      <c r="N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>
        <v>49</v>
      </c>
      <c r="AB3187" s="23"/>
      <c r="AC3187" s="23"/>
      <c r="AD3187" s="23"/>
      <c r="AE3187" s="23"/>
      <c r="AF3187" s="23"/>
      <c r="AG3187" s="23"/>
      <c r="AH3187" s="23"/>
      <c r="AI3187" s="23"/>
      <c r="AJ3187" s="23"/>
      <c r="AK3187" s="23">
        <v>37</v>
      </c>
      <c r="AL3187" s="23">
        <v>12</v>
      </c>
      <c r="AM3187" s="23"/>
      <c r="AN3187" s="23"/>
      <c r="AO3187" s="23"/>
      <c r="AP3187" s="23">
        <v>10</v>
      </c>
      <c r="AQ3187" s="23">
        <v>30</v>
      </c>
      <c r="AR3187" s="23">
        <v>9</v>
      </c>
      <c r="AS3187" s="23"/>
      <c r="AT3187" s="23"/>
      <c r="AU3187" s="14" t="str">
        <f>HYPERLINK("http://www.openstreetmap.org/?mlat=34.1935&amp;mlon=43.8972&amp;zoom=12#map=12/34.1935/43.8972","Maplink1")</f>
        <v>Maplink1</v>
      </c>
      <c r="AV3187" s="14" t="str">
        <f>HYPERLINK("https://www.google.iq/maps/search/+34.1935,43.8972/@34.1935,43.8972,14z?hl=en","Maplink2")</f>
        <v>Maplink2</v>
      </c>
      <c r="AW3187" s="14" t="str">
        <f>HYPERLINK("http://www.bing.com/maps/?lvl=14&amp;sty=h&amp;cp=34.1935~43.8972&amp;sp=point.34.1935_43.8972_Hay Al Dubhat-Mahalla 336","Maplink3")</f>
        <v>Maplink3</v>
      </c>
    </row>
    <row r="3188" spans="1:49" ht="15" customHeight="1" x14ac:dyDescent="0.25">
      <c r="A3188" s="21">
        <v>25519</v>
      </c>
      <c r="B3188" s="22" t="s">
        <v>23</v>
      </c>
      <c r="C3188" s="22" t="s">
        <v>6119</v>
      </c>
      <c r="D3188" s="22" t="s">
        <v>6153</v>
      </c>
      <c r="E3188" s="22" t="s">
        <v>8092</v>
      </c>
      <c r="F3188" s="22">
        <v>34.195290579999998</v>
      </c>
      <c r="G3188" s="22">
        <v>43.866331420000002</v>
      </c>
      <c r="H3188" s="21" t="s">
        <v>6031</v>
      </c>
      <c r="I3188" s="21" t="s">
        <v>6120</v>
      </c>
      <c r="J3188" s="21"/>
      <c r="K3188" s="24">
        <v>19</v>
      </c>
      <c r="L3188" s="24">
        <v>114</v>
      </c>
      <c r="M3188" s="23"/>
      <c r="N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>
        <v>19</v>
      </c>
      <c r="AB3188" s="23"/>
      <c r="AC3188" s="23"/>
      <c r="AD3188" s="23"/>
      <c r="AE3188" s="23"/>
      <c r="AF3188" s="23">
        <v>4</v>
      </c>
      <c r="AG3188" s="23"/>
      <c r="AH3188" s="23"/>
      <c r="AI3188" s="23"/>
      <c r="AJ3188" s="23"/>
      <c r="AK3188" s="23">
        <v>15</v>
      </c>
      <c r="AL3188" s="23"/>
      <c r="AM3188" s="23"/>
      <c r="AN3188" s="23"/>
      <c r="AO3188" s="23"/>
      <c r="AP3188" s="23"/>
      <c r="AQ3188" s="23">
        <v>6</v>
      </c>
      <c r="AR3188" s="23">
        <v>8</v>
      </c>
      <c r="AS3188" s="23">
        <v>5</v>
      </c>
      <c r="AT3188" s="23"/>
      <c r="AU3188" s="14" t="str">
        <f>HYPERLINK("http://www.openstreetmap.org/?mlat=34.1963&amp;mlon=43.8672&amp;zoom=12#map=12/34.1963/43.8672","Maplink1")</f>
        <v>Maplink1</v>
      </c>
      <c r="AV3188" s="14" t="str">
        <f>HYPERLINK("https://www.google.iq/maps/search/+34.1963,43.8672/@34.1963,43.8672,14z?hl=en","Maplink2")</f>
        <v>Maplink2</v>
      </c>
      <c r="AW3188" s="14" t="str">
        <f>HYPERLINK("http://www.bing.com/maps/?lvl=14&amp;sty=h&amp;cp=34.1963~43.8672&amp;sp=point.34.1963_43.8672_Hay Al Gatol-Albu Nisan","Maplink3")</f>
        <v>Maplink3</v>
      </c>
    </row>
    <row r="3189" spans="1:49" ht="15" customHeight="1" x14ac:dyDescent="0.25">
      <c r="A3189" s="21">
        <v>20680</v>
      </c>
      <c r="B3189" s="22" t="s">
        <v>23</v>
      </c>
      <c r="C3189" s="22" t="s">
        <v>6119</v>
      </c>
      <c r="D3189" s="22" t="s">
        <v>6154</v>
      </c>
      <c r="E3189" s="22" t="s">
        <v>9094</v>
      </c>
      <c r="F3189" s="22">
        <v>34.202446459999997</v>
      </c>
      <c r="G3189" s="22">
        <v>43.876131710000003</v>
      </c>
      <c r="H3189" s="21" t="s">
        <v>6031</v>
      </c>
      <c r="I3189" s="21" t="s">
        <v>6120</v>
      </c>
      <c r="J3189" s="21" t="s">
        <v>6155</v>
      </c>
      <c r="K3189" s="24">
        <v>54</v>
      </c>
      <c r="L3189" s="24">
        <v>324</v>
      </c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>
        <v>54</v>
      </c>
      <c r="AB3189" s="23"/>
      <c r="AC3189" s="23"/>
      <c r="AD3189" s="23"/>
      <c r="AE3189" s="23"/>
      <c r="AF3189" s="23"/>
      <c r="AG3189" s="23"/>
      <c r="AH3189" s="23"/>
      <c r="AI3189" s="23"/>
      <c r="AJ3189" s="23"/>
      <c r="AK3189" s="23">
        <v>54</v>
      </c>
      <c r="AL3189" s="23"/>
      <c r="AM3189" s="23"/>
      <c r="AN3189" s="23"/>
      <c r="AO3189" s="23"/>
      <c r="AP3189" s="23">
        <v>9</v>
      </c>
      <c r="AQ3189" s="23"/>
      <c r="AR3189" s="23">
        <v>40</v>
      </c>
      <c r="AS3189" s="23">
        <v>5</v>
      </c>
      <c r="AT3189" s="23"/>
      <c r="AU3189" s="14" t="str">
        <f>HYPERLINK("http://www.openstreetmap.org/?mlat=34.2009&amp;mlon=43.8753&amp;zoom=12#map=12/34.2009/43.8753","Maplink1")</f>
        <v>Maplink1</v>
      </c>
      <c r="AV3189" s="14" t="str">
        <f>HYPERLINK("https://www.google.iq/maps/search/+34.2009,43.8753/@34.2009,43.8753,14z?hl=en","Maplink2")</f>
        <v>Maplink2</v>
      </c>
      <c r="AW3189" s="14" t="str">
        <f>HYPERLINK("http://www.bing.com/maps/?lvl=14&amp;sty=h&amp;cp=34.2009~43.8753&amp;sp=point.34.2009_43.8753_Hay Al Hady 101","Maplink3")</f>
        <v>Maplink3</v>
      </c>
    </row>
    <row r="3190" spans="1:49" ht="15" customHeight="1" x14ac:dyDescent="0.25">
      <c r="A3190" s="21">
        <v>22903</v>
      </c>
      <c r="B3190" s="22" t="s">
        <v>23</v>
      </c>
      <c r="C3190" s="22" t="s">
        <v>6119</v>
      </c>
      <c r="D3190" s="22" t="s">
        <v>6156</v>
      </c>
      <c r="E3190" s="22" t="s">
        <v>9095</v>
      </c>
      <c r="F3190" s="22">
        <v>34.196214259999998</v>
      </c>
      <c r="G3190" s="22">
        <v>43.869031479999997</v>
      </c>
      <c r="H3190" s="21" t="s">
        <v>6031</v>
      </c>
      <c r="I3190" s="21" t="s">
        <v>6120</v>
      </c>
      <c r="J3190" s="21" t="s">
        <v>6157</v>
      </c>
      <c r="K3190" s="24">
        <v>20</v>
      </c>
      <c r="L3190" s="24">
        <v>120</v>
      </c>
      <c r="M3190" s="23"/>
      <c r="N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>
        <v>20</v>
      </c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>
        <v>20</v>
      </c>
      <c r="AL3190" s="23"/>
      <c r="AM3190" s="23"/>
      <c r="AN3190" s="23"/>
      <c r="AO3190" s="23"/>
      <c r="AP3190" s="23"/>
      <c r="AQ3190" s="23">
        <v>20</v>
      </c>
      <c r="AR3190" s="23"/>
      <c r="AS3190" s="23"/>
      <c r="AT3190" s="23"/>
      <c r="AU3190" s="14" t="str">
        <f>HYPERLINK("http://www.openstreetmap.org/?mlat=34.1967&amp;mlon=43.8738&amp;zoom=12#map=12/34.1967/43.8738","Maplink1")</f>
        <v>Maplink1</v>
      </c>
      <c r="AV3190" s="14" t="str">
        <f>HYPERLINK("https://www.google.iq/maps/search/+34.1967,43.8738/@34.1967,43.8738,14z?hl=en","Maplink2")</f>
        <v>Maplink2</v>
      </c>
      <c r="AW3190" s="14" t="str">
        <f>HYPERLINK("http://www.bing.com/maps/?lvl=14&amp;sty=h&amp;cp=34.1967~43.8738&amp;sp=point.34.1967_43.8738_Hay Al imam-103","Maplink3")</f>
        <v>Maplink3</v>
      </c>
    </row>
    <row r="3191" spans="1:49" ht="15" customHeight="1" x14ac:dyDescent="0.25">
      <c r="A3191" s="21">
        <v>24122</v>
      </c>
      <c r="B3191" s="22" t="s">
        <v>23</v>
      </c>
      <c r="C3191" s="22" t="s">
        <v>6119</v>
      </c>
      <c r="D3191" s="22" t="s">
        <v>6158</v>
      </c>
      <c r="E3191" s="22" t="s">
        <v>8093</v>
      </c>
      <c r="F3191" s="22">
        <v>34.19683964</v>
      </c>
      <c r="G3191" s="22">
        <v>43.887059610000001</v>
      </c>
      <c r="H3191" s="21" t="s">
        <v>6031</v>
      </c>
      <c r="I3191" s="21" t="s">
        <v>6120</v>
      </c>
      <c r="J3191" s="21" t="s">
        <v>6159</v>
      </c>
      <c r="K3191" s="24">
        <v>80</v>
      </c>
      <c r="L3191" s="24">
        <v>480</v>
      </c>
      <c r="M3191" s="23">
        <v>3</v>
      </c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>
        <v>2</v>
      </c>
      <c r="Z3191" s="23"/>
      <c r="AA3191" s="23">
        <v>75</v>
      </c>
      <c r="AB3191" s="23"/>
      <c r="AC3191" s="23"/>
      <c r="AD3191" s="23"/>
      <c r="AE3191" s="23"/>
      <c r="AF3191" s="23"/>
      <c r="AG3191" s="23"/>
      <c r="AH3191" s="23"/>
      <c r="AI3191" s="23"/>
      <c r="AJ3191" s="23"/>
      <c r="AK3191" s="23">
        <v>67</v>
      </c>
      <c r="AL3191" s="23"/>
      <c r="AM3191" s="23">
        <v>13</v>
      </c>
      <c r="AN3191" s="23"/>
      <c r="AO3191" s="23"/>
      <c r="AP3191" s="23"/>
      <c r="AQ3191" s="23"/>
      <c r="AR3191" s="23">
        <v>27</v>
      </c>
      <c r="AS3191" s="23">
        <v>53</v>
      </c>
      <c r="AT3191" s="23"/>
      <c r="AU3191" s="14" t="str">
        <f>HYPERLINK("http://www.openstreetmap.org/?mlat=34.1965&amp;mlon=43.8852&amp;zoom=12#map=12/34.1965/43.8852","Maplink1")</f>
        <v>Maplink1</v>
      </c>
      <c r="AV3191" s="14" t="str">
        <f>HYPERLINK("https://www.google.iq/maps/search/+34.1965,43.8852/@34.1965,43.8852,14z?hl=en","Maplink2")</f>
        <v>Maplink2</v>
      </c>
      <c r="AW3191" s="14" t="str">
        <f>HYPERLINK("http://www.bing.com/maps/?lvl=14&amp;sty=h&amp;cp=34.1965~43.8852&amp;sp=point.34.1965_43.8852_Hay Al Mulmeen-109","Maplink3")</f>
        <v>Maplink3</v>
      </c>
    </row>
    <row r="3192" spans="1:49" ht="15" customHeight="1" x14ac:dyDescent="0.25">
      <c r="A3192" s="21">
        <v>21724</v>
      </c>
      <c r="B3192" s="22" t="s">
        <v>23</v>
      </c>
      <c r="C3192" s="22" t="s">
        <v>6119</v>
      </c>
      <c r="D3192" s="22" t="s">
        <v>6160</v>
      </c>
      <c r="E3192" s="22" t="s">
        <v>8094</v>
      </c>
      <c r="F3192" s="22">
        <v>34.1938672</v>
      </c>
      <c r="G3192" s="22">
        <v>43.879735340000003</v>
      </c>
      <c r="H3192" s="21" t="s">
        <v>6031</v>
      </c>
      <c r="I3192" s="21" t="s">
        <v>6120</v>
      </c>
      <c r="J3192" s="21" t="s">
        <v>6161</v>
      </c>
      <c r="K3192" s="24">
        <v>65</v>
      </c>
      <c r="L3192" s="24">
        <v>390</v>
      </c>
      <c r="M3192" s="23">
        <v>2</v>
      </c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>
        <v>63</v>
      </c>
      <c r="AB3192" s="23"/>
      <c r="AC3192" s="23"/>
      <c r="AD3192" s="23"/>
      <c r="AE3192" s="23"/>
      <c r="AF3192" s="23"/>
      <c r="AG3192" s="23"/>
      <c r="AH3192" s="23"/>
      <c r="AI3192" s="23"/>
      <c r="AJ3192" s="23"/>
      <c r="AK3192" s="23">
        <v>65</v>
      </c>
      <c r="AL3192" s="23"/>
      <c r="AM3192" s="23"/>
      <c r="AN3192" s="23"/>
      <c r="AO3192" s="23"/>
      <c r="AP3192" s="23"/>
      <c r="AQ3192" s="23">
        <v>30</v>
      </c>
      <c r="AR3192" s="23">
        <v>35</v>
      </c>
      <c r="AS3192" s="23"/>
      <c r="AT3192" s="23"/>
      <c r="AU3192" s="14" t="str">
        <f>HYPERLINK("http://www.openstreetmap.org/?mlat=34.195&amp;mlon=43.8774&amp;zoom=12#map=12/34.195/43.8774","Maplink1")</f>
        <v>Maplink1</v>
      </c>
      <c r="AV3192" s="14" t="str">
        <f>HYPERLINK("https://www.google.iq/maps/search/+34.195,43.8774/@34.195,43.8774,14z?hl=en","Maplink2")</f>
        <v>Maplink2</v>
      </c>
      <c r="AW3192" s="14" t="str">
        <f>HYPERLINK("http://www.bing.com/maps/?lvl=14&amp;sty=h&amp;cp=34.195~43.8774&amp;sp=point.34.195_43.8774_Hay Al Mutasim-mahala 105","Maplink3")</f>
        <v>Maplink3</v>
      </c>
    </row>
    <row r="3193" spans="1:49" ht="15" customHeight="1" x14ac:dyDescent="0.25">
      <c r="A3193" s="21">
        <v>22473</v>
      </c>
      <c r="B3193" s="22" t="s">
        <v>23</v>
      </c>
      <c r="C3193" s="22" t="s">
        <v>6119</v>
      </c>
      <c r="D3193" s="22" t="s">
        <v>6162</v>
      </c>
      <c r="E3193" s="22" t="s">
        <v>8095</v>
      </c>
      <c r="F3193" s="22">
        <v>34.193117479999998</v>
      </c>
      <c r="G3193" s="22">
        <v>43.91228478</v>
      </c>
      <c r="H3193" s="21" t="s">
        <v>6031</v>
      </c>
      <c r="I3193" s="21" t="s">
        <v>6120</v>
      </c>
      <c r="J3193" s="21" t="s">
        <v>6163</v>
      </c>
      <c r="K3193" s="24">
        <v>645</v>
      </c>
      <c r="L3193" s="24">
        <v>3870</v>
      </c>
      <c r="M3193" s="23">
        <v>11</v>
      </c>
      <c r="N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>
        <v>634</v>
      </c>
      <c r="AB3193" s="23"/>
      <c r="AC3193" s="23"/>
      <c r="AD3193" s="23"/>
      <c r="AE3193" s="23"/>
      <c r="AF3193" s="23"/>
      <c r="AG3193" s="23"/>
      <c r="AH3193" s="23">
        <v>49</v>
      </c>
      <c r="AI3193" s="23"/>
      <c r="AJ3193" s="23"/>
      <c r="AK3193" s="23">
        <v>440</v>
      </c>
      <c r="AL3193" s="23">
        <v>61</v>
      </c>
      <c r="AM3193" s="23">
        <v>95</v>
      </c>
      <c r="AN3193" s="23"/>
      <c r="AO3193" s="23">
        <v>11</v>
      </c>
      <c r="AP3193" s="23">
        <v>260</v>
      </c>
      <c r="AQ3193" s="23">
        <v>234</v>
      </c>
      <c r="AR3193" s="23">
        <v>101</v>
      </c>
      <c r="AS3193" s="23">
        <v>39</v>
      </c>
      <c r="AT3193" s="23"/>
      <c r="AU3193" s="14" t="str">
        <f>HYPERLINK("http://www.openstreetmap.org/?mlat=34.1961&amp;mlon=43.9162&amp;zoom=12#map=12/34.1961/43.9162","Maplink1")</f>
        <v>Maplink1</v>
      </c>
      <c r="AV3193" s="14" t="str">
        <f>HYPERLINK("https://www.google.iq/maps/search/+34.1961,43.9162/@34.1961,43.9162,14z?hl=en","Maplink2")</f>
        <v>Maplink2</v>
      </c>
      <c r="AW3193" s="14" t="str">
        <f>HYPERLINK("http://www.bing.com/maps/?lvl=14&amp;sty=h&amp;cp=34.1961~43.9162&amp;sp=point.34.1961_43.9162_Hay Al Muthanna-Mahalla 312","Maplink3")</f>
        <v>Maplink3</v>
      </c>
    </row>
    <row r="3194" spans="1:49" ht="15" customHeight="1" x14ac:dyDescent="0.25">
      <c r="A3194" s="21">
        <v>22810</v>
      </c>
      <c r="B3194" s="22" t="s">
        <v>23</v>
      </c>
      <c r="C3194" s="22" t="s">
        <v>6119</v>
      </c>
      <c r="D3194" s="22" t="s">
        <v>6164</v>
      </c>
      <c r="E3194" s="22" t="s">
        <v>8096</v>
      </c>
      <c r="F3194" s="22">
        <v>34.185311290000001</v>
      </c>
      <c r="G3194" s="22">
        <v>43.901050349999998</v>
      </c>
      <c r="H3194" s="21" t="s">
        <v>6031</v>
      </c>
      <c r="I3194" s="21" t="s">
        <v>6120</v>
      </c>
      <c r="J3194" s="21" t="s">
        <v>6165</v>
      </c>
      <c r="K3194" s="24">
        <v>50</v>
      </c>
      <c r="L3194" s="24">
        <v>300</v>
      </c>
      <c r="M3194" s="23"/>
      <c r="N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>
        <v>50</v>
      </c>
      <c r="AB3194" s="23"/>
      <c r="AC3194" s="23"/>
      <c r="AD3194" s="23"/>
      <c r="AE3194" s="23"/>
      <c r="AF3194" s="23">
        <v>11</v>
      </c>
      <c r="AG3194" s="23"/>
      <c r="AH3194" s="23"/>
      <c r="AI3194" s="23"/>
      <c r="AJ3194" s="23"/>
      <c r="AK3194" s="23">
        <v>39</v>
      </c>
      <c r="AL3194" s="23"/>
      <c r="AM3194" s="23"/>
      <c r="AN3194" s="23"/>
      <c r="AO3194" s="23"/>
      <c r="AP3194" s="23"/>
      <c r="AQ3194" s="23">
        <v>21</v>
      </c>
      <c r="AR3194" s="23">
        <v>29</v>
      </c>
      <c r="AS3194" s="23"/>
      <c r="AT3194" s="23"/>
      <c r="AU3194" s="14" t="str">
        <f>HYPERLINK("http://www.openstreetmap.org/?mlat=34.1879&amp;mlon=43.8953&amp;zoom=12#map=12/34.1879/43.8953","Maplink1")</f>
        <v>Maplink1</v>
      </c>
      <c r="AV3194" s="14" t="str">
        <f>HYPERLINK("https://www.google.iq/maps/search/+34.1879,43.8953/@34.1879,43.8953,14z?hl=en","Maplink2")</f>
        <v>Maplink2</v>
      </c>
      <c r="AW3194" s="14" t="str">
        <f>HYPERLINK("http://www.bing.com/maps/?lvl=14&amp;sty=h&amp;cp=34.1879~43.8953&amp;sp=point.34.1879_43.8953_Hay Al Rasheed-Mahalla 326","Maplink3")</f>
        <v>Maplink3</v>
      </c>
    </row>
    <row r="3195" spans="1:49" ht="15" customHeight="1" x14ac:dyDescent="0.25">
      <c r="A3195" s="21">
        <v>21725</v>
      </c>
      <c r="B3195" s="22" t="s">
        <v>23</v>
      </c>
      <c r="C3195" s="22" t="s">
        <v>6119</v>
      </c>
      <c r="D3195" s="22" t="s">
        <v>6166</v>
      </c>
      <c r="E3195" s="22" t="s">
        <v>9096</v>
      </c>
      <c r="F3195" s="22">
        <v>34.186008080000001</v>
      </c>
      <c r="G3195" s="22">
        <v>43.904327170000002</v>
      </c>
      <c r="H3195" s="21" t="s">
        <v>6031</v>
      </c>
      <c r="I3195" s="21" t="s">
        <v>6120</v>
      </c>
      <c r="J3195" s="21" t="s">
        <v>6167</v>
      </c>
      <c r="K3195" s="24">
        <v>521</v>
      </c>
      <c r="L3195" s="24">
        <v>3126</v>
      </c>
      <c r="M3195" s="23">
        <v>7</v>
      </c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>
        <v>2</v>
      </c>
      <c r="Z3195" s="23"/>
      <c r="AA3195" s="23">
        <v>512</v>
      </c>
      <c r="AB3195" s="23"/>
      <c r="AC3195" s="23"/>
      <c r="AD3195" s="23"/>
      <c r="AE3195" s="23"/>
      <c r="AF3195" s="23">
        <v>425</v>
      </c>
      <c r="AG3195" s="23"/>
      <c r="AH3195" s="23"/>
      <c r="AI3195" s="23"/>
      <c r="AJ3195" s="23">
        <v>9</v>
      </c>
      <c r="AK3195" s="23">
        <v>8</v>
      </c>
      <c r="AL3195" s="23">
        <v>27</v>
      </c>
      <c r="AM3195" s="23">
        <v>52</v>
      </c>
      <c r="AN3195" s="23"/>
      <c r="AO3195" s="23">
        <v>7</v>
      </c>
      <c r="AP3195" s="23">
        <v>225</v>
      </c>
      <c r="AQ3195" s="23">
        <v>100</v>
      </c>
      <c r="AR3195" s="23">
        <v>180</v>
      </c>
      <c r="AS3195" s="23"/>
      <c r="AT3195" s="23">
        <v>9</v>
      </c>
      <c r="AU3195" s="14" t="str">
        <f>HYPERLINK("http://www.openstreetmap.org/?mlat=34.1871&amp;mlon=43.8935&amp;zoom=12#map=12/34.1871/43.8935","Maplink1")</f>
        <v>Maplink1</v>
      </c>
      <c r="AV3195" s="14" t="str">
        <f>HYPERLINK("https://www.google.iq/maps/search/+34.1871,43.8935/@34.1871,43.8935,14z?hl=en","Maplink2")</f>
        <v>Maplink2</v>
      </c>
      <c r="AW3195" s="14" t="str">
        <f>HYPERLINK("http://www.bing.com/maps/?lvl=14&amp;sty=h&amp;cp=34.1871~43.8935&amp;sp=point.34.1871_43.8935_Hay Al Wathiq-Mahala 314","Maplink3")</f>
        <v>Maplink3</v>
      </c>
    </row>
    <row r="3196" spans="1:49" ht="15" customHeight="1" x14ac:dyDescent="0.25">
      <c r="A3196" s="21">
        <v>21594</v>
      </c>
      <c r="B3196" s="22" t="s">
        <v>23</v>
      </c>
      <c r="C3196" s="22" t="s">
        <v>6119</v>
      </c>
      <c r="D3196" s="22" t="s">
        <v>6168</v>
      </c>
      <c r="E3196" s="22" t="s">
        <v>9097</v>
      </c>
      <c r="F3196" s="22">
        <v>34.186975429999997</v>
      </c>
      <c r="G3196" s="22">
        <v>43.855291110000003</v>
      </c>
      <c r="H3196" s="21" t="s">
        <v>6031</v>
      </c>
      <c r="I3196" s="21" t="s">
        <v>6120</v>
      </c>
      <c r="J3196" s="21" t="s">
        <v>6169</v>
      </c>
      <c r="K3196" s="24">
        <v>127</v>
      </c>
      <c r="L3196" s="24">
        <v>762</v>
      </c>
      <c r="M3196" s="23">
        <v>3</v>
      </c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>
        <v>124</v>
      </c>
      <c r="AB3196" s="23"/>
      <c r="AC3196" s="23"/>
      <c r="AD3196" s="23"/>
      <c r="AE3196" s="23"/>
      <c r="AF3196" s="23">
        <v>23</v>
      </c>
      <c r="AG3196" s="23"/>
      <c r="AH3196" s="23">
        <v>4</v>
      </c>
      <c r="AI3196" s="23">
        <v>4</v>
      </c>
      <c r="AJ3196" s="23"/>
      <c r="AK3196" s="23">
        <v>79</v>
      </c>
      <c r="AL3196" s="23">
        <v>3</v>
      </c>
      <c r="AM3196" s="23">
        <v>14</v>
      </c>
      <c r="AN3196" s="23"/>
      <c r="AO3196" s="23">
        <v>6</v>
      </c>
      <c r="AP3196" s="23"/>
      <c r="AQ3196" s="23">
        <v>15</v>
      </c>
      <c r="AR3196" s="23"/>
      <c r="AS3196" s="23">
        <v>106</v>
      </c>
      <c r="AT3196" s="23"/>
      <c r="AU3196" s="14" t="str">
        <f>HYPERLINK("http://www.openstreetmap.org/?mlat=34.1831&amp;mlon=43.8549&amp;zoom=12#map=12/34.1831/43.8549","Maplink1")</f>
        <v>Maplink1</v>
      </c>
      <c r="AV3196" s="14" t="str">
        <f>HYPERLINK("https://www.google.iq/maps/search/+34.1831,43.8549/@34.1831,43.8549,14z?hl=en","Maplink2")</f>
        <v>Maplink2</v>
      </c>
      <c r="AW3196" s="14" t="str">
        <f>HYPERLINK("http://www.bing.com/maps/?lvl=14&amp;sty=h&amp;cp=34.1831~43.8549&amp;sp=point.34.1831_43.8549_Hay Al Zuhoor (Al qala 4) Mahala 202","Maplink3")</f>
        <v>Maplink3</v>
      </c>
    </row>
    <row r="3197" spans="1:49" ht="15" customHeight="1" x14ac:dyDescent="0.25">
      <c r="A3197" s="21">
        <v>20569</v>
      </c>
      <c r="B3197" s="22" t="s">
        <v>23</v>
      </c>
      <c r="C3197" s="22" t="s">
        <v>6119</v>
      </c>
      <c r="D3197" s="22" t="s">
        <v>6170</v>
      </c>
      <c r="E3197" s="22" t="s">
        <v>9098</v>
      </c>
      <c r="F3197" s="22">
        <v>34.197943870000003</v>
      </c>
      <c r="G3197" s="22">
        <v>43.903025210000003</v>
      </c>
      <c r="H3197" s="21" t="s">
        <v>6031</v>
      </c>
      <c r="I3197" s="21" t="s">
        <v>6120</v>
      </c>
      <c r="J3197" s="21" t="s">
        <v>6171</v>
      </c>
      <c r="K3197" s="24">
        <v>394</v>
      </c>
      <c r="L3197" s="24">
        <v>2364</v>
      </c>
      <c r="M3197" s="23">
        <v>9</v>
      </c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>
        <v>6</v>
      </c>
      <c r="Z3197" s="23"/>
      <c r="AA3197" s="23">
        <v>379</v>
      </c>
      <c r="AB3197" s="23"/>
      <c r="AC3197" s="23"/>
      <c r="AD3197" s="23"/>
      <c r="AE3197" s="23"/>
      <c r="AF3197" s="23">
        <v>28</v>
      </c>
      <c r="AG3197" s="23"/>
      <c r="AH3197" s="23">
        <v>65</v>
      </c>
      <c r="AI3197" s="23"/>
      <c r="AJ3197" s="23">
        <v>17</v>
      </c>
      <c r="AK3197" s="23">
        <v>223</v>
      </c>
      <c r="AL3197" s="23"/>
      <c r="AM3197" s="23">
        <v>61</v>
      </c>
      <c r="AN3197" s="23"/>
      <c r="AO3197" s="23"/>
      <c r="AP3197" s="23">
        <v>125</v>
      </c>
      <c r="AQ3197" s="23">
        <v>45</v>
      </c>
      <c r="AR3197" s="23">
        <v>101</v>
      </c>
      <c r="AS3197" s="23">
        <v>123</v>
      </c>
      <c r="AT3197" s="23"/>
      <c r="AU3197" s="14" t="str">
        <f>HYPERLINK("http://www.openstreetmap.org/?mlat=34.1994&amp;mlon=43.9092&amp;zoom=12#map=12/34.1994/43.9092","Maplink1")</f>
        <v>Maplink1</v>
      </c>
      <c r="AV3197" s="14" t="str">
        <f>HYPERLINK("https://www.google.iq/maps/search/+34.1994,43.9092/@34.1994,43.9092,14z?hl=en","Maplink2")</f>
        <v>Maplink2</v>
      </c>
      <c r="AW3197" s="14" t="str">
        <f>HYPERLINK("http://www.bing.com/maps/?lvl=14&amp;sty=h&amp;cp=34.1994~43.9092&amp;sp=point.34.1994_43.9092_Hay Al-Khathraa Mahala 322","Maplink3")</f>
        <v>Maplink3</v>
      </c>
    </row>
    <row r="3198" spans="1:49" ht="15" customHeight="1" x14ac:dyDescent="0.25">
      <c r="A3198" s="21">
        <v>23877</v>
      </c>
      <c r="B3198" s="22" t="s">
        <v>23</v>
      </c>
      <c r="C3198" s="22" t="s">
        <v>6119</v>
      </c>
      <c r="D3198" s="22" t="s">
        <v>6172</v>
      </c>
      <c r="E3198" s="22" t="s">
        <v>9099</v>
      </c>
      <c r="F3198" s="22">
        <v>34.18747982</v>
      </c>
      <c r="G3198" s="22">
        <v>43.873352269999998</v>
      </c>
      <c r="H3198" s="21" t="s">
        <v>6031</v>
      </c>
      <c r="I3198" s="21" t="s">
        <v>6120</v>
      </c>
      <c r="J3198" s="21" t="s">
        <v>6173</v>
      </c>
      <c r="K3198" s="24">
        <v>75</v>
      </c>
      <c r="L3198" s="24">
        <v>450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>
        <v>75</v>
      </c>
      <c r="AB3198" s="23"/>
      <c r="AC3198" s="23"/>
      <c r="AD3198" s="23"/>
      <c r="AE3198" s="23"/>
      <c r="AF3198" s="23">
        <v>8</v>
      </c>
      <c r="AG3198" s="23"/>
      <c r="AH3198" s="23"/>
      <c r="AI3198" s="23">
        <v>6</v>
      </c>
      <c r="AJ3198" s="23"/>
      <c r="AK3198" s="23">
        <v>61</v>
      </c>
      <c r="AL3198" s="23"/>
      <c r="AM3198" s="23"/>
      <c r="AN3198" s="23"/>
      <c r="AO3198" s="23">
        <v>3</v>
      </c>
      <c r="AP3198" s="23">
        <v>9</v>
      </c>
      <c r="AQ3198" s="23">
        <v>29</v>
      </c>
      <c r="AR3198" s="23">
        <v>11</v>
      </c>
      <c r="AS3198" s="23">
        <v>23</v>
      </c>
      <c r="AT3198" s="23"/>
      <c r="AU3198" s="14" t="str">
        <f>HYPERLINK("http://www.openstreetmap.org/?mlat=34.1857&amp;mlon=43.8723&amp;zoom=12#map=12/34.1857/43.8723","Maplink1")</f>
        <v>Maplink1</v>
      </c>
      <c r="AV3198" s="14" t="str">
        <f>HYPERLINK("https://www.google.iq/maps/search/+34.1857,43.8723/@34.1857,43.8723,14z?hl=en","Maplink2")</f>
        <v>Maplink2</v>
      </c>
      <c r="AW3198" s="14" t="str">
        <f>HYPERLINK("http://www.bing.com/maps/?lvl=14&amp;sty=h&amp;cp=34.1857~43.8723&amp;sp=point.34.1857_43.8723_Hay Al-Ziraa (Sharqiyah) 113","Maplink3")</f>
        <v>Maplink3</v>
      </c>
    </row>
    <row r="3199" spans="1:49" ht="15" customHeight="1" x14ac:dyDescent="0.25">
      <c r="A3199" s="21">
        <v>25517</v>
      </c>
      <c r="B3199" s="22" t="s">
        <v>23</v>
      </c>
      <c r="C3199" s="22" t="s">
        <v>6119</v>
      </c>
      <c r="D3199" s="22" t="s">
        <v>6174</v>
      </c>
      <c r="E3199" s="22" t="s">
        <v>6175</v>
      </c>
      <c r="F3199" s="22">
        <v>34.191352670000001</v>
      </c>
      <c r="G3199" s="22">
        <v>43.873994410000002</v>
      </c>
      <c r="H3199" s="21" t="s">
        <v>6031</v>
      </c>
      <c r="I3199" s="21" t="s">
        <v>6120</v>
      </c>
      <c r="J3199" s="21"/>
      <c r="K3199" s="24">
        <v>20</v>
      </c>
      <c r="L3199" s="24">
        <v>120</v>
      </c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>
        <v>20</v>
      </c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>
        <v>20</v>
      </c>
      <c r="AL3199" s="23"/>
      <c r="AM3199" s="23"/>
      <c r="AN3199" s="23"/>
      <c r="AO3199" s="23"/>
      <c r="AP3199" s="23">
        <v>18</v>
      </c>
      <c r="AQ3199" s="23"/>
      <c r="AR3199" s="23">
        <v>2</v>
      </c>
      <c r="AS3199" s="23"/>
      <c r="AT3199" s="23"/>
      <c r="AU3199" s="14" t="str">
        <f>HYPERLINK("http://www.openstreetmap.org/?mlat=34.1961&amp;mlon=43.87&amp;zoom=12#map=12/34.1961/43.87","Maplink1")</f>
        <v>Maplink1</v>
      </c>
      <c r="AV3199" s="14" t="str">
        <f>HYPERLINK("https://www.google.iq/maps/search/+34.1961,43.87/@34.1961,43.87,14z?hl=en","Maplink2")</f>
        <v>Maplink2</v>
      </c>
      <c r="AW3199" s="14" t="str">
        <f>HYPERLINK("http://www.bing.com/maps/?lvl=14&amp;sty=h&amp;cp=34.1961~43.87&amp;sp=point.34.1961_43.87_Hay Albu Rahman","Maplink3")</f>
        <v>Maplink3</v>
      </c>
    </row>
    <row r="3200" spans="1:49" ht="15" customHeight="1" x14ac:dyDescent="0.25">
      <c r="A3200" s="21">
        <v>23693</v>
      </c>
      <c r="B3200" s="22" t="s">
        <v>23</v>
      </c>
      <c r="C3200" s="22" t="s">
        <v>6119</v>
      </c>
      <c r="D3200" s="22" t="s">
        <v>6176</v>
      </c>
      <c r="E3200" s="22" t="s">
        <v>9100</v>
      </c>
      <c r="F3200" s="22">
        <v>34.212604280000001</v>
      </c>
      <c r="G3200" s="22">
        <v>43.899569489999998</v>
      </c>
      <c r="H3200" s="21" t="s">
        <v>6031</v>
      </c>
      <c r="I3200" s="21" t="s">
        <v>6120</v>
      </c>
      <c r="J3200" s="21" t="s">
        <v>6177</v>
      </c>
      <c r="K3200" s="24">
        <v>185</v>
      </c>
      <c r="L3200" s="24">
        <v>1110</v>
      </c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>
        <v>185</v>
      </c>
      <c r="AB3200" s="23"/>
      <c r="AC3200" s="23"/>
      <c r="AD3200" s="23"/>
      <c r="AE3200" s="23"/>
      <c r="AF3200" s="23">
        <v>4</v>
      </c>
      <c r="AG3200" s="23"/>
      <c r="AH3200" s="23"/>
      <c r="AI3200" s="23"/>
      <c r="AJ3200" s="23"/>
      <c r="AK3200" s="23">
        <v>181</v>
      </c>
      <c r="AL3200" s="23"/>
      <c r="AM3200" s="23"/>
      <c r="AN3200" s="23"/>
      <c r="AO3200" s="23"/>
      <c r="AP3200" s="23">
        <v>100</v>
      </c>
      <c r="AQ3200" s="23">
        <v>85</v>
      </c>
      <c r="AR3200" s="23"/>
      <c r="AS3200" s="23"/>
      <c r="AT3200" s="23"/>
      <c r="AU3200" s="14" t="str">
        <f>HYPERLINK("http://www.openstreetmap.org/?mlat=34.2081&amp;mlon=43.8996&amp;zoom=12#map=12/34.2081/43.8996","Maplink1")</f>
        <v>Maplink1</v>
      </c>
      <c r="AV3200" s="14" t="str">
        <f>HYPERLINK("https://www.google.iq/maps/search/+34.2081,43.8996/@34.2081,43.8996,14z?hl=en","Maplink2")</f>
        <v>Maplink2</v>
      </c>
      <c r="AW3200" s="14" t="str">
        <f>HYPERLINK("http://www.bing.com/maps/?lvl=14&amp;sty=h&amp;cp=34.2081~43.8996&amp;sp=point.34.2081_43.8996_Hay Alqadisiya-320","Maplink3")</f>
        <v>Maplink3</v>
      </c>
    </row>
    <row r="3201" spans="1:49" ht="15" customHeight="1" x14ac:dyDescent="0.25">
      <c r="A3201" s="21">
        <v>21590</v>
      </c>
      <c r="B3201" s="22" t="s">
        <v>23</v>
      </c>
      <c r="C3201" s="22" t="s">
        <v>6119</v>
      </c>
      <c r="D3201" s="22" t="s">
        <v>6178</v>
      </c>
      <c r="E3201" s="22" t="s">
        <v>9101</v>
      </c>
      <c r="F3201" s="22">
        <v>34.205918699999998</v>
      </c>
      <c r="G3201" s="22">
        <v>43.911172759999999</v>
      </c>
      <c r="H3201" s="21" t="s">
        <v>6031</v>
      </c>
      <c r="I3201" s="21" t="s">
        <v>6120</v>
      </c>
      <c r="J3201" s="21" t="s">
        <v>6179</v>
      </c>
      <c r="K3201" s="24">
        <v>460</v>
      </c>
      <c r="L3201" s="24">
        <v>2760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460</v>
      </c>
      <c r="AB3201" s="23"/>
      <c r="AC3201" s="23"/>
      <c r="AD3201" s="23"/>
      <c r="AE3201" s="23"/>
      <c r="AF3201" s="23">
        <v>38</v>
      </c>
      <c r="AG3201" s="23"/>
      <c r="AH3201" s="23">
        <v>58</v>
      </c>
      <c r="AI3201" s="23">
        <v>4</v>
      </c>
      <c r="AJ3201" s="23"/>
      <c r="AK3201" s="23">
        <v>264</v>
      </c>
      <c r="AL3201" s="23"/>
      <c r="AM3201" s="23">
        <v>96</v>
      </c>
      <c r="AN3201" s="23"/>
      <c r="AO3201" s="23"/>
      <c r="AP3201" s="23"/>
      <c r="AQ3201" s="23">
        <v>118</v>
      </c>
      <c r="AR3201" s="23">
        <v>250</v>
      </c>
      <c r="AS3201" s="23">
        <v>92</v>
      </c>
      <c r="AT3201" s="23"/>
      <c r="AU3201" s="14" t="str">
        <f>HYPERLINK("http://www.openstreetmap.org/?mlat=34.2051&amp;mlon=43.9164&amp;zoom=12#map=12/34.2051/43.9164","Maplink1")</f>
        <v>Maplink1</v>
      </c>
      <c r="AV3201" s="14" t="str">
        <f>HYPERLINK("https://www.google.iq/maps/search/+34.2051,43.9164/@34.2051,43.9164,14z?hl=en","Maplink2")</f>
        <v>Maplink2</v>
      </c>
      <c r="AW3201" s="14" t="str">
        <f>HYPERLINK("http://www.bing.com/maps/?lvl=14&amp;sty=h&amp;cp=34.2051~43.9164&amp;sp=point.34.2051_43.9164_Hay Salah Al-Din (Mahala 302)","Maplink3")</f>
        <v>Maplink3</v>
      </c>
    </row>
    <row r="3202" spans="1:49" ht="15" customHeight="1" x14ac:dyDescent="0.25">
      <c r="A3202" s="21">
        <v>29539</v>
      </c>
      <c r="B3202" s="22" t="s">
        <v>23</v>
      </c>
      <c r="C3202" s="22" t="s">
        <v>6119</v>
      </c>
      <c r="D3202" s="22" t="s">
        <v>7477</v>
      </c>
      <c r="E3202" s="22" t="s">
        <v>9102</v>
      </c>
      <c r="F3202" s="22">
        <v>34.371761820000003</v>
      </c>
      <c r="G3202" s="22">
        <v>43.762534619999997</v>
      </c>
      <c r="H3202" s="21" t="s">
        <v>6031</v>
      </c>
      <c r="I3202" s="21" t="s">
        <v>6120</v>
      </c>
      <c r="J3202" s="21"/>
      <c r="K3202" s="24">
        <v>330</v>
      </c>
      <c r="L3202" s="24">
        <v>1980</v>
      </c>
      <c r="M3202" s="23"/>
      <c r="N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>
        <v>330</v>
      </c>
      <c r="AB3202" s="23"/>
      <c r="AC3202" s="23"/>
      <c r="AD3202" s="23"/>
      <c r="AE3202" s="23"/>
      <c r="AF3202" s="23">
        <v>230</v>
      </c>
      <c r="AG3202" s="23"/>
      <c r="AH3202" s="23"/>
      <c r="AI3202" s="23"/>
      <c r="AJ3202" s="23"/>
      <c r="AK3202" s="23">
        <v>100</v>
      </c>
      <c r="AL3202" s="23"/>
      <c r="AM3202" s="23"/>
      <c r="AN3202" s="23"/>
      <c r="AO3202" s="23"/>
      <c r="AP3202" s="23"/>
      <c r="AQ3202" s="23"/>
      <c r="AR3202" s="23"/>
      <c r="AS3202" s="23">
        <v>330</v>
      </c>
      <c r="AT3202" s="23"/>
      <c r="AU3202" s="14" t="str">
        <f>HYPERLINK("http://www.openstreetmap.org/?mlat=34.3665&amp;mlon=43.7468&amp;zoom=12#map=12/34.3665/43.7468","Maplink1")</f>
        <v>Maplink1</v>
      </c>
      <c r="AV3202" s="14" t="str">
        <f>HYPERLINK("https://www.google.iq/maps/search/+34.3665,43.7468/@34.3665,43.7468,14z?hl=en","Maplink2")</f>
        <v>Maplink2</v>
      </c>
      <c r="AW3202" s="14" t="str">
        <f>HYPERLINK("http://www.bing.com/maps/?lvl=14&amp;sty=h&amp;cp=34.3665~43.7468&amp;sp=point.34.3665_43.7468","Maplink3")</f>
        <v>Maplink3</v>
      </c>
    </row>
    <row r="3203" spans="1:49" ht="15" customHeight="1" x14ac:dyDescent="0.25">
      <c r="A3203" s="21">
        <v>23702</v>
      </c>
      <c r="B3203" s="22" t="s">
        <v>23</v>
      </c>
      <c r="C3203" s="22" t="s">
        <v>6180</v>
      </c>
      <c r="D3203" s="22" t="s">
        <v>9103</v>
      </c>
      <c r="E3203" s="22" t="s">
        <v>8097</v>
      </c>
      <c r="F3203" s="22">
        <v>34.664178589999999</v>
      </c>
      <c r="G3203" s="22">
        <v>43.65701859</v>
      </c>
      <c r="H3203" s="21" t="s">
        <v>6031</v>
      </c>
      <c r="I3203" s="21" t="s">
        <v>6182</v>
      </c>
      <c r="J3203" s="21" t="s">
        <v>6189</v>
      </c>
      <c r="K3203" s="24">
        <v>1302</v>
      </c>
      <c r="L3203" s="24">
        <v>7812</v>
      </c>
      <c r="M3203" s="23"/>
      <c r="N3203" s="23"/>
      <c r="O3203" s="23"/>
      <c r="P3203" s="23"/>
      <c r="Q3203" s="23"/>
      <c r="R3203" s="23"/>
      <c r="S3203" s="23"/>
      <c r="T3203" s="23"/>
      <c r="U3203" s="23">
        <v>23</v>
      </c>
      <c r="V3203" s="23"/>
      <c r="W3203" s="23"/>
      <c r="X3203" s="23"/>
      <c r="Y3203" s="23"/>
      <c r="Z3203" s="23"/>
      <c r="AA3203" s="23">
        <v>1279</v>
      </c>
      <c r="AB3203" s="23"/>
      <c r="AC3203" s="23"/>
      <c r="AD3203" s="23"/>
      <c r="AE3203" s="23"/>
      <c r="AF3203" s="23">
        <v>451</v>
      </c>
      <c r="AG3203" s="23"/>
      <c r="AH3203" s="23">
        <v>61</v>
      </c>
      <c r="AI3203" s="23"/>
      <c r="AJ3203" s="23"/>
      <c r="AK3203" s="23">
        <v>226</v>
      </c>
      <c r="AL3203" s="23">
        <v>111</v>
      </c>
      <c r="AM3203" s="23">
        <v>453</v>
      </c>
      <c r="AN3203" s="23"/>
      <c r="AO3203" s="23"/>
      <c r="AP3203" s="23"/>
      <c r="AQ3203" s="23"/>
      <c r="AR3203" s="23"/>
      <c r="AS3203" s="23">
        <v>315</v>
      </c>
      <c r="AT3203" s="23">
        <v>987</v>
      </c>
      <c r="AU3203" s="14" t="str">
        <f>HYPERLINK("http://www.openstreetmap.org/?mlat=34.6624&amp;mlon=43.6467&amp;zoom=12#map=12/34.6624/43.6467","Maplink1")</f>
        <v>Maplink1</v>
      </c>
      <c r="AV3203" s="14" t="str">
        <f>HYPERLINK("https://www.google.iq/maps/search/+34.6624,43.6467/@34.6624,43.6467,14z?hl=en","Maplink2")</f>
        <v>Maplink2</v>
      </c>
      <c r="AW3203" s="14" t="str">
        <f>HYPERLINK("http://www.bing.com/maps/?lvl=14&amp;sty=h&amp;cp=34.6624~43.6467&amp;sp=point.34.6624_43.6467_Al Qadissiya-218-500","Maplink3")</f>
        <v>Maplink3</v>
      </c>
    </row>
    <row r="3204" spans="1:49" ht="15" customHeight="1" x14ac:dyDescent="0.25">
      <c r="A3204" s="21">
        <v>23145</v>
      </c>
      <c r="B3204" s="22" t="s">
        <v>23</v>
      </c>
      <c r="C3204" s="22" t="s">
        <v>6180</v>
      </c>
      <c r="D3204" s="22" t="s">
        <v>6181</v>
      </c>
      <c r="E3204" s="22" t="s">
        <v>9104</v>
      </c>
      <c r="F3204" s="22">
        <v>34.725979170000002</v>
      </c>
      <c r="G3204" s="22">
        <v>43.694854079999999</v>
      </c>
      <c r="H3204" s="21" t="s">
        <v>6031</v>
      </c>
      <c r="I3204" s="21" t="s">
        <v>6182</v>
      </c>
      <c r="J3204" s="21" t="s">
        <v>6183</v>
      </c>
      <c r="K3204" s="24">
        <v>80</v>
      </c>
      <c r="L3204" s="24">
        <v>480</v>
      </c>
      <c r="M3204" s="23"/>
      <c r="N3204" s="23"/>
      <c r="O3204" s="23"/>
      <c r="P3204" s="23"/>
      <c r="Q3204" s="23"/>
      <c r="R3204" s="23"/>
      <c r="S3204" s="23"/>
      <c r="T3204" s="23"/>
      <c r="U3204" s="23">
        <v>43</v>
      </c>
      <c r="V3204" s="23"/>
      <c r="W3204" s="23"/>
      <c r="X3204" s="23"/>
      <c r="Y3204" s="23"/>
      <c r="Z3204" s="23"/>
      <c r="AA3204" s="23">
        <v>37</v>
      </c>
      <c r="AB3204" s="23"/>
      <c r="AC3204" s="23"/>
      <c r="AD3204" s="23"/>
      <c r="AE3204" s="23"/>
      <c r="AF3204" s="23">
        <v>15</v>
      </c>
      <c r="AG3204" s="23"/>
      <c r="AH3204" s="23"/>
      <c r="AI3204" s="23"/>
      <c r="AJ3204" s="23"/>
      <c r="AK3204" s="23">
        <v>65</v>
      </c>
      <c r="AL3204" s="23"/>
      <c r="AM3204" s="23"/>
      <c r="AN3204" s="23"/>
      <c r="AO3204" s="23"/>
      <c r="AP3204" s="23"/>
      <c r="AQ3204" s="23"/>
      <c r="AR3204" s="23"/>
      <c r="AS3204" s="23">
        <v>50</v>
      </c>
      <c r="AT3204" s="23">
        <v>30</v>
      </c>
      <c r="AU3204" s="14" t="str">
        <f>HYPERLINK("http://www.openstreetmap.org/?mlat=34.7209&amp;mlon=43.7105&amp;zoom=12#map=12/34.7209/43.7105","Maplink1")</f>
        <v>Maplink1</v>
      </c>
      <c r="AV3204" s="14" t="str">
        <f>HYPERLINK("https://www.google.iq/maps/search/+34.7209,43.7105/@34.7209,43.7105,14z?hl=en","Maplink2")</f>
        <v>Maplink2</v>
      </c>
      <c r="AW3204" s="14" t="str">
        <f>HYPERLINK("http://www.bing.com/maps/?lvl=14&amp;sty=h&amp;cp=34.7209~43.7105&amp;sp=point.34.7209_43.7105_Al Ahad Al Jadid village","Maplink3")</f>
        <v>Maplink3</v>
      </c>
    </row>
    <row r="3205" spans="1:49" ht="15" customHeight="1" x14ac:dyDescent="0.25">
      <c r="A3205" s="21">
        <v>20594</v>
      </c>
      <c r="B3205" s="22" t="s">
        <v>23</v>
      </c>
      <c r="C3205" s="22" t="s">
        <v>6180</v>
      </c>
      <c r="D3205" s="22" t="s">
        <v>8246</v>
      </c>
      <c r="E3205" s="22" t="s">
        <v>9105</v>
      </c>
      <c r="F3205" s="22">
        <v>34.534816999999997</v>
      </c>
      <c r="G3205" s="22">
        <v>43.695286000000003</v>
      </c>
      <c r="H3205" s="21" t="s">
        <v>6031</v>
      </c>
      <c r="I3205" s="21" t="s">
        <v>6182</v>
      </c>
      <c r="J3205" s="21" t="s">
        <v>8247</v>
      </c>
      <c r="K3205" s="24">
        <v>389</v>
      </c>
      <c r="L3205" s="24">
        <v>2334</v>
      </c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>
        <v>89</v>
      </c>
      <c r="Z3205" s="23"/>
      <c r="AA3205" s="23">
        <v>300</v>
      </c>
      <c r="AB3205" s="23"/>
      <c r="AC3205" s="23"/>
      <c r="AD3205" s="23"/>
      <c r="AE3205" s="23"/>
      <c r="AF3205" s="23"/>
      <c r="AG3205" s="23"/>
      <c r="AH3205" s="23"/>
      <c r="AI3205" s="23"/>
      <c r="AJ3205" s="23"/>
      <c r="AK3205" s="23"/>
      <c r="AL3205" s="23"/>
      <c r="AM3205" s="23"/>
      <c r="AN3205" s="23">
        <v>389</v>
      </c>
      <c r="AO3205" s="23"/>
      <c r="AP3205" s="23"/>
      <c r="AQ3205" s="23"/>
      <c r="AR3205" s="23"/>
      <c r="AS3205" s="23"/>
      <c r="AT3205" s="23">
        <v>389</v>
      </c>
      <c r="AU3205" s="14" t="str">
        <f>HYPERLINK("http://www.openstreetmap.org/?mlat=34.5348&amp;mlon=43.6953&amp;zoom=12#map=12/34.5348/43.6953","Maplink1")</f>
        <v>Maplink1</v>
      </c>
      <c r="AV3205" s="14" t="str">
        <f>HYPERLINK("https://www.google.iq/maps/search/+34.5348,43.6953/@34.5348,43.6953,14z?hl=en","Maplink2")</f>
        <v>Maplink2</v>
      </c>
      <c r="AW3205" s="14" t="str">
        <f>HYPERLINK("http://www.bing.com/maps/?lvl=14&amp;sty=h&amp;cp=34.5348~43.6953&amp;sp=point.34.5348_43.6953_Al Angaa","Maplink3")</f>
        <v>Maplink3</v>
      </c>
    </row>
    <row r="3206" spans="1:49" ht="15" customHeight="1" x14ac:dyDescent="0.25">
      <c r="A3206" s="21">
        <v>25949</v>
      </c>
      <c r="B3206" s="22" t="s">
        <v>23</v>
      </c>
      <c r="C3206" s="22" t="s">
        <v>6180</v>
      </c>
      <c r="D3206" s="22" t="s">
        <v>8248</v>
      </c>
      <c r="E3206" s="22" t="s">
        <v>9106</v>
      </c>
      <c r="F3206" s="22">
        <v>34.87631768</v>
      </c>
      <c r="G3206" s="22">
        <v>43.580709319999997</v>
      </c>
      <c r="H3206" s="21" t="s">
        <v>6031</v>
      </c>
      <c r="I3206" s="21" t="s">
        <v>6182</v>
      </c>
      <c r="J3206" s="21"/>
      <c r="K3206" s="24">
        <v>60</v>
      </c>
      <c r="L3206" s="24">
        <v>360</v>
      </c>
      <c r="M3206" s="23"/>
      <c r="N3206" s="23"/>
      <c r="O3206" s="23"/>
      <c r="P3206" s="23"/>
      <c r="Q3206" s="23"/>
      <c r="R3206" s="23"/>
      <c r="S3206" s="23"/>
      <c r="T3206" s="23"/>
      <c r="U3206" s="23">
        <v>30</v>
      </c>
      <c r="V3206" s="23"/>
      <c r="W3206" s="23"/>
      <c r="X3206" s="23"/>
      <c r="Y3206" s="23"/>
      <c r="Z3206" s="23"/>
      <c r="AA3206" s="23">
        <v>30</v>
      </c>
      <c r="AB3206" s="23"/>
      <c r="AC3206" s="23"/>
      <c r="AD3206" s="23"/>
      <c r="AE3206" s="23"/>
      <c r="AF3206" s="23">
        <v>25</v>
      </c>
      <c r="AG3206" s="23"/>
      <c r="AH3206" s="23"/>
      <c r="AI3206" s="23"/>
      <c r="AJ3206" s="23"/>
      <c r="AK3206" s="23">
        <v>35</v>
      </c>
      <c r="AL3206" s="23"/>
      <c r="AM3206" s="23"/>
      <c r="AN3206" s="23"/>
      <c r="AO3206" s="23"/>
      <c r="AP3206" s="23"/>
      <c r="AQ3206" s="23"/>
      <c r="AR3206" s="23"/>
      <c r="AS3206" s="23">
        <v>35</v>
      </c>
      <c r="AT3206" s="23">
        <v>25</v>
      </c>
      <c r="AU3206" s="14" t="str">
        <f>HYPERLINK("http://www.openstreetmap.org/?mlat=34.8898&amp;mlon=43.5487&amp;zoom=12#map=12/34.8898/43.5487","Maplink1")</f>
        <v>Maplink1</v>
      </c>
      <c r="AV3206" s="14" t="str">
        <f>HYPERLINK("https://www.google.iq/maps/search/+34.8898,43.5487/@34.8898,43.5487,14z?hl=en","Maplink2")</f>
        <v>Maplink2</v>
      </c>
      <c r="AW3206" s="14" t="str">
        <f>HYPERLINK("http://www.bing.com/maps/?lvl=14&amp;sty=h&amp;cp=34.8898~43.5487&amp;sp=point.34.8898_43.5487_Al-Bzikhah village","Maplink3")</f>
        <v>Maplink3</v>
      </c>
    </row>
    <row r="3207" spans="1:49" ht="15" customHeight="1" x14ac:dyDescent="0.25">
      <c r="A3207" s="21">
        <v>25569</v>
      </c>
      <c r="B3207" s="22" t="s">
        <v>23</v>
      </c>
      <c r="C3207" s="22" t="s">
        <v>6180</v>
      </c>
      <c r="D3207" s="22" t="s">
        <v>6186</v>
      </c>
      <c r="E3207" s="22" t="s">
        <v>8098</v>
      </c>
      <c r="F3207" s="22">
        <v>34.700732410000001</v>
      </c>
      <c r="G3207" s="22">
        <v>43.681833240000003</v>
      </c>
      <c r="H3207" s="21" t="s">
        <v>6031</v>
      </c>
      <c r="I3207" s="21" t="s">
        <v>6182</v>
      </c>
      <c r="J3207" s="21"/>
      <c r="K3207" s="24">
        <v>120</v>
      </c>
      <c r="L3207" s="24">
        <v>720</v>
      </c>
      <c r="M3207" s="23"/>
      <c r="N3207" s="23"/>
      <c r="O3207" s="23"/>
      <c r="P3207" s="23"/>
      <c r="Q3207" s="23"/>
      <c r="R3207" s="23"/>
      <c r="S3207" s="23"/>
      <c r="T3207" s="23"/>
      <c r="U3207" s="23">
        <v>55</v>
      </c>
      <c r="V3207" s="23"/>
      <c r="W3207" s="23"/>
      <c r="X3207" s="23"/>
      <c r="Y3207" s="23"/>
      <c r="Z3207" s="23"/>
      <c r="AA3207" s="23">
        <v>65</v>
      </c>
      <c r="AB3207" s="23"/>
      <c r="AC3207" s="23"/>
      <c r="AD3207" s="23"/>
      <c r="AE3207" s="23"/>
      <c r="AF3207" s="23"/>
      <c r="AG3207" s="23"/>
      <c r="AH3207" s="23">
        <v>10</v>
      </c>
      <c r="AI3207" s="23"/>
      <c r="AJ3207" s="23"/>
      <c r="AK3207" s="23">
        <v>65</v>
      </c>
      <c r="AL3207" s="23"/>
      <c r="AM3207" s="23">
        <v>45</v>
      </c>
      <c r="AN3207" s="23"/>
      <c r="AO3207" s="23"/>
      <c r="AP3207" s="23"/>
      <c r="AQ3207" s="23"/>
      <c r="AR3207" s="23"/>
      <c r="AS3207" s="23">
        <v>120</v>
      </c>
      <c r="AT3207" s="23"/>
      <c r="AU3207" s="14" t="str">
        <f>HYPERLINK("http://www.openstreetmap.org/?mlat=34.7107&amp;mlon=43.6785&amp;zoom=12#map=12/34.7107/43.6785","Maplink1")</f>
        <v>Maplink1</v>
      </c>
      <c r="AV3207" s="14" t="str">
        <f>HYPERLINK("https://www.google.iq/maps/search/+34.7107,43.6785/@34.7107,43.6785,14z?hl=en","Maplink2")</f>
        <v>Maplink2</v>
      </c>
      <c r="AW3207" s="14" t="str">
        <f>HYPERLINK("http://www.bing.com/maps/?lvl=14&amp;sty=h&amp;cp=34.7107~43.6785&amp;sp=point.34.7107_43.6785_Al Haweja village-AlAbady","Maplink3")</f>
        <v>Maplink3</v>
      </c>
    </row>
    <row r="3208" spans="1:49" ht="15" customHeight="1" x14ac:dyDescent="0.25">
      <c r="A3208" s="21">
        <v>24212</v>
      </c>
      <c r="B3208" s="22" t="s">
        <v>23</v>
      </c>
      <c r="C3208" s="22" t="s">
        <v>6180</v>
      </c>
      <c r="D3208" s="22" t="s">
        <v>6187</v>
      </c>
      <c r="E3208" s="22" t="s">
        <v>9107</v>
      </c>
      <c r="F3208" s="22">
        <v>34.768273579999999</v>
      </c>
      <c r="G3208" s="22">
        <v>43.656219569999998</v>
      </c>
      <c r="H3208" s="21" t="s">
        <v>6031</v>
      </c>
      <c r="I3208" s="21" t="s">
        <v>6182</v>
      </c>
      <c r="J3208" s="21" t="s">
        <v>6188</v>
      </c>
      <c r="K3208" s="24">
        <v>85</v>
      </c>
      <c r="L3208" s="24">
        <v>510</v>
      </c>
      <c r="M3208" s="23"/>
      <c r="N3208" s="23"/>
      <c r="O3208" s="23"/>
      <c r="P3208" s="23"/>
      <c r="Q3208" s="23"/>
      <c r="R3208" s="23"/>
      <c r="S3208" s="23"/>
      <c r="T3208" s="23"/>
      <c r="U3208" s="23">
        <v>31</v>
      </c>
      <c r="V3208" s="23"/>
      <c r="W3208" s="23"/>
      <c r="X3208" s="23"/>
      <c r="Y3208" s="23"/>
      <c r="Z3208" s="23"/>
      <c r="AA3208" s="23">
        <v>54</v>
      </c>
      <c r="AB3208" s="23"/>
      <c r="AC3208" s="23"/>
      <c r="AD3208" s="23"/>
      <c r="AE3208" s="23"/>
      <c r="AF3208" s="23">
        <v>5</v>
      </c>
      <c r="AG3208" s="23"/>
      <c r="AH3208" s="23"/>
      <c r="AI3208" s="23"/>
      <c r="AJ3208" s="23"/>
      <c r="AK3208" s="23">
        <v>80</v>
      </c>
      <c r="AL3208" s="23"/>
      <c r="AM3208" s="23"/>
      <c r="AN3208" s="23"/>
      <c r="AO3208" s="23"/>
      <c r="AP3208" s="23"/>
      <c r="AQ3208" s="23"/>
      <c r="AR3208" s="23"/>
      <c r="AS3208" s="23">
        <v>60</v>
      </c>
      <c r="AT3208" s="23">
        <v>25</v>
      </c>
      <c r="AU3208" s="14" t="str">
        <f>HYPERLINK("http://www.openstreetmap.org/?mlat=34.7676&amp;mlon=43.6388&amp;zoom=12#map=12/34.7676/43.6388","Maplink1")</f>
        <v>Maplink1</v>
      </c>
      <c r="AV3208" s="14" t="str">
        <f>HYPERLINK("https://www.google.iq/maps/search/+34.7676,43.6388/@34.7676,43.6388,14z?hl=en","Maplink2")</f>
        <v>Maplink2</v>
      </c>
      <c r="AW3208" s="14" t="str">
        <f>HYPERLINK("http://www.bing.com/maps/?lvl=14&amp;sty=h&amp;cp=34.7676~43.6388&amp;sp=point.34.7676_43.6388_Al khuzamiya Village","Maplink3")</f>
        <v>Maplink3</v>
      </c>
    </row>
    <row r="3209" spans="1:49" ht="15" customHeight="1" x14ac:dyDescent="0.25">
      <c r="A3209" s="21">
        <v>26034</v>
      </c>
      <c r="B3209" s="22" t="s">
        <v>23</v>
      </c>
      <c r="C3209" s="22" t="s">
        <v>6180</v>
      </c>
      <c r="D3209" s="22" t="s">
        <v>7385</v>
      </c>
      <c r="E3209" s="22" t="s">
        <v>9108</v>
      </c>
      <c r="F3209" s="22">
        <v>34.725764210000001</v>
      </c>
      <c r="G3209" s="22">
        <v>43.63827766</v>
      </c>
      <c r="H3209" s="21" t="s">
        <v>6031</v>
      </c>
      <c r="I3209" s="21" t="s">
        <v>6182</v>
      </c>
      <c r="J3209" s="21"/>
      <c r="K3209" s="24">
        <v>171</v>
      </c>
      <c r="L3209" s="24">
        <v>1026</v>
      </c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>
        <v>5</v>
      </c>
      <c r="Z3209" s="23"/>
      <c r="AA3209" s="23">
        <v>166</v>
      </c>
      <c r="AB3209" s="23"/>
      <c r="AC3209" s="23"/>
      <c r="AD3209" s="23"/>
      <c r="AE3209" s="23"/>
      <c r="AF3209" s="23">
        <v>10</v>
      </c>
      <c r="AG3209" s="23"/>
      <c r="AH3209" s="23">
        <v>51</v>
      </c>
      <c r="AI3209" s="23"/>
      <c r="AJ3209" s="23"/>
      <c r="AK3209" s="23">
        <v>40</v>
      </c>
      <c r="AL3209" s="23"/>
      <c r="AM3209" s="23">
        <v>70</v>
      </c>
      <c r="AN3209" s="23"/>
      <c r="AO3209" s="23"/>
      <c r="AP3209" s="23"/>
      <c r="AQ3209" s="23">
        <v>28</v>
      </c>
      <c r="AR3209" s="23">
        <v>15</v>
      </c>
      <c r="AS3209" s="23"/>
      <c r="AT3209" s="23">
        <v>128</v>
      </c>
      <c r="AU3209" s="14" t="str">
        <f>HYPERLINK("http://www.openstreetmap.org/?mlat=34.7278&amp;mlon=43.6412&amp;zoom=12#map=12/34.7278/43.6412","Maplink1")</f>
        <v>Maplink1</v>
      </c>
      <c r="AV3209" s="14" t="str">
        <f>HYPERLINK("https://www.google.iq/maps/search/+34.7278,43.6412/@34.7278,43.6412,14z?hl=en","Maplink2")</f>
        <v>Maplink2</v>
      </c>
      <c r="AW3209" s="14" t="str">
        <f>HYPERLINK("http://www.bing.com/maps/?lvl=14&amp;sty=h&amp;cp=34.7278~43.6412&amp;sp=point.34.7278_43.6412_Al-Mahzam village","Maplink3")</f>
        <v>Maplink3</v>
      </c>
    </row>
    <row r="3210" spans="1:49" ht="15" customHeight="1" x14ac:dyDescent="0.25">
      <c r="A3210" s="21">
        <v>23146</v>
      </c>
      <c r="B3210" s="22" t="s">
        <v>23</v>
      </c>
      <c r="C3210" s="22" t="s">
        <v>6180</v>
      </c>
      <c r="D3210" s="22" t="s">
        <v>9109</v>
      </c>
      <c r="E3210" s="22" t="s">
        <v>9110</v>
      </c>
      <c r="F3210" s="22">
        <v>34.639778999999997</v>
      </c>
      <c r="G3210" s="22">
        <v>43.861341000000003</v>
      </c>
      <c r="H3210" s="21" t="s">
        <v>6031</v>
      </c>
      <c r="I3210" s="21" t="s">
        <v>6182</v>
      </c>
      <c r="J3210" s="21" t="s">
        <v>7511</v>
      </c>
      <c r="K3210" s="24">
        <v>163</v>
      </c>
      <c r="L3210" s="24">
        <v>978</v>
      </c>
      <c r="M3210" s="23"/>
      <c r="N3210" s="23"/>
      <c r="O3210" s="23"/>
      <c r="P3210" s="23"/>
      <c r="Q3210" s="23"/>
      <c r="R3210" s="23"/>
      <c r="S3210" s="23"/>
      <c r="T3210" s="23"/>
      <c r="U3210" s="23">
        <v>5</v>
      </c>
      <c r="V3210" s="23"/>
      <c r="W3210" s="23"/>
      <c r="X3210" s="23"/>
      <c r="Y3210" s="23"/>
      <c r="Z3210" s="23"/>
      <c r="AA3210" s="23">
        <v>158</v>
      </c>
      <c r="AB3210" s="23"/>
      <c r="AC3210" s="23"/>
      <c r="AD3210" s="23"/>
      <c r="AE3210" s="23"/>
      <c r="AF3210" s="23"/>
      <c r="AG3210" s="23"/>
      <c r="AH3210" s="23">
        <v>163</v>
      </c>
      <c r="AI3210" s="23"/>
      <c r="AJ3210" s="23"/>
      <c r="AK3210" s="23"/>
      <c r="AL3210" s="23"/>
      <c r="AM3210" s="23"/>
      <c r="AN3210" s="23"/>
      <c r="AO3210" s="23"/>
      <c r="AP3210" s="23"/>
      <c r="AQ3210" s="23"/>
      <c r="AR3210" s="23"/>
      <c r="AS3210" s="23"/>
      <c r="AT3210" s="23">
        <v>163</v>
      </c>
      <c r="AU3210" s="14" t="str">
        <f>HYPERLINK("http://www.openstreetmap.org/?mlat=34.6398&amp;mlon=43.8613&amp;zoom=12#map=12/34.6398/43.8613","Maplink1")</f>
        <v>Maplink1</v>
      </c>
      <c r="AV3210" s="14" t="str">
        <f>HYPERLINK("https://www.google.iq/maps/search/+34.6398,43.8613/@34.6398,43.8613,14z?hl=en","Maplink2")</f>
        <v>Maplink2</v>
      </c>
      <c r="AW3210" s="14" t="str">
        <f>HYPERLINK("http://www.bing.com/maps/?lvl=14&amp;sty=h&amp;cp=34.6398~43.8613&amp;sp=point.34.6398_43.8613_Al Namah Al Janobiyah","Maplink3")</f>
        <v>Maplink3</v>
      </c>
    </row>
    <row r="3211" spans="1:49" ht="15" customHeight="1" x14ac:dyDescent="0.25">
      <c r="A3211" s="21">
        <v>24211</v>
      </c>
      <c r="B3211" s="22" t="s">
        <v>23</v>
      </c>
      <c r="C3211" s="22" t="s">
        <v>6180</v>
      </c>
      <c r="D3211" s="22" t="s">
        <v>9111</v>
      </c>
      <c r="E3211" s="22" t="s">
        <v>9112</v>
      </c>
      <c r="F3211" s="22">
        <v>34.668674029999998</v>
      </c>
      <c r="G3211" s="22">
        <v>43.876530959999997</v>
      </c>
      <c r="H3211" s="21" t="s">
        <v>6031</v>
      </c>
      <c r="I3211" s="21" t="s">
        <v>6182</v>
      </c>
      <c r="J3211" s="21" t="s">
        <v>8249</v>
      </c>
      <c r="K3211" s="24">
        <v>35</v>
      </c>
      <c r="L3211" s="24">
        <v>210</v>
      </c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>
        <v>35</v>
      </c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/>
      <c r="AL3211" s="23">
        <v>35</v>
      </c>
      <c r="AM3211" s="23"/>
      <c r="AN3211" s="23"/>
      <c r="AO3211" s="23"/>
      <c r="AP3211" s="23"/>
      <c r="AQ3211" s="23"/>
      <c r="AR3211" s="23"/>
      <c r="AS3211" s="23"/>
      <c r="AT3211" s="23">
        <v>35</v>
      </c>
      <c r="AU3211" s="14" t="str">
        <f>HYPERLINK("http://www.openstreetmap.org/?mlat=34.6867&amp;mlon=43.8637&amp;zoom=12#map=12/34.6867/43.8637","Maplink1")</f>
        <v>Maplink1</v>
      </c>
      <c r="AV3211" s="14" t="str">
        <f>HYPERLINK("https://www.google.iq/maps/search/+34.6867,43.8637/@34.6867,43.8637,14z?hl=en","Maplink2")</f>
        <v>Maplink2</v>
      </c>
      <c r="AW3211" s="14" t="str">
        <f>HYPERLINK("http://www.bing.com/maps/?lvl=14&amp;sty=h&amp;cp=34.6867~43.8637&amp;sp=point.34.6867_43.8637_Al Namah Al Shamaliyah","Maplink3")</f>
        <v>Maplink3</v>
      </c>
    </row>
    <row r="3212" spans="1:49" ht="15" customHeight="1" x14ac:dyDescent="0.25">
      <c r="A3212" s="21">
        <v>27231</v>
      </c>
      <c r="B3212" s="22" t="s">
        <v>23</v>
      </c>
      <c r="C3212" s="22" t="s">
        <v>6180</v>
      </c>
      <c r="D3212" s="22" t="s">
        <v>6190</v>
      </c>
      <c r="E3212" s="22" t="s">
        <v>9113</v>
      </c>
      <c r="F3212" s="22">
        <v>34.668206650000002</v>
      </c>
      <c r="G3212" s="22">
        <v>43.725524999999998</v>
      </c>
      <c r="H3212" s="21"/>
      <c r="I3212" s="21"/>
      <c r="J3212" s="21"/>
      <c r="K3212" s="24">
        <v>77</v>
      </c>
      <c r="L3212" s="24">
        <v>462</v>
      </c>
      <c r="M3212" s="23"/>
      <c r="N3212" s="23"/>
      <c r="O3212" s="23"/>
      <c r="P3212" s="23"/>
      <c r="Q3212" s="23"/>
      <c r="R3212" s="23"/>
      <c r="S3212" s="23"/>
      <c r="T3212" s="23"/>
      <c r="U3212" s="23">
        <v>23</v>
      </c>
      <c r="V3212" s="23"/>
      <c r="W3212" s="23"/>
      <c r="X3212" s="23"/>
      <c r="Y3212" s="23"/>
      <c r="Z3212" s="23"/>
      <c r="AA3212" s="23">
        <v>54</v>
      </c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>
        <v>10</v>
      </c>
      <c r="AL3212" s="23">
        <v>7</v>
      </c>
      <c r="AM3212" s="23">
        <v>60</v>
      </c>
      <c r="AN3212" s="23"/>
      <c r="AO3212" s="23"/>
      <c r="AP3212" s="23"/>
      <c r="AQ3212" s="23"/>
      <c r="AR3212" s="23"/>
      <c r="AS3212" s="23"/>
      <c r="AT3212" s="23">
        <v>77</v>
      </c>
      <c r="AU3212" s="14" t="str">
        <f>HYPERLINK("http://www.openstreetmap.org/?mlat=34.6682&amp;mlon=43.7287&amp;zoom=12#map=12/34.6682/43.7287","Maplink1")</f>
        <v>Maplink1</v>
      </c>
      <c r="AV3212" s="14" t="str">
        <f>HYPERLINK("https://www.google.iq/maps/search/+34.6682,43.7287/@34.6682,43.7287,14z?hl=en","Maplink2")</f>
        <v>Maplink2</v>
      </c>
      <c r="AW3212" s="14" t="str">
        <f>HYPERLINK("http://www.bing.com/maps/?lvl=14&amp;sty=h&amp;cp=34.6682~43.7287&amp;sp=point.34.6682_43.7287_Al Shaheed Abdulla village","Maplink3")</f>
        <v>Maplink3</v>
      </c>
    </row>
    <row r="3213" spans="1:49" ht="15" customHeight="1" x14ac:dyDescent="0.25">
      <c r="A3213" s="21">
        <v>21357</v>
      </c>
      <c r="B3213" s="22" t="s">
        <v>23</v>
      </c>
      <c r="C3213" s="22" t="s">
        <v>6180</v>
      </c>
      <c r="D3213" s="22" t="s">
        <v>7386</v>
      </c>
      <c r="E3213" s="22" t="s">
        <v>8305</v>
      </c>
      <c r="F3213" s="22">
        <v>34.458529130000002</v>
      </c>
      <c r="G3213" s="22">
        <v>43.736130019999997</v>
      </c>
      <c r="H3213" s="21" t="s">
        <v>6031</v>
      </c>
      <c r="I3213" s="21" t="s">
        <v>6182</v>
      </c>
      <c r="J3213" s="21" t="s">
        <v>6198</v>
      </c>
      <c r="K3213" s="24">
        <v>142</v>
      </c>
      <c r="L3213" s="24">
        <v>852</v>
      </c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>
        <v>142</v>
      </c>
      <c r="AB3213" s="23"/>
      <c r="AC3213" s="23"/>
      <c r="AD3213" s="23"/>
      <c r="AE3213" s="23"/>
      <c r="AF3213" s="23">
        <v>90</v>
      </c>
      <c r="AG3213" s="23"/>
      <c r="AH3213" s="23"/>
      <c r="AI3213" s="23"/>
      <c r="AJ3213" s="23"/>
      <c r="AK3213" s="23">
        <v>52</v>
      </c>
      <c r="AL3213" s="23"/>
      <c r="AM3213" s="23"/>
      <c r="AN3213" s="23"/>
      <c r="AO3213" s="23"/>
      <c r="AP3213" s="23"/>
      <c r="AQ3213" s="23"/>
      <c r="AR3213" s="23"/>
      <c r="AS3213" s="23"/>
      <c r="AT3213" s="23">
        <v>142</v>
      </c>
      <c r="AU3213" s="14" t="str">
        <f>HYPERLINK("http://www.openstreetmap.org/?mlat=34.4615&amp;mlon=43.7526&amp;zoom=12#map=12/34.4615/43.7526","Maplink1")</f>
        <v>Maplink1</v>
      </c>
      <c r="AV3213" s="14" t="str">
        <f>HYPERLINK("https://www.google.iq/maps/search/+34.4615,43.7526/@34.4615,43.7526,14z?hl=en","Maplink2")</f>
        <v>Maplink2</v>
      </c>
      <c r="AW3213" s="14" t="str">
        <f>HYPERLINK("http://www.bing.com/maps/?lvl=14&amp;sty=h&amp;cp=34.4615~43.7526&amp;sp=point.34.4615_43.7526_Al-Zallayah village","Maplink3")</f>
        <v>Maplink3</v>
      </c>
    </row>
    <row r="3214" spans="1:49" ht="15" customHeight="1" x14ac:dyDescent="0.25">
      <c r="A3214" s="21">
        <v>29589</v>
      </c>
      <c r="B3214" s="22" t="s">
        <v>23</v>
      </c>
      <c r="C3214" s="22" t="s">
        <v>6180</v>
      </c>
      <c r="D3214" s="22" t="s">
        <v>8250</v>
      </c>
      <c r="E3214" s="22" t="s">
        <v>8251</v>
      </c>
      <c r="F3214" s="22">
        <v>34.655555560000003</v>
      </c>
      <c r="G3214" s="22">
        <v>43.713055560000001</v>
      </c>
      <c r="H3214" s="21" t="s">
        <v>6031</v>
      </c>
      <c r="I3214" s="21" t="s">
        <v>6182</v>
      </c>
      <c r="J3214" s="21"/>
      <c r="K3214" s="24">
        <v>117</v>
      </c>
      <c r="L3214" s="24">
        <v>702</v>
      </c>
      <c r="M3214" s="23"/>
      <c r="N3214" s="23"/>
      <c r="O3214" s="23"/>
      <c r="P3214" s="23"/>
      <c r="Q3214" s="23"/>
      <c r="R3214" s="23"/>
      <c r="S3214" s="23"/>
      <c r="T3214" s="23"/>
      <c r="U3214" s="23">
        <v>10</v>
      </c>
      <c r="V3214" s="23"/>
      <c r="W3214" s="23"/>
      <c r="X3214" s="23"/>
      <c r="Y3214" s="23"/>
      <c r="Z3214" s="23"/>
      <c r="AA3214" s="23">
        <v>107</v>
      </c>
      <c r="AB3214" s="23"/>
      <c r="AC3214" s="23"/>
      <c r="AD3214" s="23"/>
      <c r="AE3214" s="23"/>
      <c r="AF3214" s="23">
        <v>20</v>
      </c>
      <c r="AG3214" s="23"/>
      <c r="AH3214" s="23">
        <v>30</v>
      </c>
      <c r="AI3214" s="23"/>
      <c r="AJ3214" s="23"/>
      <c r="AK3214" s="23"/>
      <c r="AL3214" s="23">
        <v>9</v>
      </c>
      <c r="AM3214" s="23">
        <v>58</v>
      </c>
      <c r="AN3214" s="23"/>
      <c r="AO3214" s="23"/>
      <c r="AP3214" s="23"/>
      <c r="AQ3214" s="23"/>
      <c r="AR3214" s="23"/>
      <c r="AS3214" s="23"/>
      <c r="AT3214" s="23">
        <v>117</v>
      </c>
      <c r="AU3214" s="14" t="str">
        <f>HYPERLINK("http://www.openstreetmap.org/?mlat=34.6556&amp;mlon=43.7131&amp;zoom=12#map=12/34.6556/43.7131","Maplink1")</f>
        <v>Maplink1</v>
      </c>
      <c r="AV3214" s="14" t="str">
        <f>HYPERLINK("https://www.google.iq/maps/search/+34.6556,43.7131/@34.6556,43.7131,14z?hl=en","Maplink2")</f>
        <v>Maplink2</v>
      </c>
      <c r="AW3214" s="14" t="str">
        <f>HYPERLINK("http://www.bing.com/maps/?lvl=14&amp;sty=h&amp;cp=34.6556~43.7131&amp;sp=point.34.6556_43.7131","Maplink3")</f>
        <v>Maplink3</v>
      </c>
    </row>
    <row r="3215" spans="1:49" ht="15" customHeight="1" x14ac:dyDescent="0.25">
      <c r="A3215" s="21">
        <v>20642</v>
      </c>
      <c r="B3215" s="22" t="s">
        <v>23</v>
      </c>
      <c r="C3215" s="22" t="s">
        <v>6180</v>
      </c>
      <c r="D3215" s="22" t="s">
        <v>9114</v>
      </c>
      <c r="E3215" s="22" t="s">
        <v>6192</v>
      </c>
      <c r="F3215" s="22">
        <v>34.690297870000002</v>
      </c>
      <c r="G3215" s="22">
        <v>43.624409999999997</v>
      </c>
      <c r="H3215" s="21" t="s">
        <v>6031</v>
      </c>
      <c r="I3215" s="21" t="s">
        <v>6182</v>
      </c>
      <c r="J3215" s="21" t="s">
        <v>6193</v>
      </c>
      <c r="K3215" s="24">
        <v>232</v>
      </c>
      <c r="L3215" s="24">
        <v>1392</v>
      </c>
      <c r="M3215" s="23"/>
      <c r="N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>
        <v>232</v>
      </c>
      <c r="AB3215" s="23"/>
      <c r="AC3215" s="23"/>
      <c r="AD3215" s="23"/>
      <c r="AE3215" s="23"/>
      <c r="AF3215" s="23">
        <v>165</v>
      </c>
      <c r="AG3215" s="23"/>
      <c r="AH3215" s="23">
        <v>29</v>
      </c>
      <c r="AI3215" s="23"/>
      <c r="AJ3215" s="23"/>
      <c r="AK3215" s="23">
        <v>30</v>
      </c>
      <c r="AL3215" s="23"/>
      <c r="AM3215" s="23">
        <v>8</v>
      </c>
      <c r="AN3215" s="23"/>
      <c r="AO3215" s="23"/>
      <c r="AP3215" s="23"/>
      <c r="AQ3215" s="23"/>
      <c r="AR3215" s="23"/>
      <c r="AS3215" s="23">
        <v>21</v>
      </c>
      <c r="AT3215" s="23">
        <v>211</v>
      </c>
      <c r="AU3215" s="14" t="str">
        <f>HYPERLINK("http://www.openstreetmap.org/?mlat=34.6935&amp;mlon=43.6223&amp;zoom=12#map=12/34.6935/43.6223","Maplink1")</f>
        <v>Maplink1</v>
      </c>
      <c r="AV3215" s="14" t="str">
        <f>HYPERLINK("https://www.google.iq/maps/search/+34.6935,43.6223/@34.6935,43.6223,14z?hl=en","Maplink2")</f>
        <v>Maplink2</v>
      </c>
      <c r="AW3215" s="14" t="str">
        <f>HYPERLINK("http://www.bing.com/maps/?lvl=14&amp;sty=h&amp;cp=34.6935~43.6223&amp;sp=point.34.6935_43.6223_Al-Karama village","Maplink3")</f>
        <v>Maplink3</v>
      </c>
    </row>
    <row r="3216" spans="1:49" ht="15" customHeight="1" x14ac:dyDescent="0.25">
      <c r="A3216" s="21">
        <v>28419</v>
      </c>
      <c r="B3216" s="22" t="s">
        <v>23</v>
      </c>
      <c r="C3216" s="22" t="s">
        <v>6180</v>
      </c>
      <c r="D3216" s="22" t="s">
        <v>7512</v>
      </c>
      <c r="E3216" s="22" t="s">
        <v>7513</v>
      </c>
      <c r="F3216" s="22">
        <v>34.725397030000003</v>
      </c>
      <c r="G3216" s="22">
        <v>43.595723679999999</v>
      </c>
      <c r="H3216" s="21" t="s">
        <v>6031</v>
      </c>
      <c r="I3216" s="21" t="s">
        <v>6182</v>
      </c>
      <c r="J3216" s="21"/>
      <c r="K3216" s="24">
        <v>400</v>
      </c>
      <c r="L3216" s="24">
        <v>2400</v>
      </c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>
        <v>400</v>
      </c>
      <c r="AB3216" s="23"/>
      <c r="AC3216" s="23"/>
      <c r="AD3216" s="23"/>
      <c r="AE3216" s="23"/>
      <c r="AF3216" s="23">
        <v>222</v>
      </c>
      <c r="AG3216" s="23"/>
      <c r="AH3216" s="23">
        <v>152</v>
      </c>
      <c r="AI3216" s="23"/>
      <c r="AJ3216" s="23"/>
      <c r="AK3216" s="23"/>
      <c r="AL3216" s="23"/>
      <c r="AM3216" s="23">
        <v>26</v>
      </c>
      <c r="AN3216" s="23"/>
      <c r="AO3216" s="23"/>
      <c r="AP3216" s="23"/>
      <c r="AQ3216" s="23"/>
      <c r="AR3216" s="23"/>
      <c r="AS3216" s="23"/>
      <c r="AT3216" s="23">
        <v>400</v>
      </c>
      <c r="AU3216" s="14" t="str">
        <f>HYPERLINK("http://www.openstreetmap.org/?mlat=34.7314&amp;mlon=43.6044&amp;zoom=12#map=12/34.7314/43.6044","Maplink1")</f>
        <v>Maplink1</v>
      </c>
      <c r="AV3216" s="14" t="str">
        <f>HYPERLINK("https://www.google.iq/maps/search/+34.7314,43.6044/@34.7314,43.6044,14z?hl=en","Maplink2")</f>
        <v>Maplink2</v>
      </c>
      <c r="AW3216" s="14" t="str">
        <f>HYPERLINK("http://www.bing.com/maps/?lvl=14&amp;sty=h&amp;cp=34.7314~43.6044&amp;sp=point.34.7314_43.6044_Al Angaa","Maplink3")</f>
        <v>Maplink3</v>
      </c>
    </row>
    <row r="3217" spans="1:49" ht="15" customHeight="1" x14ac:dyDescent="0.25">
      <c r="A3217" s="21">
        <v>23918</v>
      </c>
      <c r="B3217" s="22" t="s">
        <v>23</v>
      </c>
      <c r="C3217" s="22" t="s">
        <v>6180</v>
      </c>
      <c r="D3217" s="22" t="s">
        <v>8252</v>
      </c>
      <c r="E3217" s="22" t="s">
        <v>9115</v>
      </c>
      <c r="F3217" s="22">
        <v>34.627451280000002</v>
      </c>
      <c r="G3217" s="22">
        <v>43.669864750000002</v>
      </c>
      <c r="H3217" s="21" t="s">
        <v>6031</v>
      </c>
      <c r="I3217" s="21" t="s">
        <v>6182</v>
      </c>
      <c r="J3217" s="21" t="s">
        <v>8253</v>
      </c>
      <c r="K3217" s="24">
        <v>1613</v>
      </c>
      <c r="L3217" s="24">
        <v>9678</v>
      </c>
      <c r="M3217" s="23"/>
      <c r="N3217" s="23"/>
      <c r="O3217" s="23"/>
      <c r="P3217" s="23"/>
      <c r="Q3217" s="23"/>
      <c r="R3217" s="23"/>
      <c r="S3217" s="23"/>
      <c r="T3217" s="23"/>
      <c r="U3217" s="23">
        <v>102</v>
      </c>
      <c r="V3217" s="23"/>
      <c r="W3217" s="23"/>
      <c r="X3217" s="23"/>
      <c r="Y3217" s="23">
        <v>123</v>
      </c>
      <c r="Z3217" s="23"/>
      <c r="AA3217" s="23">
        <v>1388</v>
      </c>
      <c r="AB3217" s="23"/>
      <c r="AC3217" s="23"/>
      <c r="AD3217" s="23"/>
      <c r="AE3217" s="23"/>
      <c r="AF3217" s="23">
        <v>15</v>
      </c>
      <c r="AG3217" s="23"/>
      <c r="AH3217" s="23">
        <v>620</v>
      </c>
      <c r="AI3217" s="23"/>
      <c r="AJ3217" s="23"/>
      <c r="AK3217" s="23">
        <v>535</v>
      </c>
      <c r="AL3217" s="23">
        <v>54</v>
      </c>
      <c r="AM3217" s="23">
        <v>389</v>
      </c>
      <c r="AN3217" s="23"/>
      <c r="AO3217" s="23"/>
      <c r="AP3217" s="23"/>
      <c r="AQ3217" s="23"/>
      <c r="AR3217" s="23"/>
      <c r="AS3217" s="23">
        <v>306</v>
      </c>
      <c r="AT3217" s="23">
        <v>1307</v>
      </c>
      <c r="AU3217" s="14" t="str">
        <f>HYPERLINK("http://www.openstreetmap.org/?mlat=34.6313&amp;mlon=43.6685&amp;zoom=12#map=12/34.6313/43.6685","Maplink1")</f>
        <v>Maplink1</v>
      </c>
      <c r="AV3217" s="14" t="str">
        <f>HYPERLINK("https://www.google.iq/maps/search/+34.6313,43.6685/@34.6313,43.6685,14z?hl=en","Maplink2")</f>
        <v>Maplink2</v>
      </c>
      <c r="AW3217" s="14" t="str">
        <f>HYPERLINK("http://www.bing.com/maps/?lvl=14&amp;sty=h&amp;cp=34.6313~43.6685&amp;sp=point.34.6313_43.6685_Al-Mutaradah 204","Maplink3")</f>
        <v>Maplink3</v>
      </c>
    </row>
    <row r="3218" spans="1:49" ht="15" customHeight="1" x14ac:dyDescent="0.25">
      <c r="A3218" s="21">
        <v>20631</v>
      </c>
      <c r="B3218" s="22" t="s">
        <v>23</v>
      </c>
      <c r="C3218" s="22" t="s">
        <v>6180</v>
      </c>
      <c r="D3218" s="22" t="s">
        <v>9116</v>
      </c>
      <c r="E3218" s="22" t="s">
        <v>6194</v>
      </c>
      <c r="F3218" s="22">
        <v>34.694068590000001</v>
      </c>
      <c r="G3218" s="22">
        <v>43.617256380000001</v>
      </c>
      <c r="H3218" s="21" t="s">
        <v>6031</v>
      </c>
      <c r="I3218" s="21" t="s">
        <v>6182</v>
      </c>
      <c r="J3218" s="21" t="s">
        <v>6195</v>
      </c>
      <c r="K3218" s="24">
        <v>45</v>
      </c>
      <c r="L3218" s="24">
        <v>270</v>
      </c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>
        <v>45</v>
      </c>
      <c r="AB3218" s="23"/>
      <c r="AC3218" s="23"/>
      <c r="AD3218" s="23"/>
      <c r="AE3218" s="23"/>
      <c r="AF3218" s="23">
        <v>27</v>
      </c>
      <c r="AG3218" s="23"/>
      <c r="AH3218" s="23">
        <v>8</v>
      </c>
      <c r="AI3218" s="23"/>
      <c r="AJ3218" s="23"/>
      <c r="AK3218" s="23">
        <v>10</v>
      </c>
      <c r="AL3218" s="23"/>
      <c r="AM3218" s="23"/>
      <c r="AN3218" s="23"/>
      <c r="AO3218" s="23"/>
      <c r="AP3218" s="23"/>
      <c r="AQ3218" s="23"/>
      <c r="AR3218" s="23"/>
      <c r="AS3218" s="23"/>
      <c r="AT3218" s="23">
        <v>45</v>
      </c>
      <c r="AU3218" s="14" t="str">
        <f>HYPERLINK("http://www.openstreetmap.org/?mlat=34.6953&amp;mlon=43.6137&amp;zoom=12#map=12/34.6953/43.6137","Maplink1")</f>
        <v>Maplink1</v>
      </c>
      <c r="AV3218" s="14" t="str">
        <f>HYPERLINK("https://www.google.iq/maps/search/+34.6953,43.6137/@34.6953,43.6137,14z?hl=en","Maplink2")</f>
        <v>Maplink2</v>
      </c>
      <c r="AW3218" s="14" t="str">
        <f>HYPERLINK("http://www.bing.com/maps/?lvl=14&amp;sty=h&amp;cp=34.6953~43.6137&amp;sp=point.34.6953_43.6137_Al-Safia village","Maplink3")</f>
        <v>Maplink3</v>
      </c>
    </row>
    <row r="3219" spans="1:49" ht="15" customHeight="1" x14ac:dyDescent="0.25">
      <c r="A3219" s="21">
        <v>20630</v>
      </c>
      <c r="B3219" s="22" t="s">
        <v>23</v>
      </c>
      <c r="C3219" s="22" t="s">
        <v>6180</v>
      </c>
      <c r="D3219" s="22" t="s">
        <v>6196</v>
      </c>
      <c r="E3219" s="22" t="s">
        <v>8306</v>
      </c>
      <c r="F3219" s="22">
        <v>34.7006576</v>
      </c>
      <c r="G3219" s="22">
        <v>43.616456999999997</v>
      </c>
      <c r="H3219" s="21" t="s">
        <v>6031</v>
      </c>
      <c r="I3219" s="21" t="s">
        <v>6182</v>
      </c>
      <c r="J3219" s="21" t="s">
        <v>6197</v>
      </c>
      <c r="K3219" s="24">
        <v>482</v>
      </c>
      <c r="L3219" s="24">
        <v>2892</v>
      </c>
      <c r="M3219" s="23">
        <v>10</v>
      </c>
      <c r="N3219" s="23"/>
      <c r="O3219" s="23"/>
      <c r="P3219" s="23"/>
      <c r="Q3219" s="23"/>
      <c r="R3219" s="23"/>
      <c r="S3219" s="23"/>
      <c r="T3219" s="23"/>
      <c r="U3219" s="23">
        <v>28</v>
      </c>
      <c r="V3219" s="23"/>
      <c r="W3219" s="23"/>
      <c r="X3219" s="23"/>
      <c r="Y3219" s="23">
        <v>20</v>
      </c>
      <c r="Z3219" s="23"/>
      <c r="AA3219" s="23">
        <v>424</v>
      </c>
      <c r="AB3219" s="23"/>
      <c r="AC3219" s="23"/>
      <c r="AD3219" s="23"/>
      <c r="AE3219" s="23"/>
      <c r="AF3219" s="23">
        <v>76</v>
      </c>
      <c r="AG3219" s="23"/>
      <c r="AH3219" s="23">
        <v>205</v>
      </c>
      <c r="AI3219" s="23"/>
      <c r="AJ3219" s="23"/>
      <c r="AK3219" s="23">
        <v>80</v>
      </c>
      <c r="AL3219" s="23"/>
      <c r="AM3219" s="23">
        <v>121</v>
      </c>
      <c r="AN3219" s="23"/>
      <c r="AO3219" s="23"/>
      <c r="AP3219" s="23"/>
      <c r="AQ3219" s="23">
        <v>30</v>
      </c>
      <c r="AR3219" s="23">
        <v>30</v>
      </c>
      <c r="AS3219" s="23">
        <v>20</v>
      </c>
      <c r="AT3219" s="23">
        <v>402</v>
      </c>
      <c r="AU3219" s="14" t="str">
        <f>HYPERLINK("http://www.openstreetmap.org/?mlat=34.695&amp;mlon=43.6226&amp;zoom=12#map=12/34.695/43.6226","Maplink1")</f>
        <v>Maplink1</v>
      </c>
      <c r="AV3219" s="14" t="str">
        <f>HYPERLINK("https://www.google.iq/maps/search/+34.695,43.6226/@34.695,43.6226,14z?hl=en","Maplink2")</f>
        <v>Maplink2</v>
      </c>
      <c r="AW3219" s="14" t="str">
        <f>HYPERLINK("http://www.bing.com/maps/?lvl=14&amp;sty=h&amp;cp=34.695~43.6226&amp;sp=point.34.695_43.6226_Al-Shahama Village","Maplink3")</f>
        <v>Maplink3</v>
      </c>
    </row>
    <row r="3220" spans="1:49" ht="15" customHeight="1" x14ac:dyDescent="0.25">
      <c r="A3220" s="21">
        <v>24248</v>
      </c>
      <c r="B3220" s="22" t="s">
        <v>23</v>
      </c>
      <c r="C3220" s="22" t="s">
        <v>6180</v>
      </c>
      <c r="D3220" s="22" t="s">
        <v>6199</v>
      </c>
      <c r="E3220" s="22" t="s">
        <v>6200</v>
      </c>
      <c r="F3220" s="22">
        <v>34.66514471</v>
      </c>
      <c r="G3220" s="22">
        <v>43.721737060000002</v>
      </c>
      <c r="H3220" s="21" t="s">
        <v>6031</v>
      </c>
      <c r="I3220" s="21" t="s">
        <v>6182</v>
      </c>
      <c r="J3220" s="21" t="s">
        <v>6201</v>
      </c>
      <c r="K3220" s="24">
        <v>376</v>
      </c>
      <c r="L3220" s="24">
        <v>2256</v>
      </c>
      <c r="M3220" s="23"/>
      <c r="N3220" s="23"/>
      <c r="O3220" s="23"/>
      <c r="P3220" s="23"/>
      <c r="Q3220" s="23"/>
      <c r="R3220" s="23"/>
      <c r="S3220" s="23"/>
      <c r="T3220" s="23"/>
      <c r="U3220" s="23">
        <v>34</v>
      </c>
      <c r="V3220" s="23"/>
      <c r="W3220" s="23"/>
      <c r="X3220" s="23"/>
      <c r="Y3220" s="23"/>
      <c r="Z3220" s="23"/>
      <c r="AA3220" s="23">
        <v>342</v>
      </c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>
        <v>300</v>
      </c>
      <c r="AL3220" s="23">
        <v>6</v>
      </c>
      <c r="AM3220" s="23">
        <v>70</v>
      </c>
      <c r="AN3220" s="23"/>
      <c r="AO3220" s="23"/>
      <c r="AP3220" s="23"/>
      <c r="AQ3220" s="23"/>
      <c r="AR3220" s="23"/>
      <c r="AS3220" s="23">
        <v>300</v>
      </c>
      <c r="AT3220" s="23">
        <v>76</v>
      </c>
      <c r="AU3220" s="14" t="str">
        <f>HYPERLINK("http://www.openstreetmap.org/?mlat=34.6791&amp;mlon=43.7164&amp;zoom=12#map=12/34.6791/43.7164","Maplink1")</f>
        <v>Maplink1</v>
      </c>
      <c r="AV3220" s="14" t="str">
        <f>HYPERLINK("https://www.google.iq/maps/search/+34.6791,43.7164/@34.6791,43.7164,14z?hl=en","Maplink2")</f>
        <v>Maplink2</v>
      </c>
      <c r="AW3220" s="14" t="str">
        <f>HYPERLINK("http://www.bing.com/maps/?lvl=14&amp;sty=h&amp;cp=34.6791~43.7164&amp;sp=point.34.6791_43.7164_Awajealah Quarter","Maplink3")</f>
        <v>Maplink3</v>
      </c>
    </row>
    <row r="3221" spans="1:49" ht="15" customHeight="1" x14ac:dyDescent="0.25">
      <c r="A3221" s="21">
        <v>23527</v>
      </c>
      <c r="B3221" s="22" t="s">
        <v>23</v>
      </c>
      <c r="C3221" s="22" t="s">
        <v>6180</v>
      </c>
      <c r="D3221" s="22" t="s">
        <v>6202</v>
      </c>
      <c r="E3221" s="22" t="s">
        <v>9117</v>
      </c>
      <c r="F3221" s="22">
        <v>34.828764</v>
      </c>
      <c r="G3221" s="22">
        <v>43.910207999999997</v>
      </c>
      <c r="H3221" s="21" t="s">
        <v>6031</v>
      </c>
      <c r="I3221" s="21" t="s">
        <v>6182</v>
      </c>
      <c r="J3221" s="21" t="s">
        <v>6203</v>
      </c>
      <c r="K3221" s="24">
        <v>25</v>
      </c>
      <c r="L3221" s="24">
        <v>150</v>
      </c>
      <c r="M3221" s="23"/>
      <c r="N3221" s="23"/>
      <c r="O3221" s="23"/>
      <c r="P3221" s="23"/>
      <c r="Q3221" s="23"/>
      <c r="R3221" s="23"/>
      <c r="S3221" s="23"/>
      <c r="T3221" s="23"/>
      <c r="U3221" s="23">
        <v>2</v>
      </c>
      <c r="V3221" s="23"/>
      <c r="W3221" s="23"/>
      <c r="X3221" s="23"/>
      <c r="Y3221" s="23"/>
      <c r="Z3221" s="23"/>
      <c r="AA3221" s="23">
        <v>23</v>
      </c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>
        <v>25</v>
      </c>
      <c r="AL3221" s="23"/>
      <c r="AM3221" s="23"/>
      <c r="AN3221" s="23"/>
      <c r="AO3221" s="23"/>
      <c r="AP3221" s="23"/>
      <c r="AQ3221" s="23"/>
      <c r="AR3221" s="23"/>
      <c r="AS3221" s="23"/>
      <c r="AT3221" s="23">
        <v>25</v>
      </c>
      <c r="AU3221" s="14" t="str">
        <f>HYPERLINK("http://www.openstreetmap.org/?mlat=34.8288&amp;mlon=43.9102&amp;zoom=12#map=12/34.8288/43.9102","Maplink1")</f>
        <v>Maplink1</v>
      </c>
      <c r="AV3221" s="14" t="str">
        <f>HYPERLINK("https://www.google.iq/maps/search/+34.8288,43.9102/@34.8288,43.9102,14z?hl=en","Maplink2")</f>
        <v>Maplink2</v>
      </c>
      <c r="AW3221" s="14" t="str">
        <f>HYPERLINK("http://www.bing.com/maps/?lvl=14&amp;sty=h&amp;cp=34.8288~43.9102&amp;sp=point.34.8288_43.9102_Ellmeabdi Al Shemaliya Village","Maplink3")</f>
        <v>Maplink3</v>
      </c>
    </row>
    <row r="3222" spans="1:49" ht="15" customHeight="1" x14ac:dyDescent="0.25">
      <c r="A3222" s="21">
        <v>20618</v>
      </c>
      <c r="B3222" s="22" t="s">
        <v>23</v>
      </c>
      <c r="C3222" s="22" t="s">
        <v>6180</v>
      </c>
      <c r="D3222" s="22" t="s">
        <v>9118</v>
      </c>
      <c r="E3222" s="22" t="s">
        <v>6204</v>
      </c>
      <c r="F3222" s="22">
        <v>34.700995800000001</v>
      </c>
      <c r="G3222" s="22">
        <v>43.616550400000001</v>
      </c>
      <c r="H3222" s="21" t="s">
        <v>6031</v>
      </c>
      <c r="I3222" s="21" t="s">
        <v>6182</v>
      </c>
      <c r="J3222" s="21" t="s">
        <v>6205</v>
      </c>
      <c r="K3222" s="24">
        <v>307</v>
      </c>
      <c r="L3222" s="24">
        <v>1842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>
        <v>28</v>
      </c>
      <c r="Z3222" s="23"/>
      <c r="AA3222" s="23">
        <v>279</v>
      </c>
      <c r="AB3222" s="23"/>
      <c r="AC3222" s="23"/>
      <c r="AD3222" s="23"/>
      <c r="AE3222" s="23"/>
      <c r="AF3222" s="23">
        <v>65</v>
      </c>
      <c r="AG3222" s="23"/>
      <c r="AH3222" s="23">
        <v>51</v>
      </c>
      <c r="AI3222" s="23"/>
      <c r="AJ3222" s="23"/>
      <c r="AK3222" s="23">
        <v>110</v>
      </c>
      <c r="AL3222" s="23"/>
      <c r="AM3222" s="23">
        <v>81</v>
      </c>
      <c r="AN3222" s="23"/>
      <c r="AO3222" s="23"/>
      <c r="AP3222" s="23"/>
      <c r="AQ3222" s="23"/>
      <c r="AR3222" s="23"/>
      <c r="AS3222" s="23">
        <v>20</v>
      </c>
      <c r="AT3222" s="23">
        <v>287</v>
      </c>
      <c r="AU3222" s="14" t="str">
        <f>HYPERLINK("http://www.openstreetmap.org/?mlat=34.7001&amp;mlon=43.6172&amp;zoom=12#map=12/34.7001/43.6172","Maplink1")</f>
        <v>Maplink1</v>
      </c>
      <c r="AV3222" s="14" t="str">
        <f>HYPERLINK("https://www.google.iq/maps/search/+34.7001,43.6172/@34.7001,43.6172,14z?hl=en","Maplink2")</f>
        <v>Maplink2</v>
      </c>
      <c r="AW3222" s="14" t="str">
        <f>HYPERLINK("http://www.bing.com/maps/?lvl=14&amp;sty=h&amp;cp=34.7001~43.6172&amp;sp=point.34.7001_43.6172_Hammad Shehab village","Maplink3")</f>
        <v>Maplink3</v>
      </c>
    </row>
    <row r="3223" spans="1:49" ht="15" customHeight="1" x14ac:dyDescent="0.25">
      <c r="A3223" s="21">
        <v>23301</v>
      </c>
      <c r="B3223" s="22" t="s">
        <v>23</v>
      </c>
      <c r="C3223" s="22" t="s">
        <v>6180</v>
      </c>
      <c r="D3223" s="22" t="s">
        <v>9119</v>
      </c>
      <c r="E3223" s="22" t="s">
        <v>9120</v>
      </c>
      <c r="F3223" s="22">
        <v>34.573701999999997</v>
      </c>
      <c r="G3223" s="22">
        <v>43.6828547</v>
      </c>
      <c r="H3223" s="21" t="s">
        <v>6031</v>
      </c>
      <c r="I3223" s="21" t="s">
        <v>6182</v>
      </c>
      <c r="J3223" s="21" t="s">
        <v>6216</v>
      </c>
      <c r="K3223" s="24">
        <v>450</v>
      </c>
      <c r="L3223" s="24">
        <v>2700</v>
      </c>
      <c r="M3223" s="23"/>
      <c r="N3223" s="23"/>
      <c r="O3223" s="23"/>
      <c r="P3223" s="23"/>
      <c r="Q3223" s="23"/>
      <c r="R3223" s="23"/>
      <c r="S3223" s="23"/>
      <c r="T3223" s="23"/>
      <c r="U3223" s="23">
        <v>3</v>
      </c>
      <c r="V3223" s="23"/>
      <c r="W3223" s="23"/>
      <c r="X3223" s="23"/>
      <c r="Y3223" s="23"/>
      <c r="Z3223" s="23"/>
      <c r="AA3223" s="23">
        <v>447</v>
      </c>
      <c r="AB3223" s="23"/>
      <c r="AC3223" s="23"/>
      <c r="AD3223" s="23"/>
      <c r="AE3223" s="23"/>
      <c r="AF3223" s="23">
        <v>160</v>
      </c>
      <c r="AG3223" s="23"/>
      <c r="AH3223" s="23">
        <v>15</v>
      </c>
      <c r="AI3223" s="23"/>
      <c r="AJ3223" s="23"/>
      <c r="AK3223" s="23">
        <v>122</v>
      </c>
      <c r="AL3223" s="23"/>
      <c r="AM3223" s="23">
        <v>153</v>
      </c>
      <c r="AN3223" s="23"/>
      <c r="AO3223" s="23"/>
      <c r="AP3223" s="23"/>
      <c r="AQ3223" s="23"/>
      <c r="AR3223" s="23"/>
      <c r="AS3223" s="23">
        <v>100</v>
      </c>
      <c r="AT3223" s="23">
        <v>350</v>
      </c>
      <c r="AU3223" s="14" t="str">
        <f>HYPERLINK("http://www.openstreetmap.org/?mlat=34.5762&amp;mlon=43.6818&amp;zoom=12#map=12/34.5762/43.6818","Maplink1")</f>
        <v>Maplink1</v>
      </c>
      <c r="AV3223" s="14" t="str">
        <f>HYPERLINK("https://www.google.iq/maps/search/+34.5762,43.6818/@34.5762,43.6818,14z?hl=en","Maplink2")</f>
        <v>Maplink2</v>
      </c>
      <c r="AW3223" s="14" t="str">
        <f>HYPERLINK("http://www.bing.com/maps/?lvl=14&amp;sty=h&amp;cp=34.5762~43.6818&amp;sp=point.34.5762_43.6818_Hay Al-anwaa -mahalla 420","Maplink3")</f>
        <v>Maplink3</v>
      </c>
    </row>
    <row r="3224" spans="1:49" ht="15" customHeight="1" x14ac:dyDescent="0.25">
      <c r="A3224" s="21">
        <v>25961</v>
      </c>
      <c r="B3224" s="22" t="s">
        <v>23</v>
      </c>
      <c r="C3224" s="22" t="s">
        <v>6180</v>
      </c>
      <c r="D3224" s="22" t="s">
        <v>9121</v>
      </c>
      <c r="E3224" s="22" t="s">
        <v>8099</v>
      </c>
      <c r="F3224" s="22">
        <v>34.593416900000001</v>
      </c>
      <c r="G3224" s="22">
        <v>43.677529309999997</v>
      </c>
      <c r="H3224" s="21" t="s">
        <v>6031</v>
      </c>
      <c r="I3224" s="21" t="s">
        <v>6182</v>
      </c>
      <c r="J3224" s="21"/>
      <c r="K3224" s="24">
        <v>131</v>
      </c>
      <c r="L3224" s="24">
        <v>786</v>
      </c>
      <c r="M3224" s="23"/>
      <c r="N3224" s="23"/>
      <c r="O3224" s="23"/>
      <c r="P3224" s="23"/>
      <c r="Q3224" s="23"/>
      <c r="R3224" s="23"/>
      <c r="S3224" s="23"/>
      <c r="T3224" s="23"/>
      <c r="U3224" s="23">
        <v>11</v>
      </c>
      <c r="V3224" s="23"/>
      <c r="W3224" s="23"/>
      <c r="X3224" s="23"/>
      <c r="Y3224" s="23"/>
      <c r="Z3224" s="23"/>
      <c r="AA3224" s="23">
        <v>120</v>
      </c>
      <c r="AB3224" s="23"/>
      <c r="AC3224" s="23"/>
      <c r="AD3224" s="23"/>
      <c r="AE3224" s="23"/>
      <c r="AF3224" s="23">
        <v>38</v>
      </c>
      <c r="AG3224" s="23"/>
      <c r="AH3224" s="23"/>
      <c r="AI3224" s="23"/>
      <c r="AJ3224" s="23"/>
      <c r="AK3224" s="23">
        <v>93</v>
      </c>
      <c r="AL3224" s="23"/>
      <c r="AM3224" s="23"/>
      <c r="AN3224" s="23"/>
      <c r="AO3224" s="23"/>
      <c r="AP3224" s="23"/>
      <c r="AQ3224" s="23"/>
      <c r="AR3224" s="23"/>
      <c r="AS3224" s="23">
        <v>93</v>
      </c>
      <c r="AT3224" s="23">
        <v>38</v>
      </c>
      <c r="AU3224" s="14" t="str">
        <f>HYPERLINK("http://www.openstreetmap.org/?mlat=34.5943&amp;mlon=43.6741&amp;zoom=12#map=12/34.5943/43.6741","Maplink1")</f>
        <v>Maplink1</v>
      </c>
      <c r="AV3224" s="14" t="str">
        <f>HYPERLINK("https://www.google.iq/maps/search/+34.5943,43.6741/@34.5943,43.6741,14z?hl=en","Maplink2")</f>
        <v>Maplink2</v>
      </c>
      <c r="AW3224" s="14" t="str">
        <f>HYPERLINK("http://www.bing.com/maps/?lvl=14&amp;sty=h&amp;cp=34.5943~43.6741&amp;sp=point.34.5943_43.6741_Hay Al-arbaeen-mahalla 414","Maplink3")</f>
        <v>Maplink3</v>
      </c>
    </row>
    <row r="3225" spans="1:49" ht="15" customHeight="1" x14ac:dyDescent="0.25">
      <c r="A3225" s="21">
        <v>23244</v>
      </c>
      <c r="B3225" s="22" t="s">
        <v>23</v>
      </c>
      <c r="C3225" s="22" t="s">
        <v>6180</v>
      </c>
      <c r="D3225" s="22" t="s">
        <v>9122</v>
      </c>
      <c r="E3225" s="22" t="s">
        <v>622</v>
      </c>
      <c r="F3225" s="22">
        <v>34.6864536</v>
      </c>
      <c r="G3225" s="22">
        <v>43.716350300000002</v>
      </c>
      <c r="H3225" s="21" t="s">
        <v>6031</v>
      </c>
      <c r="I3225" s="21" t="s">
        <v>6182</v>
      </c>
      <c r="J3225" s="21" t="s">
        <v>6184</v>
      </c>
      <c r="K3225" s="24">
        <v>368</v>
      </c>
      <c r="L3225" s="24">
        <v>2208</v>
      </c>
      <c r="M3225" s="23"/>
      <c r="N3225" s="23"/>
      <c r="O3225" s="23"/>
      <c r="P3225" s="23"/>
      <c r="Q3225" s="23"/>
      <c r="R3225" s="23"/>
      <c r="S3225" s="23"/>
      <c r="T3225" s="23"/>
      <c r="U3225" s="23">
        <v>42</v>
      </c>
      <c r="V3225" s="23"/>
      <c r="W3225" s="23"/>
      <c r="X3225" s="23"/>
      <c r="Y3225" s="23"/>
      <c r="Z3225" s="23"/>
      <c r="AA3225" s="23">
        <v>326</v>
      </c>
      <c r="AB3225" s="23"/>
      <c r="AC3225" s="23"/>
      <c r="AD3225" s="23"/>
      <c r="AE3225" s="23"/>
      <c r="AF3225" s="23">
        <v>18</v>
      </c>
      <c r="AG3225" s="23"/>
      <c r="AH3225" s="23"/>
      <c r="AI3225" s="23"/>
      <c r="AJ3225" s="23">
        <v>5</v>
      </c>
      <c r="AK3225" s="23">
        <v>318</v>
      </c>
      <c r="AL3225" s="23"/>
      <c r="AM3225" s="23">
        <v>27</v>
      </c>
      <c r="AN3225" s="23"/>
      <c r="AO3225" s="23"/>
      <c r="AP3225" s="23"/>
      <c r="AQ3225" s="23"/>
      <c r="AR3225" s="23"/>
      <c r="AS3225" s="23">
        <v>300</v>
      </c>
      <c r="AT3225" s="23">
        <v>68</v>
      </c>
      <c r="AU3225" s="14" t="str">
        <f>HYPERLINK("http://www.openstreetmap.org/?mlat=34.6351&amp;mlon=43.7326&amp;zoom=12#map=12/34.6351/43.7326","Maplink1")</f>
        <v>Maplink1</v>
      </c>
      <c r="AV3225" s="14" t="str">
        <f>HYPERLINK("https://www.google.iq/maps/search/+34.6351,43.7326/@34.6351,43.7326,14z?hl=en","Maplink2")</f>
        <v>Maplink2</v>
      </c>
      <c r="AW3225" s="14" t="str">
        <f>HYPERLINK("http://www.bing.com/maps/?lvl=14&amp;sty=h&amp;cp=34.6351~43.7326&amp;sp=point.34.6351_43.7326_Al Askari village","Maplink3")</f>
        <v>Maplink3</v>
      </c>
    </row>
    <row r="3226" spans="1:49" ht="15" customHeight="1" x14ac:dyDescent="0.25">
      <c r="A3226" s="21">
        <v>23206</v>
      </c>
      <c r="B3226" s="22" t="s">
        <v>23</v>
      </c>
      <c r="C3226" s="22" t="s">
        <v>6180</v>
      </c>
      <c r="D3226" s="22" t="s">
        <v>6207</v>
      </c>
      <c r="E3226" s="22" t="s">
        <v>8100</v>
      </c>
      <c r="F3226" s="22">
        <v>34.602993669999996</v>
      </c>
      <c r="G3226" s="22">
        <v>43.677188630000003</v>
      </c>
      <c r="H3226" s="21" t="s">
        <v>6031</v>
      </c>
      <c r="I3226" s="21" t="s">
        <v>6182</v>
      </c>
      <c r="J3226" s="21" t="s">
        <v>6208</v>
      </c>
      <c r="K3226" s="24">
        <v>664</v>
      </c>
      <c r="L3226" s="24">
        <v>3984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>
        <v>664</v>
      </c>
      <c r="AB3226" s="23"/>
      <c r="AC3226" s="23"/>
      <c r="AD3226" s="23"/>
      <c r="AE3226" s="23"/>
      <c r="AF3226" s="23">
        <v>243</v>
      </c>
      <c r="AG3226" s="23"/>
      <c r="AH3226" s="23"/>
      <c r="AI3226" s="23"/>
      <c r="AJ3226" s="23"/>
      <c r="AK3226" s="23">
        <v>208</v>
      </c>
      <c r="AL3226" s="23">
        <v>87</v>
      </c>
      <c r="AM3226" s="23">
        <v>126</v>
      </c>
      <c r="AN3226" s="23"/>
      <c r="AO3226" s="23"/>
      <c r="AP3226" s="23"/>
      <c r="AQ3226" s="23"/>
      <c r="AR3226" s="23"/>
      <c r="AS3226" s="23">
        <v>96</v>
      </c>
      <c r="AT3226" s="23">
        <v>568</v>
      </c>
      <c r="AU3226" s="14" t="str">
        <f>HYPERLINK("http://www.openstreetmap.org/?mlat=34.6058&amp;mlon=43.6788&amp;zoom=12#map=12/34.6058/43.6788","Maplink1")</f>
        <v>Maplink1</v>
      </c>
      <c r="AV3226" s="14" t="str">
        <f>HYPERLINK("https://www.google.iq/maps/search/+34.6058,43.6788/@34.6058,43.6788,14z?hl=en","Maplink2")</f>
        <v>Maplink2</v>
      </c>
      <c r="AW3226" s="14" t="str">
        <f>HYPERLINK("http://www.bing.com/maps/?lvl=14&amp;sty=h&amp;cp=34.6058~43.6788&amp;sp=point.34.6058_43.6788_Hay Al Asry Al Jadid-404","Maplink3")</f>
        <v>Maplink3</v>
      </c>
    </row>
    <row r="3227" spans="1:49" ht="15" customHeight="1" x14ac:dyDescent="0.25">
      <c r="A3227" s="21">
        <v>24247</v>
      </c>
      <c r="B3227" s="22" t="s">
        <v>23</v>
      </c>
      <c r="C3227" s="22" t="s">
        <v>6180</v>
      </c>
      <c r="D3227" s="22" t="s">
        <v>6209</v>
      </c>
      <c r="E3227" s="22" t="s">
        <v>6210</v>
      </c>
      <c r="F3227" s="22">
        <v>34.691659899999998</v>
      </c>
      <c r="G3227" s="22">
        <v>43.710122949999999</v>
      </c>
      <c r="H3227" s="21" t="s">
        <v>6031</v>
      </c>
      <c r="I3227" s="21" t="s">
        <v>6182</v>
      </c>
      <c r="J3227" s="21" t="s">
        <v>6211</v>
      </c>
      <c r="K3227" s="24">
        <v>192</v>
      </c>
      <c r="L3227" s="24">
        <v>1152</v>
      </c>
      <c r="M3227" s="23"/>
      <c r="N3227" s="23"/>
      <c r="O3227" s="23"/>
      <c r="P3227" s="23"/>
      <c r="Q3227" s="23"/>
      <c r="R3227" s="23"/>
      <c r="S3227" s="23"/>
      <c r="T3227" s="23"/>
      <c r="U3227" s="23">
        <v>5</v>
      </c>
      <c r="V3227" s="23"/>
      <c r="W3227" s="23"/>
      <c r="X3227" s="23"/>
      <c r="Y3227" s="23">
        <v>75</v>
      </c>
      <c r="Z3227" s="23"/>
      <c r="AA3227" s="23">
        <v>112</v>
      </c>
      <c r="AB3227" s="23"/>
      <c r="AC3227" s="23"/>
      <c r="AD3227" s="23"/>
      <c r="AE3227" s="23"/>
      <c r="AF3227" s="23">
        <v>20</v>
      </c>
      <c r="AG3227" s="23"/>
      <c r="AH3227" s="23">
        <v>83</v>
      </c>
      <c r="AI3227" s="23"/>
      <c r="AJ3227" s="23"/>
      <c r="AK3227" s="23">
        <v>38</v>
      </c>
      <c r="AL3227" s="23"/>
      <c r="AM3227" s="23">
        <v>51</v>
      </c>
      <c r="AN3227" s="23"/>
      <c r="AO3227" s="23"/>
      <c r="AP3227" s="23"/>
      <c r="AQ3227" s="23"/>
      <c r="AR3227" s="23"/>
      <c r="AS3227" s="23">
        <v>30</v>
      </c>
      <c r="AT3227" s="23">
        <v>162</v>
      </c>
      <c r="AU3227" s="14" t="str">
        <f>HYPERLINK("http://www.openstreetmap.org/?mlat=34.6881&amp;mlon=43.7129&amp;zoom=12#map=12/34.6881/43.7129","Maplink1")</f>
        <v>Maplink1</v>
      </c>
      <c r="AV3227" s="14" t="str">
        <f>HYPERLINK("https://www.google.iq/maps/search/+34.6881,43.7129/@34.6881,43.7129,14z?hl=en","Maplink2")</f>
        <v>Maplink2</v>
      </c>
      <c r="AW3227" s="14" t="str">
        <f>HYPERLINK("http://www.bing.com/maps/?lvl=14&amp;sty=h&amp;cp=34.6881~43.7129&amp;sp=point.34.6881_43.7129_Hay Al baladiyah","Maplink3")</f>
        <v>Maplink3</v>
      </c>
    </row>
    <row r="3228" spans="1:49" ht="15" customHeight="1" x14ac:dyDescent="0.25">
      <c r="A3228" s="21">
        <v>22331</v>
      </c>
      <c r="B3228" s="22" t="s">
        <v>23</v>
      </c>
      <c r="C3228" s="22" t="s">
        <v>6180</v>
      </c>
      <c r="D3228" s="22" t="s">
        <v>9123</v>
      </c>
      <c r="E3228" s="22" t="s">
        <v>9124</v>
      </c>
      <c r="F3228" s="22">
        <v>34.611737460000001</v>
      </c>
      <c r="G3228" s="22">
        <v>43.673758929999998</v>
      </c>
      <c r="H3228" s="21" t="s">
        <v>6031</v>
      </c>
      <c r="I3228" s="21" t="s">
        <v>6182</v>
      </c>
      <c r="J3228" s="21" t="s">
        <v>6217</v>
      </c>
      <c r="K3228" s="24">
        <v>430</v>
      </c>
      <c r="L3228" s="24">
        <v>2580</v>
      </c>
      <c r="M3228" s="23"/>
      <c r="N3228" s="23"/>
      <c r="O3228" s="23"/>
      <c r="P3228" s="23"/>
      <c r="Q3228" s="23"/>
      <c r="R3228" s="23"/>
      <c r="S3228" s="23"/>
      <c r="T3228" s="23"/>
      <c r="U3228" s="23">
        <v>14</v>
      </c>
      <c r="V3228" s="23"/>
      <c r="W3228" s="23"/>
      <c r="X3228" s="23"/>
      <c r="Y3228" s="23">
        <v>15</v>
      </c>
      <c r="Z3228" s="23"/>
      <c r="AA3228" s="23">
        <v>401</v>
      </c>
      <c r="AB3228" s="23"/>
      <c r="AC3228" s="23"/>
      <c r="AD3228" s="23"/>
      <c r="AE3228" s="23"/>
      <c r="AF3228" s="23">
        <v>56</v>
      </c>
      <c r="AG3228" s="23"/>
      <c r="AH3228" s="23"/>
      <c r="AI3228" s="23"/>
      <c r="AJ3228" s="23">
        <v>20</v>
      </c>
      <c r="AK3228" s="23">
        <v>157</v>
      </c>
      <c r="AL3228" s="23">
        <v>100</v>
      </c>
      <c r="AM3228" s="23">
        <v>97</v>
      </c>
      <c r="AN3228" s="23"/>
      <c r="AO3228" s="23"/>
      <c r="AP3228" s="23"/>
      <c r="AQ3228" s="23"/>
      <c r="AR3228" s="23"/>
      <c r="AS3228" s="23">
        <v>157</v>
      </c>
      <c r="AT3228" s="23">
        <v>273</v>
      </c>
      <c r="AU3228" s="14" t="str">
        <f>HYPERLINK("http://www.openstreetmap.org/?mlat=34.6057&amp;mlon=43.6763&amp;zoom=12#map=12/34.6057/43.6763","Maplink1")</f>
        <v>Maplink1</v>
      </c>
      <c r="AV3228" s="14" t="str">
        <f>HYPERLINK("https://www.google.iq/maps/search/+34.6057,43.6763/@34.6057,43.6763,14z?hl=en","Maplink2")</f>
        <v>Maplink2</v>
      </c>
      <c r="AW3228" s="14" t="str">
        <f>HYPERLINK("http://www.bing.com/maps/?lvl=14&amp;sty=h&amp;cp=34.6057~43.6763&amp;sp=point.34.6057_43.6763_Hay Al-baladiyat-Locality 402","Maplink3")</f>
        <v>Maplink3</v>
      </c>
    </row>
    <row r="3229" spans="1:49" ht="15" customHeight="1" x14ac:dyDescent="0.25">
      <c r="A3229" s="21">
        <v>20638</v>
      </c>
      <c r="B3229" s="22" t="s">
        <v>23</v>
      </c>
      <c r="C3229" s="22" t="s">
        <v>6180</v>
      </c>
      <c r="D3229" s="22" t="s">
        <v>1351</v>
      </c>
      <c r="E3229" s="22" t="s">
        <v>1352</v>
      </c>
      <c r="F3229" s="22">
        <v>34.633057360000002</v>
      </c>
      <c r="G3229" s="22">
        <v>43.667286799999999</v>
      </c>
      <c r="H3229" s="21" t="s">
        <v>6031</v>
      </c>
      <c r="I3229" s="21" t="s">
        <v>6182</v>
      </c>
      <c r="J3229" s="21" t="s">
        <v>6212</v>
      </c>
      <c r="K3229" s="24">
        <v>250</v>
      </c>
      <c r="L3229" s="24">
        <v>1500</v>
      </c>
      <c r="M3229" s="23"/>
      <c r="N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>
        <v>250</v>
      </c>
      <c r="AB3229" s="23"/>
      <c r="AC3229" s="23"/>
      <c r="AD3229" s="23"/>
      <c r="AE3229" s="23"/>
      <c r="AF3229" s="23"/>
      <c r="AG3229" s="23"/>
      <c r="AH3229" s="23">
        <v>35</v>
      </c>
      <c r="AI3229" s="23"/>
      <c r="AJ3229" s="23"/>
      <c r="AK3229" s="23"/>
      <c r="AL3229" s="23">
        <v>100</v>
      </c>
      <c r="AM3229" s="23">
        <v>115</v>
      </c>
      <c r="AN3229" s="23"/>
      <c r="AO3229" s="23"/>
      <c r="AP3229" s="23"/>
      <c r="AQ3229" s="23"/>
      <c r="AR3229" s="23"/>
      <c r="AS3229" s="23"/>
      <c r="AT3229" s="23">
        <v>250</v>
      </c>
      <c r="AU3229" s="14" t="str">
        <f>HYPERLINK("http://www.openstreetmap.org/?mlat=34.634&amp;mlon=43.662&amp;zoom=12#map=12/34.634/43.662","Maplink1")</f>
        <v>Maplink1</v>
      </c>
      <c r="AV3229" s="14" t="str">
        <f>HYPERLINK("https://www.google.iq/maps/search/+34.634,43.662/@34.634,43.662,14z?hl=en","Maplink2")</f>
        <v>Maplink2</v>
      </c>
      <c r="AW3229" s="14" t="str">
        <f>HYPERLINK("http://www.bing.com/maps/?lvl=14&amp;sty=h&amp;cp=34.634~43.662&amp;sp=point.34.634_43.662_Al Angaa","Maplink3")</f>
        <v>Maplink3</v>
      </c>
    </row>
    <row r="3230" spans="1:49" ht="15" customHeight="1" x14ac:dyDescent="0.25">
      <c r="A3230" s="21">
        <v>20608</v>
      </c>
      <c r="B3230" s="22" t="s">
        <v>23</v>
      </c>
      <c r="C3230" s="22" t="s">
        <v>6180</v>
      </c>
      <c r="D3230" s="22" t="s">
        <v>6213</v>
      </c>
      <c r="E3230" s="22" t="s">
        <v>9125</v>
      </c>
      <c r="F3230" s="22">
        <v>34.6975962</v>
      </c>
      <c r="G3230" s="22">
        <v>43.718533999999998</v>
      </c>
      <c r="H3230" s="21" t="s">
        <v>6031</v>
      </c>
      <c r="I3230" s="21" t="s">
        <v>6182</v>
      </c>
      <c r="J3230" s="21" t="s">
        <v>6214</v>
      </c>
      <c r="K3230" s="24">
        <v>130</v>
      </c>
      <c r="L3230" s="24">
        <v>780</v>
      </c>
      <c r="M3230" s="23"/>
      <c r="N3230" s="23"/>
      <c r="O3230" s="23"/>
      <c r="P3230" s="23"/>
      <c r="Q3230" s="23"/>
      <c r="R3230" s="23"/>
      <c r="S3230" s="23"/>
      <c r="T3230" s="23"/>
      <c r="U3230" s="23">
        <v>55</v>
      </c>
      <c r="V3230" s="23"/>
      <c r="W3230" s="23"/>
      <c r="X3230" s="23"/>
      <c r="Y3230" s="23"/>
      <c r="Z3230" s="23"/>
      <c r="AA3230" s="23">
        <v>75</v>
      </c>
      <c r="AB3230" s="23"/>
      <c r="AC3230" s="23"/>
      <c r="AD3230" s="23"/>
      <c r="AE3230" s="23"/>
      <c r="AF3230" s="23"/>
      <c r="AG3230" s="23"/>
      <c r="AH3230" s="23">
        <v>10</v>
      </c>
      <c r="AI3230" s="23"/>
      <c r="AJ3230" s="23"/>
      <c r="AK3230" s="23">
        <v>42</v>
      </c>
      <c r="AL3230" s="23"/>
      <c r="AM3230" s="23">
        <v>78</v>
      </c>
      <c r="AN3230" s="23"/>
      <c r="AO3230" s="23"/>
      <c r="AP3230" s="23"/>
      <c r="AQ3230" s="23"/>
      <c r="AR3230" s="23"/>
      <c r="AS3230" s="23">
        <v>125</v>
      </c>
      <c r="AT3230" s="23">
        <v>5</v>
      </c>
      <c r="AU3230" s="14" t="str">
        <f>HYPERLINK("http://www.openstreetmap.org/?mlat=34.6075&amp;mlon=43.6891&amp;zoom=12#map=12/34.6075/43.6891","Maplink1")</f>
        <v>Maplink1</v>
      </c>
      <c r="AV3230" s="14" t="str">
        <f>HYPERLINK("https://www.google.iq/maps/search/+34.6075,43.6891/@34.6075,43.6891,14z?hl=en","Maplink2")</f>
        <v>Maplink2</v>
      </c>
      <c r="AW3230" s="14" t="str">
        <f>HYPERLINK("http://www.bing.com/maps/?lvl=14&amp;sty=h&amp;cp=34.6075~43.6891&amp;sp=point.34.6075_43.6891_Hay Al Jamiyah","Maplink3")</f>
        <v>Maplink3</v>
      </c>
    </row>
    <row r="3231" spans="1:49" ht="15" customHeight="1" x14ac:dyDescent="0.25">
      <c r="A3231" s="21">
        <v>25960</v>
      </c>
      <c r="B3231" s="22" t="s">
        <v>23</v>
      </c>
      <c r="C3231" s="22" t="s">
        <v>6180</v>
      </c>
      <c r="D3231" s="22" t="s">
        <v>9126</v>
      </c>
      <c r="E3231" s="22" t="s">
        <v>8101</v>
      </c>
      <c r="F3231" s="22">
        <v>34.595911000000001</v>
      </c>
      <c r="G3231" s="22">
        <v>43.673602029999998</v>
      </c>
      <c r="H3231" s="21" t="s">
        <v>6031</v>
      </c>
      <c r="I3231" s="21" t="s">
        <v>6182</v>
      </c>
      <c r="J3231" s="21"/>
      <c r="K3231" s="24">
        <v>581</v>
      </c>
      <c r="L3231" s="24">
        <v>3486</v>
      </c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>
        <v>581</v>
      </c>
      <c r="AB3231" s="23"/>
      <c r="AC3231" s="23"/>
      <c r="AD3231" s="23"/>
      <c r="AE3231" s="23"/>
      <c r="AF3231" s="23">
        <v>85</v>
      </c>
      <c r="AG3231" s="23"/>
      <c r="AH3231" s="23"/>
      <c r="AI3231" s="23"/>
      <c r="AJ3231" s="23"/>
      <c r="AK3231" s="23">
        <v>235</v>
      </c>
      <c r="AL3231" s="23">
        <v>36</v>
      </c>
      <c r="AM3231" s="23">
        <v>225</v>
      </c>
      <c r="AN3231" s="23"/>
      <c r="AO3231" s="23"/>
      <c r="AP3231" s="23"/>
      <c r="AQ3231" s="23"/>
      <c r="AR3231" s="23"/>
      <c r="AS3231" s="23">
        <v>249</v>
      </c>
      <c r="AT3231" s="23">
        <v>332</v>
      </c>
      <c r="AU3231" s="14" t="str">
        <f>HYPERLINK("http://www.openstreetmap.org/?mlat=34.589&amp;mlon=43.6753&amp;zoom=12#map=12/34.589/43.6753","Maplink1")</f>
        <v>Maplink1</v>
      </c>
      <c r="AV3231" s="14" t="str">
        <f>HYPERLINK("https://www.google.iq/maps/search/+34.589,43.6753/@34.589,43.6753,14z?hl=en","Maplink2")</f>
        <v>Maplink2</v>
      </c>
      <c r="AW3231" s="14" t="str">
        <f>HYPERLINK("http://www.bing.com/maps/?lvl=14&amp;sty=h&amp;cp=34.589~43.6753&amp;sp=point.34.589_43.6753_Hay Al-jamiyah -mahalla 418","Maplink3")</f>
        <v>Maplink3</v>
      </c>
    </row>
    <row r="3232" spans="1:49" ht="15" customHeight="1" x14ac:dyDescent="0.25">
      <c r="A3232" s="21">
        <v>22812</v>
      </c>
      <c r="B3232" s="22" t="s">
        <v>23</v>
      </c>
      <c r="C3232" s="22" t="s">
        <v>6180</v>
      </c>
      <c r="D3232" s="22" t="s">
        <v>9127</v>
      </c>
      <c r="E3232" s="22" t="s">
        <v>9128</v>
      </c>
      <c r="F3232" s="22">
        <v>34.607597720000001</v>
      </c>
      <c r="G3232" s="22">
        <v>43.675257209999998</v>
      </c>
      <c r="H3232" s="21" t="s">
        <v>6031</v>
      </c>
      <c r="I3232" s="21" t="s">
        <v>6182</v>
      </c>
      <c r="J3232" s="21" t="s">
        <v>6218</v>
      </c>
      <c r="K3232" s="24">
        <v>294</v>
      </c>
      <c r="L3232" s="24">
        <v>1764</v>
      </c>
      <c r="M3232" s="23"/>
      <c r="N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>
        <v>294</v>
      </c>
      <c r="AB3232" s="23"/>
      <c r="AC3232" s="23"/>
      <c r="AD3232" s="23"/>
      <c r="AE3232" s="23"/>
      <c r="AF3232" s="23">
        <v>14</v>
      </c>
      <c r="AG3232" s="23"/>
      <c r="AH3232" s="23">
        <v>55</v>
      </c>
      <c r="AI3232" s="23"/>
      <c r="AJ3232" s="23"/>
      <c r="AK3232" s="23">
        <v>225</v>
      </c>
      <c r="AL3232" s="23"/>
      <c r="AM3232" s="23"/>
      <c r="AN3232" s="23"/>
      <c r="AO3232" s="23"/>
      <c r="AP3232" s="23"/>
      <c r="AQ3232" s="23"/>
      <c r="AR3232" s="23"/>
      <c r="AS3232" s="23">
        <v>227</v>
      </c>
      <c r="AT3232" s="23">
        <v>67</v>
      </c>
      <c r="AU3232" s="14" t="str">
        <f>HYPERLINK("http://www.openstreetmap.org/?mlat=34.6017&amp;mlon=43.6763&amp;zoom=12#map=12/34.6017/43.6763","Maplink1")</f>
        <v>Maplink1</v>
      </c>
      <c r="AV3232" s="14" t="str">
        <f>HYPERLINK("https://www.google.iq/maps/search/+34.6017,43.6763/@34.6017,43.6763,14z?hl=en","Maplink2")</f>
        <v>Maplink2</v>
      </c>
      <c r="AW3232" s="14" t="str">
        <f>HYPERLINK("http://www.bing.com/maps/?lvl=14&amp;sty=h&amp;cp=34.6017~43.6763&amp;sp=point.34.6017_43.6763_Hay Al-mualimeen-mahalla 406","Maplink3")</f>
        <v>Maplink3</v>
      </c>
    </row>
    <row r="3233" spans="1:49" ht="15" customHeight="1" x14ac:dyDescent="0.25">
      <c r="A3233" s="21">
        <v>21592</v>
      </c>
      <c r="B3233" s="22" t="s">
        <v>23</v>
      </c>
      <c r="C3233" s="22" t="s">
        <v>6180</v>
      </c>
      <c r="D3233" s="22" t="s">
        <v>7387</v>
      </c>
      <c r="E3233" s="22" t="s">
        <v>9129</v>
      </c>
      <c r="F3233" s="22">
        <v>34.71238906</v>
      </c>
      <c r="G3233" s="22">
        <v>43.706515959999997</v>
      </c>
      <c r="H3233" s="21" t="s">
        <v>6031</v>
      </c>
      <c r="I3233" s="21" t="s">
        <v>6182</v>
      </c>
      <c r="J3233" s="21" t="s">
        <v>6215</v>
      </c>
      <c r="K3233" s="24">
        <v>481</v>
      </c>
      <c r="L3233" s="24">
        <v>2886</v>
      </c>
      <c r="M3233" s="23">
        <v>16</v>
      </c>
      <c r="N3233" s="23"/>
      <c r="O3233" s="23"/>
      <c r="P3233" s="23"/>
      <c r="Q3233" s="23"/>
      <c r="R3233" s="23">
        <v>40</v>
      </c>
      <c r="S3233" s="23"/>
      <c r="T3233" s="23"/>
      <c r="U3233" s="23">
        <v>191</v>
      </c>
      <c r="V3233" s="23"/>
      <c r="W3233" s="23"/>
      <c r="X3233" s="23"/>
      <c r="Y3233" s="23"/>
      <c r="Z3233" s="23"/>
      <c r="AA3233" s="23">
        <v>234</v>
      </c>
      <c r="AB3233" s="23"/>
      <c r="AC3233" s="23"/>
      <c r="AD3233" s="23"/>
      <c r="AE3233" s="23"/>
      <c r="AF3233" s="23">
        <v>33</v>
      </c>
      <c r="AG3233" s="23"/>
      <c r="AH3233" s="23">
        <v>45</v>
      </c>
      <c r="AI3233" s="23"/>
      <c r="AJ3233" s="23"/>
      <c r="AK3233" s="23">
        <v>99</v>
      </c>
      <c r="AL3233" s="23"/>
      <c r="AM3233" s="23">
        <v>304</v>
      </c>
      <c r="AN3233" s="23"/>
      <c r="AO3233" s="23"/>
      <c r="AP3233" s="23"/>
      <c r="AQ3233" s="23"/>
      <c r="AR3233" s="23"/>
      <c r="AS3233" s="23">
        <v>343</v>
      </c>
      <c r="AT3233" s="23">
        <v>138</v>
      </c>
      <c r="AU3233" s="14" t="str">
        <f>HYPERLINK("http://www.openstreetmap.org/?mlat=34.7101&amp;mlon=43.7103&amp;zoom=12#map=12/34.7101/43.7103","Maplink1")</f>
        <v>Maplink1</v>
      </c>
      <c r="AV3233" s="14" t="str">
        <f>HYPERLINK("https://www.google.iq/maps/search/+34.7101,43.7103/@34.7101,43.7103,14z?hl=en","Maplink2")</f>
        <v>Maplink2</v>
      </c>
      <c r="AW3233" s="14" t="str">
        <f>HYPERLINK("http://www.bing.com/maps/?lvl=14&amp;sty=h&amp;cp=34.7101~43.7103&amp;sp=point.34.7101_43.7103_Hay Al sinay - Al samad","Maplink3")</f>
        <v>Maplink3</v>
      </c>
    </row>
    <row r="3234" spans="1:49" ht="15" customHeight="1" x14ac:dyDescent="0.25">
      <c r="A3234" s="21">
        <v>22468</v>
      </c>
      <c r="B3234" s="22" t="s">
        <v>23</v>
      </c>
      <c r="C3234" s="22" t="s">
        <v>6180</v>
      </c>
      <c r="D3234" s="22" t="s">
        <v>9130</v>
      </c>
      <c r="E3234" s="22" t="s">
        <v>9131</v>
      </c>
      <c r="F3234" s="22">
        <v>34.587520099999999</v>
      </c>
      <c r="G3234" s="22">
        <v>43.673181399999997</v>
      </c>
      <c r="H3234" s="21" t="s">
        <v>6031</v>
      </c>
      <c r="I3234" s="21" t="s">
        <v>6182</v>
      </c>
      <c r="J3234" s="21" t="s">
        <v>6224</v>
      </c>
      <c r="K3234" s="24">
        <v>1232</v>
      </c>
      <c r="L3234" s="24">
        <v>7392</v>
      </c>
      <c r="M3234" s="23"/>
      <c r="N3234" s="23"/>
      <c r="O3234" s="23"/>
      <c r="P3234" s="23"/>
      <c r="Q3234" s="23"/>
      <c r="R3234" s="23"/>
      <c r="S3234" s="23"/>
      <c r="T3234" s="23"/>
      <c r="U3234" s="23">
        <v>14</v>
      </c>
      <c r="V3234" s="23"/>
      <c r="W3234" s="23"/>
      <c r="X3234" s="23"/>
      <c r="Y3234" s="23"/>
      <c r="Z3234" s="23"/>
      <c r="AA3234" s="23">
        <v>1218</v>
      </c>
      <c r="AB3234" s="23"/>
      <c r="AC3234" s="23"/>
      <c r="AD3234" s="23"/>
      <c r="AE3234" s="23"/>
      <c r="AF3234" s="23">
        <v>247</v>
      </c>
      <c r="AG3234" s="23"/>
      <c r="AH3234" s="23">
        <v>203</v>
      </c>
      <c r="AI3234" s="23"/>
      <c r="AJ3234" s="23"/>
      <c r="AK3234" s="23">
        <v>215</v>
      </c>
      <c r="AL3234" s="23">
        <v>167</v>
      </c>
      <c r="AM3234" s="23">
        <v>400</v>
      </c>
      <c r="AN3234" s="23"/>
      <c r="AO3234" s="23"/>
      <c r="AP3234" s="23"/>
      <c r="AQ3234" s="23"/>
      <c r="AR3234" s="23"/>
      <c r="AS3234" s="23">
        <v>240</v>
      </c>
      <c r="AT3234" s="23">
        <v>992</v>
      </c>
      <c r="AU3234" s="14" t="str">
        <f>HYPERLINK("http://www.openstreetmap.org/?mlat=34.6463&amp;mlon=43.6568&amp;zoom=12#map=12/34.6463/43.6568","Maplink1")</f>
        <v>Maplink1</v>
      </c>
      <c r="AV3234" s="14" t="str">
        <f>HYPERLINK("https://www.google.iq/maps/search/+34.6463,43.6568/@34.6463,43.6568,14z?hl=en","Maplink2")</f>
        <v>Maplink2</v>
      </c>
      <c r="AW3234" s="14" t="str">
        <f>HYPERLINK("http://www.bing.com/maps/?lvl=14&amp;sty=h&amp;cp=34.6463~43.6568&amp;sp=point.34.6463_43.6568_Hay Al-zuhoor-mahalla 422","Maplink3")</f>
        <v>Maplink3</v>
      </c>
    </row>
    <row r="3235" spans="1:49" ht="15" customHeight="1" x14ac:dyDescent="0.25">
      <c r="A3235" s="21">
        <v>28412</v>
      </c>
      <c r="B3235" s="22" t="s">
        <v>23</v>
      </c>
      <c r="C3235" s="22" t="s">
        <v>6180</v>
      </c>
      <c r="D3235" s="22" t="s">
        <v>6219</v>
      </c>
      <c r="E3235" s="22" t="s">
        <v>6220</v>
      </c>
      <c r="F3235" s="22">
        <v>34.602280720000003</v>
      </c>
      <c r="G3235" s="22">
        <v>43.671030809999998</v>
      </c>
      <c r="H3235" s="21" t="s">
        <v>6031</v>
      </c>
      <c r="I3235" s="21"/>
      <c r="J3235" s="21"/>
      <c r="K3235" s="24">
        <v>125</v>
      </c>
      <c r="L3235" s="24">
        <v>750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>
        <v>15</v>
      </c>
      <c r="Z3235" s="23"/>
      <c r="AA3235" s="23">
        <v>110</v>
      </c>
      <c r="AB3235" s="23"/>
      <c r="AC3235" s="23"/>
      <c r="AD3235" s="23"/>
      <c r="AE3235" s="23"/>
      <c r="AF3235" s="23"/>
      <c r="AG3235" s="23"/>
      <c r="AH3235" s="23">
        <v>10</v>
      </c>
      <c r="AI3235" s="23"/>
      <c r="AJ3235" s="23"/>
      <c r="AK3235" s="23">
        <v>91</v>
      </c>
      <c r="AL3235" s="23"/>
      <c r="AM3235" s="23">
        <v>24</v>
      </c>
      <c r="AN3235" s="23"/>
      <c r="AO3235" s="23"/>
      <c r="AP3235" s="23"/>
      <c r="AQ3235" s="23"/>
      <c r="AR3235" s="23"/>
      <c r="AS3235" s="23">
        <v>66</v>
      </c>
      <c r="AT3235" s="23">
        <v>59</v>
      </c>
      <c r="AU3235" s="14" t="str">
        <f>HYPERLINK("http://www.openstreetmap.org/?mlat=34.6714&amp;mlon=43.6017&amp;zoom=12#map=12/34.6714/43.6017","Maplink1")</f>
        <v>Maplink1</v>
      </c>
      <c r="AV3235" s="14" t="str">
        <f>HYPERLINK("https://www.google.iq/maps/search/+34.6714,43.6017/@34.6714,43.6017,14z?hl=en","Maplink2")</f>
        <v>Maplink2</v>
      </c>
      <c r="AW3235" s="14" t="str">
        <f>HYPERLINK("http://www.bing.com/maps/?lvl=14&amp;sty=h&amp;cp=34.6714~43.6017&amp;sp=point.34.6714_43.6017_Al Angaa","Maplink3")</f>
        <v>Maplink3</v>
      </c>
    </row>
    <row r="3236" spans="1:49" ht="15" customHeight="1" x14ac:dyDescent="0.25">
      <c r="A3236" s="21">
        <v>28478</v>
      </c>
      <c r="B3236" s="22" t="s">
        <v>23</v>
      </c>
      <c r="C3236" s="22" t="s">
        <v>6180</v>
      </c>
      <c r="D3236" s="22" t="s">
        <v>6221</v>
      </c>
      <c r="E3236" s="22" t="s">
        <v>114</v>
      </c>
      <c r="F3236" s="22">
        <v>34.596666710000001</v>
      </c>
      <c r="G3236" s="22">
        <v>43.673562429999997</v>
      </c>
      <c r="H3236" s="21" t="s">
        <v>6031</v>
      </c>
      <c r="I3236" s="21" t="s">
        <v>6182</v>
      </c>
      <c r="J3236" s="21"/>
      <c r="K3236" s="24">
        <v>196</v>
      </c>
      <c r="L3236" s="24">
        <v>1176</v>
      </c>
      <c r="M3236" s="23"/>
      <c r="N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>
        <v>16</v>
      </c>
      <c r="Z3236" s="23"/>
      <c r="AA3236" s="23">
        <v>180</v>
      </c>
      <c r="AB3236" s="23"/>
      <c r="AC3236" s="23"/>
      <c r="AD3236" s="23"/>
      <c r="AE3236" s="23"/>
      <c r="AF3236" s="23">
        <v>31</v>
      </c>
      <c r="AG3236" s="23"/>
      <c r="AH3236" s="23"/>
      <c r="AI3236" s="23"/>
      <c r="AJ3236" s="23"/>
      <c r="AK3236" s="23">
        <v>36</v>
      </c>
      <c r="AL3236" s="23">
        <v>51</v>
      </c>
      <c r="AM3236" s="23">
        <v>78</v>
      </c>
      <c r="AN3236" s="23"/>
      <c r="AO3236" s="23"/>
      <c r="AP3236" s="23"/>
      <c r="AQ3236" s="23"/>
      <c r="AR3236" s="23"/>
      <c r="AS3236" s="23">
        <v>6</v>
      </c>
      <c r="AT3236" s="23">
        <v>190</v>
      </c>
      <c r="AU3236" s="14" t="str">
        <f>HYPERLINK("http://www.openstreetmap.org/?mlat=34.5977&amp;mlon=43.6734&amp;zoom=12#map=12/34.5977/43.6734","Maplink1")</f>
        <v>Maplink1</v>
      </c>
      <c r="AV3236" s="14" t="str">
        <f>HYPERLINK("https://www.google.iq/maps/search/+34.5977,43.6734/@34.5977,43.6734,14z?hl=en","Maplink2")</f>
        <v>Maplink2</v>
      </c>
      <c r="AW3236" s="14" t="str">
        <f>HYPERLINK("http://www.bing.com/maps/?lvl=14&amp;sty=h&amp;cp=34.5977~43.6734&amp;sp=point.34.5977_43.6734_Al Angaa","Maplink3")</f>
        <v>Maplink3</v>
      </c>
    </row>
    <row r="3237" spans="1:49" ht="15" customHeight="1" x14ac:dyDescent="0.25">
      <c r="A3237" s="21">
        <v>20622</v>
      </c>
      <c r="B3237" s="22" t="s">
        <v>23</v>
      </c>
      <c r="C3237" s="22" t="s">
        <v>6180</v>
      </c>
      <c r="D3237" s="22" t="s">
        <v>9132</v>
      </c>
      <c r="E3237" s="22" t="s">
        <v>2246</v>
      </c>
      <c r="F3237" s="22">
        <v>34.70311367</v>
      </c>
      <c r="G3237" s="22">
        <v>43.612091700000001</v>
      </c>
      <c r="H3237" s="21" t="s">
        <v>6031</v>
      </c>
      <c r="I3237" s="21" t="s">
        <v>6182</v>
      </c>
      <c r="J3237" s="21" t="s">
        <v>6222</v>
      </c>
      <c r="K3237" s="24">
        <v>286</v>
      </c>
      <c r="L3237" s="24">
        <v>1716</v>
      </c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>
        <v>10</v>
      </c>
      <c r="Z3237" s="23"/>
      <c r="AA3237" s="23">
        <v>276</v>
      </c>
      <c r="AB3237" s="23"/>
      <c r="AC3237" s="23"/>
      <c r="AD3237" s="23"/>
      <c r="AE3237" s="23"/>
      <c r="AF3237" s="23"/>
      <c r="AG3237" s="23"/>
      <c r="AH3237" s="23">
        <v>169</v>
      </c>
      <c r="AI3237" s="23"/>
      <c r="AJ3237" s="23"/>
      <c r="AK3237" s="23">
        <v>67</v>
      </c>
      <c r="AL3237" s="23"/>
      <c r="AM3237" s="23">
        <v>50</v>
      </c>
      <c r="AN3237" s="23"/>
      <c r="AO3237" s="23"/>
      <c r="AP3237" s="23"/>
      <c r="AQ3237" s="23"/>
      <c r="AR3237" s="23"/>
      <c r="AS3237" s="23">
        <v>18</v>
      </c>
      <c r="AT3237" s="23">
        <v>268</v>
      </c>
      <c r="AU3237" s="14" t="str">
        <f>HYPERLINK("http://www.openstreetmap.org/?mlat=34.7002&amp;mlon=43.6081&amp;zoom=12#map=12/34.7002/43.6081","Maplink1")</f>
        <v>Maplink1</v>
      </c>
      <c r="AV3237" s="14" t="str">
        <f>HYPERLINK("https://www.google.iq/maps/search/+34.7002,43.6081/@34.7002,43.6081,14z?hl=en","Maplink2")</f>
        <v>Maplink2</v>
      </c>
      <c r="AW3237" s="14" t="str">
        <f>HYPERLINK("http://www.bing.com/maps/?lvl=14&amp;sty=h&amp;cp=34.7002~43.6081&amp;sp=point.34.7002_43.6081_Hay Al-Suqoore","Maplink3")</f>
        <v>Maplink3</v>
      </c>
    </row>
    <row r="3238" spans="1:49" ht="15" customHeight="1" x14ac:dyDescent="0.25">
      <c r="A3238" s="21">
        <v>28413</v>
      </c>
      <c r="B3238" s="22" t="s">
        <v>23</v>
      </c>
      <c r="C3238" s="22" t="s">
        <v>6180</v>
      </c>
      <c r="D3238" s="22" t="s">
        <v>6223</v>
      </c>
      <c r="E3238" s="22" t="s">
        <v>313</v>
      </c>
      <c r="F3238" s="22">
        <v>34.602280630000003</v>
      </c>
      <c r="G3238" s="22">
        <v>43.669973949999999</v>
      </c>
      <c r="H3238" s="21" t="s">
        <v>6031</v>
      </c>
      <c r="I3238" s="21"/>
      <c r="J3238" s="21"/>
      <c r="K3238" s="24">
        <v>45</v>
      </c>
      <c r="L3238" s="24">
        <v>270</v>
      </c>
      <c r="M3238" s="23"/>
      <c r="N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>
        <v>45</v>
      </c>
      <c r="AB3238" s="23"/>
      <c r="AC3238" s="23"/>
      <c r="AD3238" s="23"/>
      <c r="AE3238" s="23"/>
      <c r="AF3238" s="23">
        <v>3</v>
      </c>
      <c r="AG3238" s="23"/>
      <c r="AH3238" s="23"/>
      <c r="AI3238" s="23"/>
      <c r="AJ3238" s="23"/>
      <c r="AK3238" s="23">
        <v>42</v>
      </c>
      <c r="AL3238" s="23"/>
      <c r="AM3238" s="23"/>
      <c r="AN3238" s="23"/>
      <c r="AO3238" s="23"/>
      <c r="AP3238" s="23"/>
      <c r="AQ3238" s="23"/>
      <c r="AR3238" s="23"/>
      <c r="AS3238" s="23">
        <v>33</v>
      </c>
      <c r="AT3238" s="23">
        <v>12</v>
      </c>
      <c r="AU3238" s="14" t="str">
        <f>HYPERLINK("http://www.openstreetmap.org/?mlat=34.6003&amp;mlon=43.6756&amp;zoom=12#map=12/34.6003/43.6756","Maplink1")</f>
        <v>Maplink1</v>
      </c>
      <c r="AV3238" s="14" t="str">
        <f>HYPERLINK("https://www.google.iq/maps/search/+34.6003,43.6756/@34.6003,43.6756,14z?hl=en","Maplink2")</f>
        <v>Maplink2</v>
      </c>
      <c r="AW3238" s="14" t="str">
        <f>HYPERLINK("http://www.bing.com/maps/?lvl=14&amp;sty=h&amp;cp=34.6003~43.6756&amp;sp=point.34.6003_43.6756_Al Angaa","Maplink3")</f>
        <v>Maplink3</v>
      </c>
    </row>
    <row r="3239" spans="1:49" ht="15" customHeight="1" x14ac:dyDescent="0.25">
      <c r="A3239" s="21">
        <v>22058</v>
      </c>
      <c r="B3239" s="22" t="s">
        <v>23</v>
      </c>
      <c r="C3239" s="22" t="s">
        <v>6180</v>
      </c>
      <c r="D3239" s="22" t="s">
        <v>9133</v>
      </c>
      <c r="E3239" s="22" t="s">
        <v>9134</v>
      </c>
      <c r="F3239" s="22">
        <v>34.600582269999997</v>
      </c>
      <c r="G3239" s="22">
        <v>43.653466680000001</v>
      </c>
      <c r="H3239" s="21" t="s">
        <v>6031</v>
      </c>
      <c r="I3239" s="21" t="s">
        <v>6182</v>
      </c>
      <c r="J3239" s="21" t="s">
        <v>6225</v>
      </c>
      <c r="K3239" s="24">
        <v>493</v>
      </c>
      <c r="L3239" s="24">
        <v>2958</v>
      </c>
      <c r="M3239" s="23"/>
      <c r="N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>
        <v>10</v>
      </c>
      <c r="Z3239" s="23"/>
      <c r="AA3239" s="23">
        <v>483</v>
      </c>
      <c r="AB3239" s="23"/>
      <c r="AC3239" s="23"/>
      <c r="AD3239" s="23"/>
      <c r="AE3239" s="23"/>
      <c r="AF3239" s="23">
        <v>31</v>
      </c>
      <c r="AG3239" s="23"/>
      <c r="AH3239" s="23"/>
      <c r="AI3239" s="23"/>
      <c r="AJ3239" s="23"/>
      <c r="AK3239" s="23">
        <v>10</v>
      </c>
      <c r="AL3239" s="23">
        <v>30</v>
      </c>
      <c r="AM3239" s="23">
        <v>422</v>
      </c>
      <c r="AN3239" s="23"/>
      <c r="AO3239" s="23"/>
      <c r="AP3239" s="23"/>
      <c r="AQ3239" s="23"/>
      <c r="AR3239" s="23"/>
      <c r="AS3239" s="23">
        <v>22</v>
      </c>
      <c r="AT3239" s="23">
        <v>471</v>
      </c>
      <c r="AU3239" s="14" t="str">
        <f>HYPERLINK("http://www.openstreetmap.org/?mlat=34.5997&amp;mlon=43.6534&amp;zoom=12#map=12/34.5997/43.6534","Maplink1")</f>
        <v>Maplink1</v>
      </c>
      <c r="AV3239" s="14" t="str">
        <f>HYPERLINK("https://www.google.iq/maps/search/+34.5997,43.6534/@34.5997,43.6534,14z?hl=en","Maplink2")</f>
        <v>Maplink2</v>
      </c>
      <c r="AW3239" s="14" t="str">
        <f>HYPERLINK("http://www.bing.com/maps/?lvl=14&amp;sty=h&amp;cp=34.5997~43.6534&amp;sp=point.34.5997_43.6534_Hay Aldiuom","Maplink3")</f>
        <v>Maplink3</v>
      </c>
    </row>
    <row r="3240" spans="1:49" ht="15" customHeight="1" x14ac:dyDescent="0.25">
      <c r="A3240" s="21">
        <v>27369</v>
      </c>
      <c r="B3240" s="22" t="s">
        <v>23</v>
      </c>
      <c r="C3240" s="22" t="s">
        <v>6180</v>
      </c>
      <c r="D3240" s="22" t="s">
        <v>8254</v>
      </c>
      <c r="E3240" s="22" t="s">
        <v>8255</v>
      </c>
      <c r="F3240" s="22">
        <v>34.589801450000003</v>
      </c>
      <c r="G3240" s="22">
        <v>43.664852119999999</v>
      </c>
      <c r="H3240" s="21" t="s">
        <v>6031</v>
      </c>
      <c r="I3240" s="21" t="s">
        <v>6182</v>
      </c>
      <c r="J3240" s="21"/>
      <c r="K3240" s="24">
        <v>942</v>
      </c>
      <c r="L3240" s="24">
        <v>5652</v>
      </c>
      <c r="M3240" s="23"/>
      <c r="N3240" s="23"/>
      <c r="O3240" s="23"/>
      <c r="P3240" s="23"/>
      <c r="Q3240" s="23"/>
      <c r="R3240" s="23"/>
      <c r="S3240" s="23"/>
      <c r="T3240" s="23"/>
      <c r="U3240" s="23">
        <v>24</v>
      </c>
      <c r="V3240" s="23"/>
      <c r="W3240" s="23"/>
      <c r="X3240" s="23"/>
      <c r="Y3240" s="23"/>
      <c r="Z3240" s="23"/>
      <c r="AA3240" s="23">
        <v>918</v>
      </c>
      <c r="AB3240" s="23"/>
      <c r="AC3240" s="23"/>
      <c r="AD3240" s="23"/>
      <c r="AE3240" s="23"/>
      <c r="AF3240" s="23">
        <v>360</v>
      </c>
      <c r="AG3240" s="23"/>
      <c r="AH3240" s="23">
        <v>467</v>
      </c>
      <c r="AI3240" s="23"/>
      <c r="AJ3240" s="23"/>
      <c r="AK3240" s="23">
        <v>115</v>
      </c>
      <c r="AL3240" s="23"/>
      <c r="AM3240" s="23"/>
      <c r="AN3240" s="23"/>
      <c r="AO3240" s="23"/>
      <c r="AP3240" s="23"/>
      <c r="AQ3240" s="23"/>
      <c r="AR3240" s="23"/>
      <c r="AS3240" s="23">
        <v>215</v>
      </c>
      <c r="AT3240" s="23">
        <v>727</v>
      </c>
      <c r="AU3240" s="14" t="str">
        <f>HYPERLINK("http://www.openstreetmap.org/?mlat=34.588&amp;mlon=43.666&amp;zoom=12#map=12/34.588/43.666","Maplink1")</f>
        <v>Maplink1</v>
      </c>
      <c r="AV3240" s="14" t="str">
        <f>HYPERLINK("https://www.google.iq/maps/search/+34.588,43.666/@34.588,43.666,14z?hl=en","Maplink2")</f>
        <v>Maplink2</v>
      </c>
      <c r="AW3240" s="14" t="str">
        <f>HYPERLINK("http://www.bing.com/maps/?lvl=14&amp;sty=h&amp;cp=34.588~43.666&amp;sp=point.34.588_43.666_Hay Alfirdous","Maplink3")</f>
        <v>Maplink3</v>
      </c>
    </row>
    <row r="3241" spans="1:49" ht="15" customHeight="1" x14ac:dyDescent="0.25">
      <c r="A3241" s="21">
        <v>27368</v>
      </c>
      <c r="B3241" s="22" t="s">
        <v>23</v>
      </c>
      <c r="C3241" s="22" t="s">
        <v>6180</v>
      </c>
      <c r="D3241" s="22" t="s">
        <v>6226</v>
      </c>
      <c r="E3241" s="22" t="s">
        <v>6227</v>
      </c>
      <c r="F3241" s="22">
        <v>34.604627440000002</v>
      </c>
      <c r="G3241" s="22">
        <v>43.661955089999999</v>
      </c>
      <c r="H3241" s="21" t="s">
        <v>6031</v>
      </c>
      <c r="I3241" s="21" t="s">
        <v>6182</v>
      </c>
      <c r="J3241" s="21"/>
      <c r="K3241" s="24">
        <v>51</v>
      </c>
      <c r="L3241" s="24">
        <v>306</v>
      </c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>
        <v>51</v>
      </c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>
        <v>33</v>
      </c>
      <c r="AL3241" s="23"/>
      <c r="AM3241" s="23">
        <v>18</v>
      </c>
      <c r="AN3241" s="23"/>
      <c r="AO3241" s="23"/>
      <c r="AP3241" s="23"/>
      <c r="AQ3241" s="23"/>
      <c r="AR3241" s="23"/>
      <c r="AS3241" s="23">
        <v>6</v>
      </c>
      <c r="AT3241" s="23">
        <v>45</v>
      </c>
      <c r="AU3241" s="14" t="str">
        <f>HYPERLINK("http://www.openstreetmap.org/?mlat=34.608&amp;mlon=43.6672&amp;zoom=12#map=12/34.608/43.6672","Maplink1")</f>
        <v>Maplink1</v>
      </c>
      <c r="AV3241" s="14" t="str">
        <f>HYPERLINK("https://www.google.iq/maps/search/+34.608,43.6672/@34.608,43.6672,14z?hl=en","Maplink2")</f>
        <v>Maplink2</v>
      </c>
      <c r="AW3241" s="14" t="str">
        <f>HYPERLINK("http://www.bing.com/maps/?lvl=14&amp;sty=h&amp;cp=34.608~43.6672&amp;sp=point.34.608_43.6672_Hay Alkahrbaa","Maplink3")</f>
        <v>Maplink3</v>
      </c>
    </row>
    <row r="3242" spans="1:49" ht="15" customHeight="1" x14ac:dyDescent="0.25">
      <c r="A3242" s="21">
        <v>22965</v>
      </c>
      <c r="B3242" s="22" t="s">
        <v>23</v>
      </c>
      <c r="C3242" s="22" t="s">
        <v>6180</v>
      </c>
      <c r="D3242" s="22" t="s">
        <v>6228</v>
      </c>
      <c r="E3242" s="22" t="s">
        <v>8102</v>
      </c>
      <c r="F3242" s="22">
        <v>34.604444149999999</v>
      </c>
      <c r="G3242" s="22">
        <v>43.685085970000003</v>
      </c>
      <c r="H3242" s="21" t="s">
        <v>6031</v>
      </c>
      <c r="I3242" s="21" t="s">
        <v>6182</v>
      </c>
      <c r="J3242" s="21" t="s">
        <v>6229</v>
      </c>
      <c r="K3242" s="24">
        <v>1055</v>
      </c>
      <c r="L3242" s="24">
        <v>6330</v>
      </c>
      <c r="M3242" s="23"/>
      <c r="N3242" s="23"/>
      <c r="O3242" s="23"/>
      <c r="P3242" s="23"/>
      <c r="Q3242" s="23"/>
      <c r="R3242" s="23"/>
      <c r="S3242" s="23"/>
      <c r="T3242" s="23"/>
      <c r="U3242" s="23">
        <v>7</v>
      </c>
      <c r="V3242" s="23"/>
      <c r="W3242" s="23"/>
      <c r="X3242" s="23"/>
      <c r="Y3242" s="23">
        <v>42</v>
      </c>
      <c r="Z3242" s="23"/>
      <c r="AA3242" s="23">
        <v>1006</v>
      </c>
      <c r="AB3242" s="23"/>
      <c r="AC3242" s="23"/>
      <c r="AD3242" s="23"/>
      <c r="AE3242" s="23"/>
      <c r="AF3242" s="23">
        <v>22</v>
      </c>
      <c r="AG3242" s="23"/>
      <c r="AH3242" s="23">
        <v>560</v>
      </c>
      <c r="AI3242" s="23"/>
      <c r="AJ3242" s="23"/>
      <c r="AK3242" s="23">
        <v>50</v>
      </c>
      <c r="AL3242" s="23"/>
      <c r="AM3242" s="23">
        <v>423</v>
      </c>
      <c r="AN3242" s="23"/>
      <c r="AO3242" s="23"/>
      <c r="AP3242" s="23"/>
      <c r="AQ3242" s="23"/>
      <c r="AR3242" s="23"/>
      <c r="AS3242" s="23">
        <v>30</v>
      </c>
      <c r="AT3242" s="23">
        <v>1025</v>
      </c>
      <c r="AU3242" s="14" t="str">
        <f>HYPERLINK("http://www.openstreetmap.org/?mlat=34.6035&amp;mlon=43.6862&amp;zoom=12#map=12/34.6035/43.6862","Maplink1")</f>
        <v>Maplink1</v>
      </c>
      <c r="AV3242" s="14" t="str">
        <f>HYPERLINK("https://www.google.iq/maps/search/+34.6035,43.6862/@34.6035,43.6862,14z?hl=en","Maplink2")</f>
        <v>Maplink2</v>
      </c>
      <c r="AW3242" s="14" t="str">
        <f>HYPERLINK("http://www.bing.com/maps/?lvl=14&amp;sty=h&amp;cp=34.6035~43.6862&amp;sp=point.34.6035_43.6862_Hay Alqalaa","Maplink3")</f>
        <v>Maplink3</v>
      </c>
    </row>
    <row r="3243" spans="1:49" ht="15" customHeight="1" x14ac:dyDescent="0.25">
      <c r="A3243" s="21">
        <v>20663</v>
      </c>
      <c r="B3243" s="22" t="s">
        <v>23</v>
      </c>
      <c r="C3243" s="22" t="s">
        <v>6180</v>
      </c>
      <c r="D3243" s="22" t="s">
        <v>9135</v>
      </c>
      <c r="E3243" s="22" t="s">
        <v>6230</v>
      </c>
      <c r="F3243" s="22">
        <v>34.581973419999997</v>
      </c>
      <c r="G3243" s="22">
        <v>43.678329920000003</v>
      </c>
      <c r="H3243" s="21" t="s">
        <v>6031</v>
      </c>
      <c r="I3243" s="21" t="s">
        <v>6182</v>
      </c>
      <c r="J3243" s="21" t="s">
        <v>6231</v>
      </c>
      <c r="K3243" s="24">
        <v>215</v>
      </c>
      <c r="L3243" s="24">
        <v>1290</v>
      </c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>
        <v>9</v>
      </c>
      <c r="Z3243" s="23"/>
      <c r="AA3243" s="23">
        <v>206</v>
      </c>
      <c r="AB3243" s="23"/>
      <c r="AC3243" s="23"/>
      <c r="AD3243" s="23"/>
      <c r="AE3243" s="23"/>
      <c r="AF3243" s="23">
        <v>25</v>
      </c>
      <c r="AG3243" s="23"/>
      <c r="AH3243" s="23">
        <v>39</v>
      </c>
      <c r="AI3243" s="23"/>
      <c r="AJ3243" s="23"/>
      <c r="AK3243" s="23">
        <v>90</v>
      </c>
      <c r="AL3243" s="23">
        <v>28</v>
      </c>
      <c r="AM3243" s="23">
        <v>33</v>
      </c>
      <c r="AN3243" s="23"/>
      <c r="AO3243" s="23"/>
      <c r="AP3243" s="23"/>
      <c r="AQ3243" s="23"/>
      <c r="AR3243" s="23"/>
      <c r="AS3243" s="23">
        <v>105</v>
      </c>
      <c r="AT3243" s="23">
        <v>110</v>
      </c>
      <c r="AU3243" s="14" t="str">
        <f>HYPERLINK("http://www.openstreetmap.org/?mlat=34.5872&amp;mlon=43.6826&amp;zoom=12#map=12/34.5872/43.6826","Maplink1")</f>
        <v>Maplink1</v>
      </c>
      <c r="AV3243" s="14" t="str">
        <f>HYPERLINK("https://www.google.iq/maps/search/+34.5872,43.6826/@34.5872,43.6826,14z?hl=en","Maplink2")</f>
        <v>Maplink2</v>
      </c>
      <c r="AW3243" s="14" t="str">
        <f>HYPERLINK("http://www.bing.com/maps/?lvl=14&amp;sty=h&amp;cp=34.5872~43.6826&amp;sp=point.34.5872_43.6826_Hay Altajneed","Maplink3")</f>
        <v>Maplink3</v>
      </c>
    </row>
    <row r="3244" spans="1:49" ht="15" customHeight="1" x14ac:dyDescent="0.25">
      <c r="A3244" s="21">
        <v>27367</v>
      </c>
      <c r="B3244" s="22" t="s">
        <v>23</v>
      </c>
      <c r="C3244" s="22" t="s">
        <v>6180</v>
      </c>
      <c r="D3244" s="22" t="s">
        <v>6232</v>
      </c>
      <c r="E3244" s="22" t="s">
        <v>3553</v>
      </c>
      <c r="F3244" s="22">
        <v>34.584929500000001</v>
      </c>
      <c r="G3244" s="22">
        <v>43.682541399999998</v>
      </c>
      <c r="H3244" s="21" t="s">
        <v>6031</v>
      </c>
      <c r="I3244" s="21" t="s">
        <v>6182</v>
      </c>
      <c r="J3244" s="21"/>
      <c r="K3244" s="24">
        <v>98</v>
      </c>
      <c r="L3244" s="24">
        <v>588</v>
      </c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>
        <v>98</v>
      </c>
      <c r="AB3244" s="23"/>
      <c r="AC3244" s="23"/>
      <c r="AD3244" s="23"/>
      <c r="AE3244" s="23"/>
      <c r="AF3244" s="23">
        <v>10</v>
      </c>
      <c r="AG3244" s="23"/>
      <c r="AH3244" s="23"/>
      <c r="AI3244" s="23"/>
      <c r="AJ3244" s="23"/>
      <c r="AK3244" s="23">
        <v>52</v>
      </c>
      <c r="AL3244" s="23"/>
      <c r="AM3244" s="23">
        <v>36</v>
      </c>
      <c r="AN3244" s="23"/>
      <c r="AO3244" s="23"/>
      <c r="AP3244" s="23"/>
      <c r="AQ3244" s="23"/>
      <c r="AR3244" s="23"/>
      <c r="AS3244" s="23">
        <v>41</v>
      </c>
      <c r="AT3244" s="23">
        <v>57</v>
      </c>
      <c r="AU3244" s="14" t="str">
        <f>HYPERLINK("http://www.openstreetmap.org/?mlat=34.5844&amp;mlon=43.6832&amp;zoom=12#map=12/34.5844/43.6832","Maplink1")</f>
        <v>Maplink1</v>
      </c>
      <c r="AV3244" s="14" t="str">
        <f>HYPERLINK("https://www.google.iq/maps/search/+34.5844,43.6832/@34.5844,43.6832,14z?hl=en","Maplink2")</f>
        <v>Maplink2</v>
      </c>
      <c r="AW3244" s="14" t="str">
        <f>HYPERLINK("http://www.bing.com/maps/?lvl=14&amp;sty=h&amp;cp=34.5844~43.6832&amp;sp=point.34.5844_43.6832_Hay Alziraa","Maplink3")</f>
        <v>Maplink3</v>
      </c>
    </row>
    <row r="3245" spans="1:49" ht="15" customHeight="1" x14ac:dyDescent="0.25">
      <c r="A3245" s="21">
        <v>20624</v>
      </c>
      <c r="B3245" s="22" t="s">
        <v>23</v>
      </c>
      <c r="C3245" s="22" t="s">
        <v>6180</v>
      </c>
      <c r="D3245" s="22" t="s">
        <v>9136</v>
      </c>
      <c r="E3245" s="22" t="s">
        <v>9137</v>
      </c>
      <c r="F3245" s="22">
        <v>34.582677920000002</v>
      </c>
      <c r="G3245" s="22">
        <v>43.68829058</v>
      </c>
      <c r="H3245" s="21" t="s">
        <v>6031</v>
      </c>
      <c r="I3245" s="21" t="s">
        <v>6182</v>
      </c>
      <c r="J3245" s="21" t="s">
        <v>6206</v>
      </c>
      <c r="K3245" s="24">
        <v>265</v>
      </c>
      <c r="L3245" s="24">
        <v>1590</v>
      </c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>
        <v>15</v>
      </c>
      <c r="Z3245" s="23"/>
      <c r="AA3245" s="23">
        <v>250</v>
      </c>
      <c r="AB3245" s="23"/>
      <c r="AC3245" s="23"/>
      <c r="AD3245" s="23"/>
      <c r="AE3245" s="23"/>
      <c r="AF3245" s="23">
        <v>167</v>
      </c>
      <c r="AG3245" s="23"/>
      <c r="AH3245" s="23">
        <v>55</v>
      </c>
      <c r="AI3245" s="23"/>
      <c r="AJ3245" s="23"/>
      <c r="AK3245" s="23">
        <v>13</v>
      </c>
      <c r="AL3245" s="23"/>
      <c r="AM3245" s="23">
        <v>30</v>
      </c>
      <c r="AN3245" s="23"/>
      <c r="AO3245" s="23"/>
      <c r="AP3245" s="23"/>
      <c r="AQ3245" s="23"/>
      <c r="AR3245" s="23"/>
      <c r="AS3245" s="23">
        <v>21</v>
      </c>
      <c r="AT3245" s="23">
        <v>244</v>
      </c>
      <c r="AU3245" s="14" t="str">
        <f>HYPERLINK("http://www.openstreetmap.org/?mlat=34.5815&amp;mlon=43.6894&amp;zoom=12#map=12/34.5815/43.6894","Maplink1")</f>
        <v>Maplink1</v>
      </c>
      <c r="AV3245" s="14" t="str">
        <f>HYPERLINK("https://www.google.iq/maps/search/+34.5815,43.6894/@34.5815,43.6894,14z?hl=en","Maplink2")</f>
        <v>Maplink2</v>
      </c>
      <c r="AW3245" s="14" t="str">
        <f>HYPERLINK("http://www.bing.com/maps/?lvl=14&amp;sty=h&amp;cp=34.5815~43.6894&amp;sp=point.34.5815_43.6894_Hay 100 dar","Maplink3")</f>
        <v>Maplink3</v>
      </c>
    </row>
    <row r="3246" spans="1:49" ht="15" customHeight="1" x14ac:dyDescent="0.25">
      <c r="A3246" s="21">
        <v>25962</v>
      </c>
      <c r="B3246" s="22" t="s">
        <v>23</v>
      </c>
      <c r="C3246" s="22" t="s">
        <v>6180</v>
      </c>
      <c r="D3246" s="22" t="s">
        <v>9138</v>
      </c>
      <c r="E3246" s="22" t="s">
        <v>8103</v>
      </c>
      <c r="F3246" s="22">
        <v>34.612176759999997</v>
      </c>
      <c r="G3246" s="22">
        <v>43.680861129999997</v>
      </c>
      <c r="H3246" s="21" t="s">
        <v>6031</v>
      </c>
      <c r="I3246" s="21" t="s">
        <v>6182</v>
      </c>
      <c r="J3246" s="21"/>
      <c r="K3246" s="24">
        <v>283</v>
      </c>
      <c r="L3246" s="24">
        <v>1698</v>
      </c>
      <c r="M3246" s="23"/>
      <c r="N3246" s="23"/>
      <c r="O3246" s="23"/>
      <c r="P3246" s="23"/>
      <c r="Q3246" s="23"/>
      <c r="R3246" s="23"/>
      <c r="S3246" s="23"/>
      <c r="T3246" s="23"/>
      <c r="U3246" s="23">
        <v>10</v>
      </c>
      <c r="V3246" s="23"/>
      <c r="W3246" s="23"/>
      <c r="X3246" s="23"/>
      <c r="Y3246" s="23">
        <v>36</v>
      </c>
      <c r="Z3246" s="23"/>
      <c r="AA3246" s="23">
        <v>237</v>
      </c>
      <c r="AB3246" s="23"/>
      <c r="AC3246" s="23"/>
      <c r="AD3246" s="23"/>
      <c r="AE3246" s="23"/>
      <c r="AF3246" s="23">
        <v>70</v>
      </c>
      <c r="AG3246" s="23"/>
      <c r="AH3246" s="23">
        <v>60</v>
      </c>
      <c r="AI3246" s="23"/>
      <c r="AJ3246" s="23"/>
      <c r="AK3246" s="23">
        <v>35</v>
      </c>
      <c r="AL3246" s="23">
        <v>39</v>
      </c>
      <c r="AM3246" s="23">
        <v>79</v>
      </c>
      <c r="AN3246" s="23"/>
      <c r="AO3246" s="23"/>
      <c r="AP3246" s="23"/>
      <c r="AQ3246" s="23"/>
      <c r="AR3246" s="23"/>
      <c r="AS3246" s="23">
        <v>20</v>
      </c>
      <c r="AT3246" s="23">
        <v>263</v>
      </c>
      <c r="AU3246" s="14" t="str">
        <f>HYPERLINK("http://www.openstreetmap.org/?mlat=34.6105&amp;mlon=43.6783&amp;zoom=12#map=12/34.6105/43.6783","Maplink1")</f>
        <v>Maplink1</v>
      </c>
      <c r="AV3246" s="14" t="str">
        <f>HYPERLINK("https://www.google.iq/maps/search/+34.6105,43.6783/@34.6105,43.6783,14z?hl=en","Maplink2")</f>
        <v>Maplink2</v>
      </c>
      <c r="AW3246" s="14" t="str">
        <f>HYPERLINK("http://www.bing.com/maps/?lvl=14&amp;sty=h&amp;cp=34.6105~43.6783&amp;sp=point.34.6105_43.6783_Hay salma Al-taghlubiyah -mahalla 401","Maplink3")</f>
        <v>Maplink3</v>
      </c>
    </row>
    <row r="3247" spans="1:49" ht="15" customHeight="1" x14ac:dyDescent="0.25">
      <c r="A3247" s="21">
        <v>22966</v>
      </c>
      <c r="B3247" s="22" t="s">
        <v>23</v>
      </c>
      <c r="C3247" s="22" t="s">
        <v>6180</v>
      </c>
      <c r="D3247" s="22" t="s">
        <v>9139</v>
      </c>
      <c r="E3247" s="22" t="s">
        <v>9140</v>
      </c>
      <c r="F3247" s="22">
        <v>34.588332110000003</v>
      </c>
      <c r="G3247" s="22">
        <v>43.681835020000001</v>
      </c>
      <c r="H3247" s="21" t="s">
        <v>6031</v>
      </c>
      <c r="I3247" s="21" t="s">
        <v>6182</v>
      </c>
      <c r="J3247" s="21" t="s">
        <v>6233</v>
      </c>
      <c r="K3247" s="24">
        <v>314</v>
      </c>
      <c r="L3247" s="24">
        <v>1884</v>
      </c>
      <c r="M3247" s="23">
        <v>8</v>
      </c>
      <c r="N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>
        <v>11</v>
      </c>
      <c r="Z3247" s="23"/>
      <c r="AA3247" s="23">
        <v>295</v>
      </c>
      <c r="AB3247" s="23"/>
      <c r="AC3247" s="23"/>
      <c r="AD3247" s="23"/>
      <c r="AE3247" s="23"/>
      <c r="AF3247" s="23">
        <v>187</v>
      </c>
      <c r="AG3247" s="23"/>
      <c r="AH3247" s="23"/>
      <c r="AI3247" s="23"/>
      <c r="AJ3247" s="23"/>
      <c r="AK3247" s="23">
        <v>95</v>
      </c>
      <c r="AL3247" s="23"/>
      <c r="AM3247" s="23">
        <v>32</v>
      </c>
      <c r="AN3247" s="23"/>
      <c r="AO3247" s="23"/>
      <c r="AP3247" s="23"/>
      <c r="AQ3247" s="23"/>
      <c r="AR3247" s="23"/>
      <c r="AS3247" s="23">
        <v>49</v>
      </c>
      <c r="AT3247" s="23">
        <v>265</v>
      </c>
      <c r="AU3247" s="14" t="str">
        <f>HYPERLINK("http://www.openstreetmap.org/?mlat=34.6091&amp;mlon=43.6748&amp;zoom=12#map=12/34.6091/43.6748","Maplink1")</f>
        <v>Maplink1</v>
      </c>
      <c r="AV3247" s="14" t="str">
        <f>HYPERLINK("https://www.google.iq/maps/search/+34.6091,43.6748/@34.6091,43.6748,14z?hl=en","Maplink2")</f>
        <v>Maplink2</v>
      </c>
      <c r="AW3247" s="14" t="str">
        <f>HYPERLINK("http://www.bing.com/maps/?lvl=14&amp;sty=h&amp;cp=34.6091~43.6748&amp;sp=point.34.6091_43.6748_Hay Shishin-408","Maplink3")</f>
        <v>Maplink3</v>
      </c>
    </row>
    <row r="3248" spans="1:49" ht="15" customHeight="1" x14ac:dyDescent="0.25">
      <c r="A3248" s="21">
        <v>28449</v>
      </c>
      <c r="B3248" s="22" t="s">
        <v>23</v>
      </c>
      <c r="C3248" s="22" t="s">
        <v>6180</v>
      </c>
      <c r="D3248" s="22" t="s">
        <v>8256</v>
      </c>
      <c r="E3248" s="22" t="s">
        <v>9141</v>
      </c>
      <c r="F3248" s="22">
        <v>34.699296169999997</v>
      </c>
      <c r="G3248" s="22">
        <v>43.709547559999997</v>
      </c>
      <c r="H3248" s="21" t="s">
        <v>6031</v>
      </c>
      <c r="I3248" s="21" t="s">
        <v>6182</v>
      </c>
      <c r="J3248" s="21"/>
      <c r="K3248" s="24">
        <v>253</v>
      </c>
      <c r="L3248" s="24">
        <v>1518</v>
      </c>
      <c r="M3248" s="23"/>
      <c r="N3248" s="23"/>
      <c r="O3248" s="23"/>
      <c r="P3248" s="23"/>
      <c r="Q3248" s="23"/>
      <c r="R3248" s="23"/>
      <c r="S3248" s="23"/>
      <c r="T3248" s="23"/>
      <c r="U3248" s="23">
        <v>110</v>
      </c>
      <c r="V3248" s="23"/>
      <c r="W3248" s="23"/>
      <c r="X3248" s="23"/>
      <c r="Y3248" s="23"/>
      <c r="Z3248" s="23"/>
      <c r="AA3248" s="23">
        <v>143</v>
      </c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>
        <v>210</v>
      </c>
      <c r="AL3248" s="23">
        <v>43</v>
      </c>
      <c r="AM3248" s="23"/>
      <c r="AN3248" s="23"/>
      <c r="AO3248" s="23"/>
      <c r="AP3248" s="23"/>
      <c r="AQ3248" s="23"/>
      <c r="AR3248" s="23"/>
      <c r="AS3248" s="23">
        <v>210</v>
      </c>
      <c r="AT3248" s="23">
        <v>43</v>
      </c>
      <c r="AU3248" s="14" t="str">
        <f>HYPERLINK("http://www.openstreetmap.org/?mlat=34.7009&amp;mlon=43.7139&amp;zoom=12#map=12/34.7009/43.7139","Maplink1")</f>
        <v>Maplink1</v>
      </c>
      <c r="AV3248" s="14" t="str">
        <f>HYPERLINK("https://www.google.iq/maps/search/+34.7009,43.7139/@34.7009,43.7139,14z?hl=en","Maplink2")</f>
        <v>Maplink2</v>
      </c>
      <c r="AW3248" s="14" t="str">
        <f>HYPERLINK("http://www.bing.com/maps/?lvl=14&amp;sty=h&amp;cp=34.7009~43.7139&amp;sp=point.34.7009_43.7139_Al Angaa","Maplink3")</f>
        <v>Maplink3</v>
      </c>
    </row>
    <row r="3249" spans="1:49" ht="15" customHeight="1" x14ac:dyDescent="0.25">
      <c r="A3249" s="21">
        <v>22470</v>
      </c>
      <c r="B3249" s="22" t="s">
        <v>23</v>
      </c>
      <c r="C3249" s="22" t="s">
        <v>6180</v>
      </c>
      <c r="D3249" s="22" t="s">
        <v>6234</v>
      </c>
      <c r="E3249" s="22" t="s">
        <v>9142</v>
      </c>
      <c r="F3249" s="22">
        <v>34.868250000000003</v>
      </c>
      <c r="G3249" s="22">
        <v>43.712161100000003</v>
      </c>
      <c r="H3249" s="21" t="s">
        <v>6031</v>
      </c>
      <c r="I3249" s="21" t="s">
        <v>6182</v>
      </c>
      <c r="J3249" s="21" t="s">
        <v>6235</v>
      </c>
      <c r="K3249" s="24">
        <v>205</v>
      </c>
      <c r="L3249" s="24">
        <v>1230</v>
      </c>
      <c r="M3249" s="23"/>
      <c r="N3249" s="23"/>
      <c r="O3249" s="23"/>
      <c r="P3249" s="23"/>
      <c r="Q3249" s="23"/>
      <c r="R3249" s="23"/>
      <c r="S3249" s="23"/>
      <c r="T3249" s="23"/>
      <c r="U3249" s="23">
        <v>70</v>
      </c>
      <c r="V3249" s="23"/>
      <c r="W3249" s="23"/>
      <c r="X3249" s="23"/>
      <c r="Y3249" s="23"/>
      <c r="Z3249" s="23"/>
      <c r="AA3249" s="23">
        <v>135</v>
      </c>
      <c r="AB3249" s="23"/>
      <c r="AC3249" s="23"/>
      <c r="AD3249" s="23"/>
      <c r="AE3249" s="23"/>
      <c r="AF3249" s="23">
        <v>37</v>
      </c>
      <c r="AG3249" s="23"/>
      <c r="AH3249" s="23">
        <v>30</v>
      </c>
      <c r="AI3249" s="23"/>
      <c r="AJ3249" s="23"/>
      <c r="AK3249" s="23">
        <v>35</v>
      </c>
      <c r="AL3249" s="23">
        <v>8</v>
      </c>
      <c r="AM3249" s="23">
        <v>95</v>
      </c>
      <c r="AN3249" s="23"/>
      <c r="AO3249" s="23"/>
      <c r="AP3249" s="23"/>
      <c r="AQ3249" s="23"/>
      <c r="AR3249" s="23"/>
      <c r="AS3249" s="23">
        <v>205</v>
      </c>
      <c r="AT3249" s="23"/>
      <c r="AU3249" s="14" t="str">
        <f>HYPERLINK("http://www.openstreetmap.org/?mlat=34.7051&amp;mlon=43.7053&amp;zoom=12#map=12/34.7051/43.7053","Maplink1")</f>
        <v>Maplink1</v>
      </c>
      <c r="AV3249" s="14" t="str">
        <f>HYPERLINK("https://www.google.iq/maps/search/+34.7051,43.7053/@34.7051,43.7053,14z?hl=en","Maplink2")</f>
        <v>Maplink2</v>
      </c>
      <c r="AW3249" s="14" t="str">
        <f>HYPERLINK("http://www.bing.com/maps/?lvl=14&amp;sty=h&amp;cp=34.7051~43.7053&amp;sp=point.34.7051_43.7053_Mahalla Al muwadafeen","Maplink3")</f>
        <v>Maplink3</v>
      </c>
    </row>
    <row r="3250" spans="1:49" ht="15" customHeight="1" x14ac:dyDescent="0.25">
      <c r="A3250" s="21">
        <v>22059</v>
      </c>
      <c r="B3250" s="22" t="s">
        <v>23</v>
      </c>
      <c r="C3250" s="22" t="s">
        <v>6180</v>
      </c>
      <c r="D3250" s="22" t="s">
        <v>6236</v>
      </c>
      <c r="E3250" s="22" t="s">
        <v>9143</v>
      </c>
      <c r="F3250" s="22">
        <v>34.791057000000002</v>
      </c>
      <c r="G3250" s="22">
        <v>43.619826750000001</v>
      </c>
      <c r="H3250" s="21" t="s">
        <v>6031</v>
      </c>
      <c r="I3250" s="21" t="s">
        <v>6182</v>
      </c>
      <c r="J3250" s="21" t="s">
        <v>6237</v>
      </c>
      <c r="K3250" s="24">
        <v>761</v>
      </c>
      <c r="L3250" s="24">
        <v>4566</v>
      </c>
      <c r="M3250" s="23"/>
      <c r="N3250" s="23"/>
      <c r="O3250" s="23"/>
      <c r="P3250" s="23"/>
      <c r="Q3250" s="23"/>
      <c r="R3250" s="23"/>
      <c r="S3250" s="23"/>
      <c r="T3250" s="23"/>
      <c r="U3250" s="23">
        <v>164</v>
      </c>
      <c r="V3250" s="23"/>
      <c r="W3250" s="23"/>
      <c r="X3250" s="23"/>
      <c r="Y3250" s="23">
        <v>22</v>
      </c>
      <c r="Z3250" s="23"/>
      <c r="AA3250" s="23">
        <v>575</v>
      </c>
      <c r="AB3250" s="23"/>
      <c r="AC3250" s="23"/>
      <c r="AD3250" s="23"/>
      <c r="AE3250" s="23"/>
      <c r="AF3250" s="23">
        <v>55</v>
      </c>
      <c r="AG3250" s="23"/>
      <c r="AH3250" s="23"/>
      <c r="AI3250" s="23"/>
      <c r="AJ3250" s="23"/>
      <c r="AK3250" s="23">
        <v>445</v>
      </c>
      <c r="AL3250" s="23"/>
      <c r="AM3250" s="23">
        <v>261</v>
      </c>
      <c r="AN3250" s="23"/>
      <c r="AO3250" s="23"/>
      <c r="AP3250" s="23"/>
      <c r="AQ3250" s="23">
        <v>22</v>
      </c>
      <c r="AR3250" s="23"/>
      <c r="AS3250" s="23">
        <v>390</v>
      </c>
      <c r="AT3250" s="23">
        <v>349</v>
      </c>
      <c r="AU3250" s="14" t="str">
        <f>HYPERLINK("http://www.openstreetmap.org/?mlat=34.7926&amp;mlon=43.6114&amp;zoom=12#map=12/34.7926/43.6114","Maplink1")</f>
        <v>Maplink1</v>
      </c>
      <c r="AV3250" s="14" t="str">
        <f>HYPERLINK("https://www.google.iq/maps/search/+34.7926,43.6114/@34.7926,43.6114,14z?hl=en","Maplink2")</f>
        <v>Maplink2</v>
      </c>
      <c r="AW3250" s="14" t="str">
        <f>HYPERLINK("http://www.bing.com/maps/?lvl=14&amp;sty=h&amp;cp=34.7926~43.6114&amp;sp=point.34.7926_43.6114_Qaryat Erbaidha","Maplink3")</f>
        <v>Maplink3</v>
      </c>
    </row>
    <row r="3251" spans="1:49" ht="15" customHeight="1" x14ac:dyDescent="0.25">
      <c r="A3251" s="21">
        <v>25922</v>
      </c>
      <c r="B3251" s="22" t="s">
        <v>23</v>
      </c>
      <c r="C3251" s="22" t="s">
        <v>6180</v>
      </c>
      <c r="D3251" s="22" t="s">
        <v>9144</v>
      </c>
      <c r="E3251" s="22" t="s">
        <v>8104</v>
      </c>
      <c r="F3251" s="22">
        <v>34.634419569999999</v>
      </c>
      <c r="G3251" s="22">
        <v>43.666980680000002</v>
      </c>
      <c r="H3251" s="21" t="s">
        <v>6031</v>
      </c>
      <c r="I3251" s="21" t="s">
        <v>6182</v>
      </c>
      <c r="J3251" s="21"/>
      <c r="K3251" s="24">
        <v>775</v>
      </c>
      <c r="L3251" s="24">
        <v>4650</v>
      </c>
      <c r="M3251" s="23"/>
      <c r="N3251" s="23"/>
      <c r="O3251" s="23"/>
      <c r="P3251" s="23"/>
      <c r="Q3251" s="23"/>
      <c r="R3251" s="23"/>
      <c r="S3251" s="23"/>
      <c r="T3251" s="23"/>
      <c r="U3251" s="23">
        <v>28</v>
      </c>
      <c r="V3251" s="23"/>
      <c r="W3251" s="23"/>
      <c r="X3251" s="23"/>
      <c r="Y3251" s="23">
        <v>115</v>
      </c>
      <c r="Z3251" s="23"/>
      <c r="AA3251" s="23">
        <v>632</v>
      </c>
      <c r="AB3251" s="23"/>
      <c r="AC3251" s="23"/>
      <c r="AD3251" s="23"/>
      <c r="AE3251" s="23"/>
      <c r="AF3251" s="23">
        <v>105</v>
      </c>
      <c r="AG3251" s="23"/>
      <c r="AH3251" s="23"/>
      <c r="AI3251" s="23"/>
      <c r="AJ3251" s="23"/>
      <c r="AK3251" s="23">
        <v>305</v>
      </c>
      <c r="AL3251" s="23">
        <v>10</v>
      </c>
      <c r="AM3251" s="23">
        <v>355</v>
      </c>
      <c r="AN3251" s="23"/>
      <c r="AO3251" s="23"/>
      <c r="AP3251" s="23"/>
      <c r="AQ3251" s="23"/>
      <c r="AR3251" s="23"/>
      <c r="AS3251" s="23">
        <v>318</v>
      </c>
      <c r="AT3251" s="23">
        <v>457</v>
      </c>
      <c r="AU3251" s="14" t="str">
        <f>HYPERLINK("http://www.openstreetmap.org/?mlat=34.6258&amp;mlon=43.6731&amp;zoom=12#map=12/34.6258/43.6731","Maplink1")</f>
        <v>Maplink1</v>
      </c>
      <c r="AV3251" s="14" t="str">
        <f>HYPERLINK("https://www.google.iq/maps/search/+34.6258,43.6731/@34.6258,43.6731,14z?hl=en","Maplink2")</f>
        <v>Maplink2</v>
      </c>
      <c r="AW3251" s="14" t="str">
        <f>HYPERLINK("http://www.bing.com/maps/?lvl=14&amp;sty=h&amp;cp=34.6258~43.6731&amp;sp=point.34.6258_43.6731_Qdisiyah1-mahalla 214","Maplink3")</f>
        <v>Maplink3</v>
      </c>
    </row>
    <row r="3252" spans="1:49" ht="15" customHeight="1" x14ac:dyDescent="0.25">
      <c r="A3252" s="21">
        <v>25923</v>
      </c>
      <c r="B3252" s="22" t="s">
        <v>23</v>
      </c>
      <c r="C3252" s="22" t="s">
        <v>6180</v>
      </c>
      <c r="D3252" s="22" t="s">
        <v>9145</v>
      </c>
      <c r="E3252" s="22" t="s">
        <v>8105</v>
      </c>
      <c r="F3252" s="22">
        <v>34.649230240000001</v>
      </c>
      <c r="G3252" s="22">
        <v>43.661194639999998</v>
      </c>
      <c r="H3252" s="21" t="s">
        <v>6031</v>
      </c>
      <c r="I3252" s="21" t="s">
        <v>6182</v>
      </c>
      <c r="J3252" s="21"/>
      <c r="K3252" s="24">
        <v>2817</v>
      </c>
      <c r="L3252" s="24">
        <v>16902</v>
      </c>
      <c r="M3252" s="23"/>
      <c r="N3252" s="23"/>
      <c r="O3252" s="23"/>
      <c r="P3252" s="23"/>
      <c r="Q3252" s="23"/>
      <c r="R3252" s="23"/>
      <c r="S3252" s="23"/>
      <c r="T3252" s="23"/>
      <c r="U3252" s="23">
        <v>329</v>
      </c>
      <c r="V3252" s="23"/>
      <c r="W3252" s="23"/>
      <c r="X3252" s="23"/>
      <c r="Y3252" s="23">
        <v>242</v>
      </c>
      <c r="Z3252" s="23"/>
      <c r="AA3252" s="23">
        <v>2246</v>
      </c>
      <c r="AB3252" s="23"/>
      <c r="AC3252" s="23"/>
      <c r="AD3252" s="23"/>
      <c r="AE3252" s="23"/>
      <c r="AF3252" s="23">
        <v>220</v>
      </c>
      <c r="AG3252" s="23"/>
      <c r="AH3252" s="23"/>
      <c r="AI3252" s="23"/>
      <c r="AJ3252" s="23"/>
      <c r="AK3252" s="23">
        <v>665</v>
      </c>
      <c r="AL3252" s="23">
        <v>200</v>
      </c>
      <c r="AM3252" s="23">
        <v>1732</v>
      </c>
      <c r="AN3252" s="23"/>
      <c r="AO3252" s="23"/>
      <c r="AP3252" s="23"/>
      <c r="AQ3252" s="23"/>
      <c r="AR3252" s="23"/>
      <c r="AS3252" s="23">
        <v>669</v>
      </c>
      <c r="AT3252" s="23">
        <v>2148</v>
      </c>
      <c r="AU3252" s="14" t="str">
        <f>HYPERLINK("http://www.openstreetmap.org/?mlat=34.6374&amp;mlon=43.6675&amp;zoom=12#map=12/34.6374/43.6675","Maplink1")</f>
        <v>Maplink1</v>
      </c>
      <c r="AV3252" s="14" t="str">
        <f>HYPERLINK("https://www.google.iq/maps/search/+34.6374,43.6675/@34.6374,43.6675,14z?hl=en","Maplink2")</f>
        <v>Maplink2</v>
      </c>
      <c r="AW3252" s="14" t="str">
        <f>HYPERLINK("http://www.bing.com/maps/?lvl=14&amp;sty=h&amp;cp=34.6374~43.6675&amp;sp=point.34.6374_43.6675_Qdisiyah2-mahalla 216","Maplink3")</f>
        <v>Maplink3</v>
      </c>
    </row>
    <row r="3253" spans="1:49" ht="15" customHeight="1" x14ac:dyDescent="0.25">
      <c r="A3253" s="21">
        <v>22180</v>
      </c>
      <c r="B3253" s="22" t="s">
        <v>23</v>
      </c>
      <c r="C3253" s="22" t="s">
        <v>6180</v>
      </c>
      <c r="D3253" s="22" t="s">
        <v>8106</v>
      </c>
      <c r="E3253" s="22" t="s">
        <v>8107</v>
      </c>
      <c r="F3253" s="22">
        <v>34.618171779999997</v>
      </c>
      <c r="G3253" s="22">
        <v>43.715143380000001</v>
      </c>
      <c r="H3253" s="21" t="s">
        <v>6031</v>
      </c>
      <c r="I3253" s="21" t="s">
        <v>6182</v>
      </c>
      <c r="J3253" s="21" t="s">
        <v>8108</v>
      </c>
      <c r="K3253" s="24">
        <v>281</v>
      </c>
      <c r="L3253" s="24">
        <v>1686</v>
      </c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>
        <v>27</v>
      </c>
      <c r="Z3253" s="23"/>
      <c r="AA3253" s="23">
        <v>254</v>
      </c>
      <c r="AB3253" s="23"/>
      <c r="AC3253" s="23"/>
      <c r="AD3253" s="23"/>
      <c r="AE3253" s="23"/>
      <c r="AF3253" s="23">
        <v>25</v>
      </c>
      <c r="AG3253" s="23"/>
      <c r="AH3253" s="23">
        <v>50</v>
      </c>
      <c r="AI3253" s="23"/>
      <c r="AJ3253" s="23"/>
      <c r="AK3253" s="23">
        <v>30</v>
      </c>
      <c r="AL3253" s="23"/>
      <c r="AM3253" s="23">
        <v>176</v>
      </c>
      <c r="AN3253" s="23"/>
      <c r="AO3253" s="23"/>
      <c r="AP3253" s="23"/>
      <c r="AQ3253" s="23"/>
      <c r="AR3253" s="23"/>
      <c r="AS3253" s="23"/>
      <c r="AT3253" s="23">
        <v>281</v>
      </c>
      <c r="AU3253" s="14" t="str">
        <f>HYPERLINK("http://www.openstreetmap.org/?mlat=34.6103&amp;mlon=43.7111&amp;zoom=12#map=12/34.6103/43.7111","Maplink1")</f>
        <v>Maplink1</v>
      </c>
      <c r="AV3253" s="14" t="str">
        <f>HYPERLINK("https://www.google.iq/maps/search/+34.6103,43.7111/@34.6103,43.7111,14z?hl=en","Maplink2")</f>
        <v>Maplink2</v>
      </c>
      <c r="AW3253" s="14" t="str">
        <f>HYPERLINK("http://www.bing.com/maps/?lvl=14&amp;sty=h&amp;cp=34.6103~43.7111&amp;sp=point.34.6103_43.7111_Sadayrat Abo Ajeel","Maplink3")</f>
        <v>Maplink3</v>
      </c>
    </row>
    <row r="3254" spans="1:49" ht="15" customHeight="1" x14ac:dyDescent="0.25">
      <c r="A3254" s="21">
        <v>20612</v>
      </c>
      <c r="B3254" s="22" t="s">
        <v>23</v>
      </c>
      <c r="C3254" s="22" t="s">
        <v>6180</v>
      </c>
      <c r="D3254" s="22" t="s">
        <v>8109</v>
      </c>
      <c r="E3254" s="22" t="s">
        <v>9146</v>
      </c>
      <c r="F3254" s="22">
        <v>34.754232469999998</v>
      </c>
      <c r="G3254" s="22">
        <v>43.670013840000003</v>
      </c>
      <c r="H3254" s="21" t="s">
        <v>6031</v>
      </c>
      <c r="I3254" s="21" t="s">
        <v>6182</v>
      </c>
      <c r="J3254" s="21" t="s">
        <v>8110</v>
      </c>
      <c r="K3254" s="24">
        <v>59</v>
      </c>
      <c r="L3254" s="24">
        <v>354</v>
      </c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>
        <v>59</v>
      </c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/>
      <c r="AL3254" s="23"/>
      <c r="AM3254" s="23">
        <v>59</v>
      </c>
      <c r="AN3254" s="23"/>
      <c r="AO3254" s="23"/>
      <c r="AP3254" s="23"/>
      <c r="AQ3254" s="23"/>
      <c r="AR3254" s="23"/>
      <c r="AS3254" s="23"/>
      <c r="AT3254" s="23">
        <v>59</v>
      </c>
      <c r="AU3254" s="14" t="str">
        <f>HYPERLINK("http://www.openstreetmap.org/?mlat=34.7553&amp;mlon=43.6644&amp;zoom=12#map=12/34.7553/43.6644","Maplink1")</f>
        <v>Maplink1</v>
      </c>
      <c r="AV3254" s="14" t="str">
        <f>HYPERLINK("https://www.google.iq/maps/search/+34.7553,43.6644/@34.7553,43.6644,14z?hl=en","Maplink2")</f>
        <v>Maplink2</v>
      </c>
      <c r="AW3254" s="14" t="str">
        <f>HYPERLINK("http://www.bing.com/maps/?lvl=14&amp;sty=h&amp;cp=34.7553~43.6644&amp;sp=point.34.7553_43.6644_Samrah Village","Maplink3")</f>
        <v>Maplink3</v>
      </c>
    </row>
    <row r="3255" spans="1:49" ht="15" customHeight="1" x14ac:dyDescent="0.25">
      <c r="A3255" s="21">
        <v>25950</v>
      </c>
      <c r="B3255" s="22" t="s">
        <v>23</v>
      </c>
      <c r="C3255" s="22" t="s">
        <v>6180</v>
      </c>
      <c r="D3255" s="22" t="s">
        <v>8257</v>
      </c>
      <c r="E3255" s="22" t="s">
        <v>9147</v>
      </c>
      <c r="F3255" s="22">
        <v>34.82091767</v>
      </c>
      <c r="G3255" s="22">
        <v>43.578059060000001</v>
      </c>
      <c r="H3255" s="21" t="s">
        <v>6031</v>
      </c>
      <c r="I3255" s="21" t="s">
        <v>6182</v>
      </c>
      <c r="J3255" s="21"/>
      <c r="K3255" s="24">
        <v>100</v>
      </c>
      <c r="L3255" s="24">
        <v>600</v>
      </c>
      <c r="M3255" s="23"/>
      <c r="N3255" s="23"/>
      <c r="O3255" s="23"/>
      <c r="P3255" s="23"/>
      <c r="Q3255" s="23"/>
      <c r="R3255" s="23"/>
      <c r="S3255" s="23"/>
      <c r="T3255" s="23"/>
      <c r="U3255" s="23">
        <v>75</v>
      </c>
      <c r="V3255" s="23"/>
      <c r="W3255" s="23"/>
      <c r="X3255" s="23"/>
      <c r="Y3255" s="23"/>
      <c r="Z3255" s="23"/>
      <c r="AA3255" s="23">
        <v>25</v>
      </c>
      <c r="AB3255" s="23"/>
      <c r="AC3255" s="23"/>
      <c r="AD3255" s="23"/>
      <c r="AE3255" s="23"/>
      <c r="AF3255" s="23">
        <v>100</v>
      </c>
      <c r="AG3255" s="23"/>
      <c r="AH3255" s="23"/>
      <c r="AI3255" s="23"/>
      <c r="AJ3255" s="23"/>
      <c r="AK3255" s="23"/>
      <c r="AL3255" s="23"/>
      <c r="AM3255" s="23"/>
      <c r="AN3255" s="23"/>
      <c r="AO3255" s="23"/>
      <c r="AP3255" s="23"/>
      <c r="AQ3255" s="23"/>
      <c r="AR3255" s="23"/>
      <c r="AS3255" s="23"/>
      <c r="AT3255" s="23">
        <v>100</v>
      </c>
      <c r="AU3255" s="14" t="str">
        <f>HYPERLINK("http://www.openstreetmap.org/?mlat=34.8173&amp;mlon=43.5766&amp;zoom=12#map=12/34.8173/43.5766","Maplink1")</f>
        <v>Maplink1</v>
      </c>
      <c r="AV3255" s="14" t="str">
        <f>HYPERLINK("https://www.google.iq/maps/search/+34.8173,43.5766/@34.8173,43.5766,14z?hl=en","Maplink2")</f>
        <v>Maplink2</v>
      </c>
      <c r="AW3255" s="14" t="str">
        <f>HYPERLINK("http://www.bing.com/maps/?lvl=14&amp;sty=h&amp;cp=34.8173~43.5766&amp;sp=point.34.8173_43.5766_Tal sibaat village","Maplink3")</f>
        <v>Maplink3</v>
      </c>
    </row>
    <row r="3256" spans="1:49" ht="15" customHeight="1" x14ac:dyDescent="0.25">
      <c r="A3256" s="21">
        <v>20666</v>
      </c>
      <c r="B3256" s="22" t="s">
        <v>23</v>
      </c>
      <c r="C3256" s="22" t="s">
        <v>6180</v>
      </c>
      <c r="D3256" s="22" t="s">
        <v>8258</v>
      </c>
      <c r="E3256" s="22" t="s">
        <v>5641</v>
      </c>
      <c r="F3256" s="22">
        <v>34.472761230000003</v>
      </c>
      <c r="G3256" s="22">
        <v>43.734200289999997</v>
      </c>
      <c r="H3256" s="21" t="s">
        <v>6031</v>
      </c>
      <c r="I3256" s="21" t="s">
        <v>6182</v>
      </c>
      <c r="J3256" s="21" t="s">
        <v>8259</v>
      </c>
      <c r="K3256" s="24">
        <v>92</v>
      </c>
      <c r="L3256" s="24">
        <v>552</v>
      </c>
      <c r="M3256" s="23"/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>
        <v>92</v>
      </c>
      <c r="AB3256" s="23"/>
      <c r="AC3256" s="23"/>
      <c r="AD3256" s="23"/>
      <c r="AE3256" s="23"/>
      <c r="AF3256" s="23">
        <v>83</v>
      </c>
      <c r="AG3256" s="23"/>
      <c r="AH3256" s="23"/>
      <c r="AI3256" s="23"/>
      <c r="AJ3256" s="23"/>
      <c r="AK3256" s="23">
        <v>9</v>
      </c>
      <c r="AL3256" s="23"/>
      <c r="AM3256" s="23"/>
      <c r="AN3256" s="23"/>
      <c r="AO3256" s="23"/>
      <c r="AP3256" s="23"/>
      <c r="AQ3256" s="23"/>
      <c r="AR3256" s="23"/>
      <c r="AS3256" s="23">
        <v>19</v>
      </c>
      <c r="AT3256" s="23">
        <v>73</v>
      </c>
      <c r="AU3256" s="14" t="str">
        <f>HYPERLINK("http://www.openstreetmap.org/?mlat=34.4754&amp;mlon=43.7286&amp;zoom=12#map=12/34.4754/43.7286","Maplink1")</f>
        <v>Maplink1</v>
      </c>
      <c r="AV3256" s="14" t="str">
        <f>HYPERLINK("https://www.google.iq/maps/search/+34.4754,43.7286/@34.4754,43.7286,14z?hl=en","Maplink2")</f>
        <v>Maplink2</v>
      </c>
      <c r="AW3256" s="14" t="str">
        <f>HYPERLINK("http://www.bing.com/maps/?lvl=14&amp;sty=h&amp;cp=34.4754~43.7286&amp;sp=point.34.4754_43.7286_Uwainat","Maplink3")</f>
        <v>Maplink3</v>
      </c>
    </row>
    <row r="3257" spans="1:49" ht="15" customHeight="1" x14ac:dyDescent="0.25">
      <c r="A3257" s="21">
        <v>21846</v>
      </c>
      <c r="B3257" s="22" t="s">
        <v>23</v>
      </c>
      <c r="C3257" s="22" t="s">
        <v>6238</v>
      </c>
      <c r="D3257" s="22" t="s">
        <v>6239</v>
      </c>
      <c r="E3257" s="22" t="s">
        <v>8094</v>
      </c>
      <c r="F3257" s="22">
        <v>34.87453</v>
      </c>
      <c r="G3257" s="22">
        <v>43.609104000000002</v>
      </c>
      <c r="H3257" s="21" t="s">
        <v>6031</v>
      </c>
      <c r="I3257" s="21" t="s">
        <v>6240</v>
      </c>
      <c r="J3257" s="21" t="s">
        <v>6241</v>
      </c>
      <c r="K3257" s="24">
        <v>175</v>
      </c>
      <c r="L3257" s="24">
        <v>1050</v>
      </c>
      <c r="M3257" s="23">
        <v>10</v>
      </c>
      <c r="N3257" s="23"/>
      <c r="O3257" s="23"/>
      <c r="P3257" s="23"/>
      <c r="Q3257" s="23"/>
      <c r="R3257" s="23">
        <v>6</v>
      </c>
      <c r="S3257" s="23"/>
      <c r="T3257" s="23"/>
      <c r="U3257" s="23"/>
      <c r="V3257" s="23"/>
      <c r="W3257" s="23"/>
      <c r="X3257" s="23"/>
      <c r="Y3257" s="23">
        <v>4</v>
      </c>
      <c r="Z3257" s="23"/>
      <c r="AA3257" s="23">
        <v>155</v>
      </c>
      <c r="AB3257" s="23"/>
      <c r="AC3257" s="23"/>
      <c r="AD3257" s="23"/>
      <c r="AE3257" s="23"/>
      <c r="AF3257" s="23">
        <v>26</v>
      </c>
      <c r="AG3257" s="23"/>
      <c r="AH3257" s="23"/>
      <c r="AI3257" s="23"/>
      <c r="AJ3257" s="23"/>
      <c r="AK3257" s="23">
        <v>149</v>
      </c>
      <c r="AL3257" s="23"/>
      <c r="AM3257" s="23"/>
      <c r="AN3257" s="23"/>
      <c r="AO3257" s="23">
        <v>9</v>
      </c>
      <c r="AP3257" s="23">
        <v>144</v>
      </c>
      <c r="AQ3257" s="23">
        <v>12</v>
      </c>
      <c r="AR3257" s="23"/>
      <c r="AS3257" s="23">
        <v>10</v>
      </c>
      <c r="AT3257" s="23"/>
      <c r="AU3257" s="14" t="str">
        <f>HYPERLINK("http://www.openstreetmap.org/?mlat=34.8745&amp;mlon=43.6091&amp;zoom=12#map=12/34.8745/43.6091","Maplink1")</f>
        <v>Maplink1</v>
      </c>
      <c r="AV3257" s="14" t="str">
        <f>HYPERLINK("https://www.google.iq/maps/search/+34.8745,43.6091/@34.8745,43.6091,14z?hl=en","Maplink2")</f>
        <v>Maplink2</v>
      </c>
      <c r="AW3257" s="14" t="str">
        <f>HYPERLINK("http://www.bing.com/maps/?lvl=14&amp;sty=h&amp;cp=34.8745~43.6091&amp;sp=point.34.8745_43.6091_Hay Al Sideeq Mahalla 105","Maplink3")</f>
        <v>Maplink3</v>
      </c>
    </row>
    <row r="3258" spans="1:49" ht="15" customHeight="1" x14ac:dyDescent="0.25">
      <c r="A3258" s="21">
        <v>25864</v>
      </c>
      <c r="B3258" s="22" t="s">
        <v>23</v>
      </c>
      <c r="C3258" s="22" t="s">
        <v>6238</v>
      </c>
      <c r="D3258" s="22" t="s">
        <v>6242</v>
      </c>
      <c r="E3258" s="22" t="s">
        <v>6243</v>
      </c>
      <c r="F3258" s="22">
        <v>34.890960999999997</v>
      </c>
      <c r="G3258" s="22">
        <v>44.636960999999999</v>
      </c>
      <c r="H3258" s="21" t="s">
        <v>6031</v>
      </c>
      <c r="I3258" s="21" t="s">
        <v>6240</v>
      </c>
      <c r="J3258" s="21"/>
      <c r="K3258" s="24">
        <v>20</v>
      </c>
      <c r="L3258" s="24">
        <v>120</v>
      </c>
      <c r="M3258" s="23"/>
      <c r="N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>
        <v>20</v>
      </c>
      <c r="AB3258" s="23"/>
      <c r="AC3258" s="23"/>
      <c r="AD3258" s="23"/>
      <c r="AE3258" s="23"/>
      <c r="AF3258" s="23"/>
      <c r="AG3258" s="23"/>
      <c r="AH3258" s="23"/>
      <c r="AI3258" s="23"/>
      <c r="AJ3258" s="23"/>
      <c r="AK3258" s="23">
        <v>20</v>
      </c>
      <c r="AL3258" s="23"/>
      <c r="AM3258" s="23"/>
      <c r="AN3258" s="23"/>
      <c r="AO3258" s="23"/>
      <c r="AP3258" s="23">
        <v>20</v>
      </c>
      <c r="AQ3258" s="23"/>
      <c r="AR3258" s="23"/>
      <c r="AS3258" s="23"/>
      <c r="AT3258" s="23"/>
      <c r="AU3258" s="14" t="str">
        <f>HYPERLINK("http://www.openstreetmap.org/?mlat=34.891&amp;mlon=44.637&amp;zoom=12#map=12/34.891/44.637","Maplink1")</f>
        <v>Maplink1</v>
      </c>
      <c r="AV3258" s="14" t="str">
        <f>HYPERLINK("https://www.google.iq/maps/search/+34.891,44.637/@34.891,44.637,14z?hl=en","Maplink2")</f>
        <v>Maplink2</v>
      </c>
      <c r="AW3258" s="14" t="str">
        <f>HYPERLINK("http://www.bing.com/maps/?lvl=14&amp;sty=h&amp;cp=34.891~44.637&amp;sp=point.34.891_44.637_Hay Aqsu","Maplink3")</f>
        <v>Maplink3</v>
      </c>
    </row>
    <row r="3259" spans="1:49" ht="15" customHeight="1" x14ac:dyDescent="0.25">
      <c r="A3259" s="21">
        <v>25865</v>
      </c>
      <c r="B3259" s="22" t="s">
        <v>23</v>
      </c>
      <c r="C3259" s="22" t="s">
        <v>6238</v>
      </c>
      <c r="D3259" s="22" t="s">
        <v>6244</v>
      </c>
      <c r="E3259" s="22" t="s">
        <v>6245</v>
      </c>
      <c r="F3259" s="22">
        <v>34.941477999999996</v>
      </c>
      <c r="G3259" s="22">
        <v>44.588875000000002</v>
      </c>
      <c r="H3259" s="21" t="s">
        <v>6031</v>
      </c>
      <c r="I3259" s="21" t="s">
        <v>6240</v>
      </c>
      <c r="J3259" s="21"/>
      <c r="K3259" s="24">
        <v>130</v>
      </c>
      <c r="L3259" s="24">
        <v>780</v>
      </c>
      <c r="M3259" s="23"/>
      <c r="N3259" s="23"/>
      <c r="O3259" s="23"/>
      <c r="P3259" s="23"/>
      <c r="Q3259" s="23"/>
      <c r="R3259" s="23">
        <v>20</v>
      </c>
      <c r="S3259" s="23"/>
      <c r="T3259" s="23"/>
      <c r="U3259" s="23"/>
      <c r="V3259" s="23"/>
      <c r="W3259" s="23"/>
      <c r="X3259" s="23"/>
      <c r="Y3259" s="23"/>
      <c r="Z3259" s="23"/>
      <c r="AA3259" s="23">
        <v>110</v>
      </c>
      <c r="AB3259" s="23"/>
      <c r="AC3259" s="23"/>
      <c r="AD3259" s="23"/>
      <c r="AE3259" s="23"/>
      <c r="AF3259" s="23"/>
      <c r="AG3259" s="23"/>
      <c r="AH3259" s="23">
        <v>80</v>
      </c>
      <c r="AI3259" s="23"/>
      <c r="AJ3259" s="23"/>
      <c r="AK3259" s="23">
        <v>50</v>
      </c>
      <c r="AL3259" s="23"/>
      <c r="AM3259" s="23"/>
      <c r="AN3259" s="23"/>
      <c r="AO3259" s="23">
        <v>15</v>
      </c>
      <c r="AP3259" s="23">
        <v>25</v>
      </c>
      <c r="AQ3259" s="23">
        <v>90</v>
      </c>
      <c r="AR3259" s="23"/>
      <c r="AS3259" s="23"/>
      <c r="AT3259" s="23"/>
      <c r="AU3259" s="14" t="str">
        <f>HYPERLINK("http://www.openstreetmap.org/?mlat=34.9415&amp;mlon=44.5889&amp;zoom=12#map=12/34.9415/44.5889","Maplink1")</f>
        <v>Maplink1</v>
      </c>
      <c r="AV3259" s="14" t="str">
        <f>HYPERLINK("https://www.google.iq/maps/search/+34.9415,44.5889/@34.9415,44.5889,14z?hl=en","Maplink2")</f>
        <v>Maplink2</v>
      </c>
      <c r="AW3259" s="14" t="str">
        <f>HYPERLINK("http://www.bing.com/maps/?lvl=14&amp;sty=h&amp;cp=34.9415~44.5889&amp;sp=point.34.9415_44.5889_Hay Garmian","Maplink3")</f>
        <v>Maplink3</v>
      </c>
    </row>
    <row r="3260" spans="1:49" ht="15" customHeight="1" x14ac:dyDescent="0.25">
      <c r="A3260" s="21">
        <v>25866</v>
      </c>
      <c r="B3260" s="22" t="s">
        <v>23</v>
      </c>
      <c r="C3260" s="22" t="s">
        <v>6238</v>
      </c>
      <c r="D3260" s="22" t="s">
        <v>6246</v>
      </c>
      <c r="E3260" s="22" t="s">
        <v>6247</v>
      </c>
      <c r="F3260" s="22">
        <v>34.894946779999998</v>
      </c>
      <c r="G3260" s="22">
        <v>44.627123820000001</v>
      </c>
      <c r="H3260" s="21" t="s">
        <v>6031</v>
      </c>
      <c r="I3260" s="21" t="s">
        <v>6240</v>
      </c>
      <c r="J3260" s="21"/>
      <c r="K3260" s="24">
        <v>1030</v>
      </c>
      <c r="L3260" s="24">
        <v>6180</v>
      </c>
      <c r="M3260" s="23">
        <v>90</v>
      </c>
      <c r="N3260" s="23"/>
      <c r="O3260" s="23"/>
      <c r="P3260" s="23"/>
      <c r="Q3260" s="23"/>
      <c r="R3260" s="23">
        <v>100</v>
      </c>
      <c r="S3260" s="23"/>
      <c r="T3260" s="23"/>
      <c r="U3260" s="23"/>
      <c r="V3260" s="23"/>
      <c r="W3260" s="23"/>
      <c r="X3260" s="23"/>
      <c r="Y3260" s="23"/>
      <c r="Z3260" s="23"/>
      <c r="AA3260" s="23">
        <v>840</v>
      </c>
      <c r="AB3260" s="23"/>
      <c r="AC3260" s="23"/>
      <c r="AD3260" s="23"/>
      <c r="AE3260" s="23"/>
      <c r="AF3260" s="23">
        <v>60</v>
      </c>
      <c r="AG3260" s="23"/>
      <c r="AH3260" s="23">
        <v>100</v>
      </c>
      <c r="AI3260" s="23"/>
      <c r="AJ3260" s="23"/>
      <c r="AK3260" s="23">
        <v>870</v>
      </c>
      <c r="AL3260" s="23"/>
      <c r="AM3260" s="23"/>
      <c r="AN3260" s="23"/>
      <c r="AO3260" s="23"/>
      <c r="AP3260" s="23">
        <v>170</v>
      </c>
      <c r="AQ3260" s="23">
        <v>745</v>
      </c>
      <c r="AR3260" s="23"/>
      <c r="AS3260" s="23">
        <v>115</v>
      </c>
      <c r="AT3260" s="23"/>
      <c r="AU3260" s="14" t="str">
        <f>HYPERLINK("http://www.openstreetmap.org/?mlat=34.8975&amp;mlon=44.6245&amp;zoom=12#map=12/34.8975/44.6245","Maplink1")</f>
        <v>Maplink1</v>
      </c>
      <c r="AV3260" s="14" t="str">
        <f>HYPERLINK("https://www.google.iq/maps/search/+34.8975,44.6245/@34.8975,44.6245,14z?hl=en","Maplink2")</f>
        <v>Maplink2</v>
      </c>
      <c r="AW3260" s="14" t="str">
        <f>HYPERLINK("http://www.bing.com/maps/?lvl=14&amp;sty=h&amp;cp=34.8975~44.6245&amp;sp=point.34.8975_44.6245_Hay Komari-120","Maplink3")</f>
        <v>Maplink3</v>
      </c>
    </row>
    <row r="3261" spans="1:49" ht="15" customHeight="1" x14ac:dyDescent="0.25">
      <c r="A3261" s="21">
        <v>25867</v>
      </c>
      <c r="B3261" s="22" t="s">
        <v>23</v>
      </c>
      <c r="C3261" s="22" t="s">
        <v>6238</v>
      </c>
      <c r="D3261" s="22" t="s">
        <v>6248</v>
      </c>
      <c r="E3261" s="22" t="s">
        <v>6249</v>
      </c>
      <c r="F3261" s="22">
        <v>34.883633000000003</v>
      </c>
      <c r="G3261" s="22">
        <v>44.629725000000001</v>
      </c>
      <c r="H3261" s="21" t="s">
        <v>6031</v>
      </c>
      <c r="I3261" s="21" t="s">
        <v>6240</v>
      </c>
      <c r="J3261" s="21"/>
      <c r="K3261" s="24">
        <v>8</v>
      </c>
      <c r="L3261" s="24">
        <v>48</v>
      </c>
      <c r="M3261" s="23"/>
      <c r="N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>
        <v>8</v>
      </c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>
        <v>8</v>
      </c>
      <c r="AL3261" s="23"/>
      <c r="AM3261" s="23"/>
      <c r="AN3261" s="23"/>
      <c r="AO3261" s="23"/>
      <c r="AP3261" s="23"/>
      <c r="AQ3261" s="23">
        <v>5</v>
      </c>
      <c r="AR3261" s="23"/>
      <c r="AS3261" s="23">
        <v>3</v>
      </c>
      <c r="AT3261" s="23"/>
      <c r="AU3261" s="14" t="str">
        <f>HYPERLINK("http://www.openstreetmap.org/?mlat=34.8836&amp;mlon=44.6297&amp;zoom=12#map=12/34.8836/44.6297","Maplink1")</f>
        <v>Maplink1</v>
      </c>
      <c r="AV3261" s="14" t="str">
        <f>HYPERLINK("https://www.google.iq/maps/search/+34.8836,44.6297/@34.8836,44.6297,14z?hl=en","Maplink2")</f>
        <v>Maplink2</v>
      </c>
      <c r="AW3261" s="14" t="str">
        <f>HYPERLINK("http://www.bing.com/maps/?lvl=14&amp;sty=h&amp;cp=34.8836~44.6297&amp;sp=point.34.8836_44.6297_Hay Mula Safar-102","Maplink3")</f>
        <v>Maplink3</v>
      </c>
    </row>
    <row r="3262" spans="1:49" ht="15" customHeight="1" x14ac:dyDescent="0.25">
      <c r="A3262" s="21">
        <v>25868</v>
      </c>
      <c r="B3262" s="22" t="s">
        <v>23</v>
      </c>
      <c r="C3262" s="22" t="s">
        <v>6238</v>
      </c>
      <c r="D3262" s="22" t="s">
        <v>6250</v>
      </c>
      <c r="E3262" s="22" t="s">
        <v>6251</v>
      </c>
      <c r="F3262" s="22">
        <v>34.88951385</v>
      </c>
      <c r="G3262" s="22">
        <v>44.640224140000001</v>
      </c>
      <c r="H3262" s="21" t="s">
        <v>6031</v>
      </c>
      <c r="I3262" s="21" t="s">
        <v>6240</v>
      </c>
      <c r="J3262" s="21"/>
      <c r="K3262" s="24">
        <v>305</v>
      </c>
      <c r="L3262" s="24">
        <v>1830</v>
      </c>
      <c r="M3262" s="23"/>
      <c r="N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>
        <v>305</v>
      </c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>
        <v>305</v>
      </c>
      <c r="AL3262" s="23"/>
      <c r="AM3262" s="23"/>
      <c r="AN3262" s="23"/>
      <c r="AO3262" s="23"/>
      <c r="AP3262" s="23">
        <v>10</v>
      </c>
      <c r="AQ3262" s="23">
        <v>260</v>
      </c>
      <c r="AR3262" s="23">
        <v>35</v>
      </c>
      <c r="AS3262" s="23"/>
      <c r="AT3262" s="23"/>
      <c r="AU3262" s="14" t="str">
        <f>HYPERLINK("http://www.openstreetmap.org/?mlat=34.8858&amp;mlon=44.6419&amp;zoom=12#map=12/34.8858/44.6419","Maplink1")</f>
        <v>Maplink1</v>
      </c>
      <c r="AV3262" s="14" t="str">
        <f>HYPERLINK("https://www.google.iq/maps/search/+34.8858,44.6419/@34.8858,44.6419,14z?hl=en","Maplink2")</f>
        <v>Maplink2</v>
      </c>
      <c r="AW3262" s="14" t="str">
        <f>HYPERLINK("http://www.bing.com/maps/?lvl=14&amp;sty=h&amp;cp=34.8858~44.6419&amp;sp=point.34.8858_44.6419_Hay Rizgari-114","Maplink3")</f>
        <v>Maplink3</v>
      </c>
    </row>
    <row r="3263" spans="1:49" ht="15" customHeight="1" x14ac:dyDescent="0.25">
      <c r="A3263" s="21">
        <v>25869</v>
      </c>
      <c r="B3263" s="22" t="s">
        <v>23</v>
      </c>
      <c r="C3263" s="22" t="s">
        <v>6238</v>
      </c>
      <c r="D3263" s="22" t="s">
        <v>6252</v>
      </c>
      <c r="E3263" s="22" t="s">
        <v>6253</v>
      </c>
      <c r="F3263" s="22">
        <v>35.073419010000002</v>
      </c>
      <c r="G3263" s="22">
        <v>44.498155709999999</v>
      </c>
      <c r="H3263" s="21" t="s">
        <v>6031</v>
      </c>
      <c r="I3263" s="21" t="s">
        <v>6240</v>
      </c>
      <c r="J3263" s="21"/>
      <c r="K3263" s="24">
        <v>101</v>
      </c>
      <c r="L3263" s="24">
        <v>606</v>
      </c>
      <c r="M3263" s="23"/>
      <c r="N3263" s="23"/>
      <c r="O3263" s="23"/>
      <c r="P3263" s="23"/>
      <c r="Q3263" s="23"/>
      <c r="R3263" s="23">
        <v>63</v>
      </c>
      <c r="S3263" s="23"/>
      <c r="T3263" s="23"/>
      <c r="U3263" s="23"/>
      <c r="V3263" s="23"/>
      <c r="W3263" s="23"/>
      <c r="X3263" s="23"/>
      <c r="Y3263" s="23"/>
      <c r="Z3263" s="23"/>
      <c r="AA3263" s="23">
        <v>38</v>
      </c>
      <c r="AB3263" s="23"/>
      <c r="AC3263" s="23"/>
      <c r="AD3263" s="23"/>
      <c r="AE3263" s="23"/>
      <c r="AF3263" s="23"/>
      <c r="AG3263" s="23"/>
      <c r="AH3263" s="23">
        <v>101</v>
      </c>
      <c r="AI3263" s="23"/>
      <c r="AJ3263" s="23"/>
      <c r="AK3263" s="23"/>
      <c r="AL3263" s="23"/>
      <c r="AM3263" s="23"/>
      <c r="AN3263" s="23"/>
      <c r="AO3263" s="23"/>
      <c r="AP3263" s="23">
        <v>20</v>
      </c>
      <c r="AQ3263" s="23">
        <v>68</v>
      </c>
      <c r="AR3263" s="23"/>
      <c r="AS3263" s="23"/>
      <c r="AT3263" s="23">
        <v>13</v>
      </c>
      <c r="AU3263" s="14" t="str">
        <f>HYPERLINK("http://www.openstreetmap.org/?mlat=35.0957&amp;mlon=44.4939&amp;zoom=12#map=12/35.0957/44.4939","Maplink1")</f>
        <v>Maplink1</v>
      </c>
      <c r="AV3263" s="14" t="str">
        <f>HYPERLINK("https://www.google.iq/maps/search/+35.0957,44.4939/@35.0957,44.4939,14z?hl=en","Maplink2")</f>
        <v>Maplink2</v>
      </c>
      <c r="AW3263" s="14" t="str">
        <f>HYPERLINK("http://www.bing.com/maps/?lvl=14&amp;sty=h&amp;cp=35.0957~44.4939&amp;sp=point.35.0957_44.4939_Hay Shoraw-1","Maplink3")</f>
        <v>Maplink3</v>
      </c>
    </row>
    <row r="3264" spans="1:49" ht="15" customHeight="1" x14ac:dyDescent="0.25">
      <c r="A3264" s="21">
        <v>25749</v>
      </c>
      <c r="B3264" s="22" t="s">
        <v>23</v>
      </c>
      <c r="C3264" s="22" t="s">
        <v>6238</v>
      </c>
      <c r="D3264" s="22" t="s">
        <v>6254</v>
      </c>
      <c r="E3264" s="22" t="s">
        <v>6255</v>
      </c>
      <c r="F3264" s="22">
        <v>34.922218999999998</v>
      </c>
      <c r="G3264" s="22">
        <v>44.559539000000001</v>
      </c>
      <c r="H3264" s="21" t="s">
        <v>6031</v>
      </c>
      <c r="I3264" s="21" t="s">
        <v>6240</v>
      </c>
      <c r="J3264" s="21"/>
      <c r="K3264" s="24">
        <v>9</v>
      </c>
      <c r="L3264" s="24">
        <v>54</v>
      </c>
      <c r="M3264" s="23"/>
      <c r="N3264" s="23"/>
      <c r="O3264" s="23"/>
      <c r="P3264" s="23"/>
      <c r="Q3264" s="23"/>
      <c r="R3264" s="23">
        <v>2</v>
      </c>
      <c r="S3264" s="23"/>
      <c r="T3264" s="23"/>
      <c r="U3264" s="23"/>
      <c r="V3264" s="23"/>
      <c r="W3264" s="23"/>
      <c r="X3264" s="23"/>
      <c r="Y3264" s="23"/>
      <c r="Z3264" s="23"/>
      <c r="AA3264" s="23">
        <v>7</v>
      </c>
      <c r="AB3264" s="23"/>
      <c r="AC3264" s="23"/>
      <c r="AD3264" s="23"/>
      <c r="AE3264" s="23"/>
      <c r="AF3264" s="23">
        <v>6</v>
      </c>
      <c r="AG3264" s="23"/>
      <c r="AH3264" s="23"/>
      <c r="AI3264" s="23"/>
      <c r="AJ3264" s="23"/>
      <c r="AK3264" s="23"/>
      <c r="AL3264" s="23"/>
      <c r="AM3264" s="23">
        <v>3</v>
      </c>
      <c r="AN3264" s="23"/>
      <c r="AO3264" s="23"/>
      <c r="AP3264" s="23"/>
      <c r="AQ3264" s="23">
        <v>7</v>
      </c>
      <c r="AR3264" s="23"/>
      <c r="AS3264" s="23">
        <v>2</v>
      </c>
      <c r="AT3264" s="23"/>
      <c r="AU3264" s="14" t="str">
        <f>HYPERLINK("http://www.openstreetmap.org/?mlat=34.9222&amp;mlon=44.5595&amp;zoom=12#map=12/34.9222/44.5595","Maplink1")</f>
        <v>Maplink1</v>
      </c>
      <c r="AV3264" s="14" t="str">
        <f>HYPERLINK("https://www.google.iq/maps/search/+34.9222,44.5595/@34.9222,44.5595,14z?hl=en","Maplink2")</f>
        <v>Maplink2</v>
      </c>
      <c r="AW3264" s="14" t="str">
        <f>HYPERLINK("http://www.bing.com/maps/?lvl=14&amp;sty=h&amp;cp=34.9222~44.5595&amp;sp=point.34.9222_44.5595_Markaz Tooz-Barbara village","Maplink3")</f>
        <v>Maplink3</v>
      </c>
    </row>
    <row r="3265" spans="1:49" ht="15" customHeight="1" x14ac:dyDescent="0.25">
      <c r="A3265" s="21">
        <v>25754</v>
      </c>
      <c r="B3265" s="22" t="s">
        <v>23</v>
      </c>
      <c r="C3265" s="22" t="s">
        <v>6238</v>
      </c>
      <c r="D3265" s="22" t="s">
        <v>6256</v>
      </c>
      <c r="E3265" s="22" t="s">
        <v>120</v>
      </c>
      <c r="F3265" s="22">
        <v>34.879233069999998</v>
      </c>
      <c r="G3265" s="22">
        <v>44.615219420000003</v>
      </c>
      <c r="H3265" s="21" t="s">
        <v>6031</v>
      </c>
      <c r="I3265" s="21" t="s">
        <v>6240</v>
      </c>
      <c r="J3265" s="21"/>
      <c r="K3265" s="24">
        <v>970</v>
      </c>
      <c r="L3265" s="24">
        <v>5820</v>
      </c>
      <c r="M3265" s="23">
        <v>10</v>
      </c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>
        <v>960</v>
      </c>
      <c r="AB3265" s="23"/>
      <c r="AC3265" s="23"/>
      <c r="AD3265" s="23"/>
      <c r="AE3265" s="23"/>
      <c r="AF3265" s="23">
        <v>40</v>
      </c>
      <c r="AG3265" s="23"/>
      <c r="AH3265" s="23">
        <v>40</v>
      </c>
      <c r="AI3265" s="23"/>
      <c r="AJ3265" s="23"/>
      <c r="AK3265" s="23">
        <v>890</v>
      </c>
      <c r="AL3265" s="23"/>
      <c r="AM3265" s="23"/>
      <c r="AN3265" s="23"/>
      <c r="AO3265" s="23"/>
      <c r="AP3265" s="23">
        <v>105</v>
      </c>
      <c r="AQ3265" s="23">
        <v>800</v>
      </c>
      <c r="AR3265" s="23">
        <v>5</v>
      </c>
      <c r="AS3265" s="23">
        <v>60</v>
      </c>
      <c r="AT3265" s="23"/>
      <c r="AU3265" s="14" t="str">
        <f>HYPERLINK("http://www.openstreetmap.org/?mlat=34.8789&amp;mlon=44.6124&amp;zoom=12#map=12/34.8789/44.6124","Maplink1")</f>
        <v>Maplink1</v>
      </c>
      <c r="AV3265" s="14" t="str">
        <f>HYPERLINK("https://www.google.iq/maps/search/+34.8789,44.6124/@34.8789,44.6124,14z?hl=en","Maplink2")</f>
        <v>Maplink2</v>
      </c>
      <c r="AW3265" s="14" t="str">
        <f>HYPERLINK("http://www.bing.com/maps/?lvl=14&amp;sty=h&amp;cp=34.8789~44.6124&amp;sp=point.34.8789_44.6124_Markaz Tooz-Hay Al Askari","Maplink3")</f>
        <v>Maplink3</v>
      </c>
    </row>
    <row r="3266" spans="1:49" ht="15" customHeight="1" x14ac:dyDescent="0.25">
      <c r="A3266" s="21">
        <v>25751</v>
      </c>
      <c r="B3266" s="22" t="s">
        <v>23</v>
      </c>
      <c r="C3266" s="22" t="s">
        <v>6238</v>
      </c>
      <c r="D3266" s="22" t="s">
        <v>6257</v>
      </c>
      <c r="E3266" s="22" t="s">
        <v>6258</v>
      </c>
      <c r="F3266" s="22">
        <v>34.891432999999999</v>
      </c>
      <c r="G3266" s="22">
        <v>44.633257999999998</v>
      </c>
      <c r="H3266" s="21" t="s">
        <v>6031</v>
      </c>
      <c r="I3266" s="21" t="s">
        <v>6240</v>
      </c>
      <c r="J3266" s="21"/>
      <c r="K3266" s="24">
        <v>10</v>
      </c>
      <c r="L3266" s="24">
        <v>60</v>
      </c>
      <c r="M3266" s="23"/>
      <c r="N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  <c r="Z3266" s="23"/>
      <c r="AA3266" s="23">
        <v>10</v>
      </c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>
        <v>10</v>
      </c>
      <c r="AL3266" s="23"/>
      <c r="AM3266" s="23"/>
      <c r="AN3266" s="23"/>
      <c r="AO3266" s="23"/>
      <c r="AP3266" s="23">
        <v>10</v>
      </c>
      <c r="AQ3266" s="23"/>
      <c r="AR3266" s="23"/>
      <c r="AS3266" s="23"/>
      <c r="AT3266" s="23"/>
      <c r="AU3266" s="14" t="str">
        <f>HYPERLINK("http://www.openstreetmap.org/?mlat=34.8914&amp;mlon=44.6333&amp;zoom=12#map=12/34.8914/44.6333","Maplink1")</f>
        <v>Maplink1</v>
      </c>
      <c r="AV3266" s="14" t="str">
        <f>HYPERLINK("https://www.google.iq/maps/search/+34.8914,44.6333/@34.8914,44.6333,14z?hl=en","Maplink2")</f>
        <v>Maplink2</v>
      </c>
      <c r="AW3266" s="14" t="str">
        <f>HYPERLINK("http://www.bing.com/maps/?lvl=14&amp;sty=h&amp;cp=34.8914~44.6333&amp;sp=point.34.8914_44.6333_Markaz Tooz-Hay Al Hussien 124","Maplink3")</f>
        <v>Maplink3</v>
      </c>
    </row>
    <row r="3267" spans="1:49" ht="15" customHeight="1" x14ac:dyDescent="0.25">
      <c r="A3267" s="21">
        <v>25752</v>
      </c>
      <c r="B3267" s="22" t="s">
        <v>23</v>
      </c>
      <c r="C3267" s="22" t="s">
        <v>6238</v>
      </c>
      <c r="D3267" s="22" t="s">
        <v>6259</v>
      </c>
      <c r="E3267" s="22" t="s">
        <v>8111</v>
      </c>
      <c r="F3267" s="22">
        <v>34.898582230000002</v>
      </c>
      <c r="G3267" s="22">
        <v>44.619590649999999</v>
      </c>
      <c r="H3267" s="21" t="s">
        <v>6031</v>
      </c>
      <c r="I3267" s="21" t="s">
        <v>6240</v>
      </c>
      <c r="J3267" s="21"/>
      <c r="K3267" s="24">
        <v>707</v>
      </c>
      <c r="L3267" s="24">
        <v>4242</v>
      </c>
      <c r="M3267" s="23"/>
      <c r="N3267" s="23"/>
      <c r="O3267" s="23"/>
      <c r="P3267" s="23"/>
      <c r="Q3267" s="23"/>
      <c r="R3267" s="23">
        <v>32</v>
      </c>
      <c r="S3267" s="23"/>
      <c r="T3267" s="23"/>
      <c r="U3267" s="23"/>
      <c r="V3267" s="23"/>
      <c r="W3267" s="23"/>
      <c r="X3267" s="23"/>
      <c r="Y3267" s="23"/>
      <c r="Z3267" s="23"/>
      <c r="AA3267" s="23">
        <v>675</v>
      </c>
      <c r="AB3267" s="23"/>
      <c r="AC3267" s="23"/>
      <c r="AD3267" s="23"/>
      <c r="AE3267" s="23"/>
      <c r="AF3267" s="23">
        <v>155</v>
      </c>
      <c r="AG3267" s="23"/>
      <c r="AH3267" s="23"/>
      <c r="AI3267" s="23"/>
      <c r="AJ3267" s="23"/>
      <c r="AK3267" s="23">
        <v>552</v>
      </c>
      <c r="AL3267" s="23"/>
      <c r="AM3267" s="23"/>
      <c r="AN3267" s="23"/>
      <c r="AO3267" s="23"/>
      <c r="AP3267" s="23">
        <v>125</v>
      </c>
      <c r="AQ3267" s="23">
        <v>582</v>
      </c>
      <c r="AR3267" s="23"/>
      <c r="AS3267" s="23"/>
      <c r="AT3267" s="23"/>
      <c r="AU3267" s="14" t="str">
        <f>HYPERLINK("http://www.openstreetmap.org/?mlat=34.8996&amp;mlon=44.6214&amp;zoom=12#map=12/34.8996/44.6214","Maplink1")</f>
        <v>Maplink1</v>
      </c>
      <c r="AV3267" s="14" t="str">
        <f>HYPERLINK("https://www.google.iq/maps/search/+34.8996,44.6214/@34.8996,44.6214,14z?hl=en","Maplink2")</f>
        <v>Maplink2</v>
      </c>
      <c r="AW3267" s="14" t="str">
        <f>HYPERLINK("http://www.bing.com/maps/?lvl=14&amp;sty=h&amp;cp=34.8996~44.6214&amp;sp=point.34.8996_44.6214_Markaz Tooz-Hay Al Taiyar 122","Maplink3")</f>
        <v>Maplink3</v>
      </c>
    </row>
    <row r="3268" spans="1:49" ht="15" customHeight="1" x14ac:dyDescent="0.25">
      <c r="A3268" s="21">
        <v>25756</v>
      </c>
      <c r="B3268" s="22" t="s">
        <v>23</v>
      </c>
      <c r="C3268" s="22" t="s">
        <v>6238</v>
      </c>
      <c r="D3268" s="22" t="s">
        <v>6260</v>
      </c>
      <c r="E3268" s="22" t="s">
        <v>6261</v>
      </c>
      <c r="F3268" s="22">
        <v>34.893346999999999</v>
      </c>
      <c r="G3268" s="22">
        <v>44.632852999999997</v>
      </c>
      <c r="H3268" s="21" t="s">
        <v>6031</v>
      </c>
      <c r="I3268" s="21" t="s">
        <v>6240</v>
      </c>
      <c r="J3268" s="21"/>
      <c r="K3268" s="24">
        <v>20</v>
      </c>
      <c r="L3268" s="24">
        <v>120</v>
      </c>
      <c r="M3268" s="23"/>
      <c r="N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>
        <v>20</v>
      </c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>
        <v>20</v>
      </c>
      <c r="AL3268" s="23"/>
      <c r="AM3268" s="23"/>
      <c r="AN3268" s="23"/>
      <c r="AO3268" s="23"/>
      <c r="AP3268" s="23">
        <v>20</v>
      </c>
      <c r="AQ3268" s="23"/>
      <c r="AR3268" s="23"/>
      <c r="AS3268" s="23"/>
      <c r="AT3268" s="23"/>
      <c r="AU3268" s="14" t="str">
        <f>HYPERLINK("http://www.openstreetmap.org/?mlat=34.8933&amp;mlon=44.6329&amp;zoom=12#map=12/34.8933/44.6329","Maplink1")</f>
        <v>Maplink1</v>
      </c>
      <c r="AV3268" s="14" t="str">
        <f>HYPERLINK("https://www.google.iq/maps/search/+34.8933,44.6329/@34.8933,44.6329,14z?hl=en","Maplink2")</f>
        <v>Maplink2</v>
      </c>
      <c r="AW3268" s="14" t="str">
        <f>HYPERLINK("http://www.bing.com/maps/?lvl=14&amp;sty=h&amp;cp=34.8933~44.6329&amp;sp=point.34.8933_44.6329_Markaz Tooz-Hay Aurtah","Maplink3")</f>
        <v>Maplink3</v>
      </c>
    </row>
    <row r="3269" spans="1:49" ht="15" customHeight="1" x14ac:dyDescent="0.25">
      <c r="A3269" s="21">
        <v>25750</v>
      </c>
      <c r="B3269" s="22" t="s">
        <v>23</v>
      </c>
      <c r="C3269" s="22" t="s">
        <v>6238</v>
      </c>
      <c r="D3269" s="22" t="s">
        <v>6262</v>
      </c>
      <c r="E3269" s="22" t="s">
        <v>6263</v>
      </c>
      <c r="F3269" s="22">
        <v>34.904719399999998</v>
      </c>
      <c r="G3269" s="22">
        <v>44.607167939999997</v>
      </c>
      <c r="H3269" s="21" t="s">
        <v>6031</v>
      </c>
      <c r="I3269" s="21" t="s">
        <v>6240</v>
      </c>
      <c r="J3269" s="21"/>
      <c r="K3269" s="24">
        <v>295</v>
      </c>
      <c r="L3269" s="24">
        <v>1770</v>
      </c>
      <c r="M3269" s="23">
        <v>12</v>
      </c>
      <c r="N3269" s="23"/>
      <c r="O3269" s="23"/>
      <c r="P3269" s="23"/>
      <c r="Q3269" s="23"/>
      <c r="R3269" s="23">
        <v>18</v>
      </c>
      <c r="S3269" s="23"/>
      <c r="T3269" s="23"/>
      <c r="U3269" s="23">
        <v>10</v>
      </c>
      <c r="V3269" s="23"/>
      <c r="W3269" s="23"/>
      <c r="X3269" s="23"/>
      <c r="Y3269" s="23">
        <v>2</v>
      </c>
      <c r="Z3269" s="23"/>
      <c r="AA3269" s="23">
        <v>253</v>
      </c>
      <c r="AB3269" s="23"/>
      <c r="AC3269" s="23"/>
      <c r="AD3269" s="23"/>
      <c r="AE3269" s="23"/>
      <c r="AF3269" s="23">
        <v>20</v>
      </c>
      <c r="AG3269" s="23"/>
      <c r="AH3269" s="23">
        <v>15</v>
      </c>
      <c r="AI3269" s="23"/>
      <c r="AJ3269" s="23"/>
      <c r="AK3269" s="23">
        <v>260</v>
      </c>
      <c r="AL3269" s="23"/>
      <c r="AM3269" s="23"/>
      <c r="AN3269" s="23"/>
      <c r="AO3269" s="23">
        <v>5</v>
      </c>
      <c r="AP3269" s="23">
        <v>25</v>
      </c>
      <c r="AQ3269" s="23">
        <v>250</v>
      </c>
      <c r="AR3269" s="23"/>
      <c r="AS3269" s="23">
        <v>15</v>
      </c>
      <c r="AT3269" s="23"/>
      <c r="AU3269" s="14" t="str">
        <f>HYPERLINK("http://www.openstreetmap.org/?mlat=34.9042&amp;mlon=44.6095&amp;zoom=12#map=12/34.9042/44.6095","Maplink1")</f>
        <v>Maplink1</v>
      </c>
      <c r="AV3269" s="14" t="str">
        <f>HYPERLINK("https://www.google.iq/maps/search/+34.9042,44.6095/@34.9042,44.6095,14z?hl=en","Maplink2")</f>
        <v>Maplink2</v>
      </c>
      <c r="AW3269" s="14" t="str">
        <f>HYPERLINK("http://www.bing.com/maps/?lvl=14&amp;sty=h&amp;cp=34.9042~44.6095&amp;sp=point.34.9042_44.6095_Markaz Tooz-Hay Brayati","Maplink3")</f>
        <v>Maplink3</v>
      </c>
    </row>
    <row r="3270" spans="1:49" ht="15" customHeight="1" x14ac:dyDescent="0.25">
      <c r="A3270" s="21">
        <v>25755</v>
      </c>
      <c r="B3270" s="22" t="s">
        <v>23</v>
      </c>
      <c r="C3270" s="22" t="s">
        <v>6238</v>
      </c>
      <c r="D3270" s="22" t="s">
        <v>6264</v>
      </c>
      <c r="E3270" s="22" t="s">
        <v>6265</v>
      </c>
      <c r="F3270" s="22">
        <v>34.879358000000003</v>
      </c>
      <c r="G3270" s="22">
        <v>44.624108</v>
      </c>
      <c r="H3270" s="21" t="s">
        <v>6031</v>
      </c>
      <c r="I3270" s="21" t="s">
        <v>6240</v>
      </c>
      <c r="J3270" s="21"/>
      <c r="K3270" s="24">
        <v>12</v>
      </c>
      <c r="L3270" s="24">
        <v>72</v>
      </c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>
        <v>12</v>
      </c>
      <c r="AB3270" s="23"/>
      <c r="AC3270" s="23"/>
      <c r="AD3270" s="23"/>
      <c r="AE3270" s="23"/>
      <c r="AF3270" s="23">
        <v>2</v>
      </c>
      <c r="AG3270" s="23"/>
      <c r="AH3270" s="23"/>
      <c r="AI3270" s="23"/>
      <c r="AJ3270" s="23"/>
      <c r="AK3270" s="23">
        <v>10</v>
      </c>
      <c r="AL3270" s="23"/>
      <c r="AM3270" s="23"/>
      <c r="AN3270" s="23"/>
      <c r="AO3270" s="23"/>
      <c r="AP3270" s="23">
        <v>10</v>
      </c>
      <c r="AQ3270" s="23"/>
      <c r="AR3270" s="23"/>
      <c r="AS3270" s="23">
        <v>2</v>
      </c>
      <c r="AT3270" s="23"/>
      <c r="AU3270" s="14" t="str">
        <f>HYPERLINK("http://www.openstreetmap.org/?mlat=34.8794&amp;mlon=44.6241&amp;zoom=12#map=12/34.8794/44.6241","Maplink1")</f>
        <v>Maplink1</v>
      </c>
      <c r="AV3270" s="14" t="str">
        <f>HYPERLINK("https://www.google.iq/maps/search/+34.8794,44.6241/@34.8794,44.6241,14z?hl=en","Maplink2")</f>
        <v>Maplink2</v>
      </c>
      <c r="AW3270" s="14" t="str">
        <f>HYPERLINK("http://www.bing.com/maps/?lvl=14&amp;sty=h&amp;cp=34.8794~44.6241&amp;sp=point.34.8794_44.6241_Markaz Tooz-Hay Imam Ahmed","Maplink3")</f>
        <v>Maplink3</v>
      </c>
    </row>
    <row r="3271" spans="1:49" ht="15" customHeight="1" x14ac:dyDescent="0.25">
      <c r="A3271" s="21">
        <v>25748</v>
      </c>
      <c r="B3271" s="22" t="s">
        <v>23</v>
      </c>
      <c r="C3271" s="22" t="s">
        <v>6238</v>
      </c>
      <c r="D3271" s="22" t="s">
        <v>6266</v>
      </c>
      <c r="E3271" s="22" t="s">
        <v>6267</v>
      </c>
      <c r="F3271" s="22">
        <v>34.989975000000001</v>
      </c>
      <c r="G3271" s="22">
        <v>44.597669000000003</v>
      </c>
      <c r="H3271" s="21" t="s">
        <v>6031</v>
      </c>
      <c r="I3271" s="21" t="s">
        <v>6240</v>
      </c>
      <c r="J3271" s="21"/>
      <c r="K3271" s="24">
        <v>3</v>
      </c>
      <c r="L3271" s="24">
        <v>18</v>
      </c>
      <c r="M3271" s="23"/>
      <c r="N3271" s="23"/>
      <c r="O3271" s="23"/>
      <c r="P3271" s="23"/>
      <c r="Q3271" s="23"/>
      <c r="R3271" s="23">
        <v>3</v>
      </c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>
        <v>3</v>
      </c>
      <c r="AG3271" s="23"/>
      <c r="AH3271" s="23"/>
      <c r="AI3271" s="23"/>
      <c r="AJ3271" s="23"/>
      <c r="AK3271" s="23"/>
      <c r="AL3271" s="23"/>
      <c r="AM3271" s="23"/>
      <c r="AN3271" s="23"/>
      <c r="AO3271" s="23"/>
      <c r="AP3271" s="23">
        <v>3</v>
      </c>
      <c r="AQ3271" s="23"/>
      <c r="AR3271" s="23"/>
      <c r="AS3271" s="23"/>
      <c r="AT3271" s="23"/>
      <c r="AU3271" s="14" t="str">
        <f>HYPERLINK("http://www.openstreetmap.org/?mlat=34.99&amp;mlon=44.5977&amp;zoom=12#map=12/34.99/44.5977","Maplink1")</f>
        <v>Maplink1</v>
      </c>
      <c r="AV3271" s="14" t="str">
        <f>HYPERLINK("https://www.google.iq/maps/search/+34.99,44.5977/@34.99,44.5977,14z?hl=en","Maplink2")</f>
        <v>Maplink2</v>
      </c>
      <c r="AW3271" s="14" t="str">
        <f>HYPERLINK("http://www.bing.com/maps/?lvl=14&amp;sty=h&amp;cp=34.99~44.5977&amp;sp=point.34.99_44.5977_Markaz Tooz-Jesir Dara","Maplink3")</f>
        <v>Maplink3</v>
      </c>
    </row>
    <row r="3272" spans="1:49" ht="15" customHeight="1" x14ac:dyDescent="0.25">
      <c r="A3272" s="21">
        <v>20430</v>
      </c>
      <c r="B3272" s="22" t="s">
        <v>23</v>
      </c>
      <c r="C3272" s="22" t="s">
        <v>6238</v>
      </c>
      <c r="D3272" s="22" t="s">
        <v>8112</v>
      </c>
      <c r="E3272" s="22" t="s">
        <v>8113</v>
      </c>
      <c r="F3272" s="22">
        <v>34.984560000000002</v>
      </c>
      <c r="G3272" s="22">
        <v>44.942397</v>
      </c>
      <c r="H3272" s="21" t="s">
        <v>6031</v>
      </c>
      <c r="I3272" s="21" t="s">
        <v>6240</v>
      </c>
      <c r="J3272" s="21" t="s">
        <v>8114</v>
      </c>
      <c r="K3272" s="24">
        <v>287</v>
      </c>
      <c r="L3272" s="24">
        <v>1722</v>
      </c>
      <c r="M3272" s="23"/>
      <c r="N3272" s="23"/>
      <c r="O3272" s="23"/>
      <c r="P3272" s="23"/>
      <c r="Q3272" s="23"/>
      <c r="R3272" s="23">
        <v>17</v>
      </c>
      <c r="S3272" s="23"/>
      <c r="T3272" s="23"/>
      <c r="U3272" s="23"/>
      <c r="V3272" s="23"/>
      <c r="W3272" s="23"/>
      <c r="X3272" s="23"/>
      <c r="Y3272" s="23"/>
      <c r="Z3272" s="23"/>
      <c r="AA3272" s="23">
        <v>270</v>
      </c>
      <c r="AB3272" s="23"/>
      <c r="AC3272" s="23"/>
      <c r="AD3272" s="23"/>
      <c r="AE3272" s="23"/>
      <c r="AF3272" s="23">
        <v>37</v>
      </c>
      <c r="AG3272" s="23"/>
      <c r="AH3272" s="23">
        <v>250</v>
      </c>
      <c r="AI3272" s="23"/>
      <c r="AJ3272" s="23"/>
      <c r="AK3272" s="23"/>
      <c r="AL3272" s="23"/>
      <c r="AM3272" s="23"/>
      <c r="AN3272" s="23"/>
      <c r="AO3272" s="23"/>
      <c r="AP3272" s="23">
        <v>200</v>
      </c>
      <c r="AQ3272" s="23">
        <v>87</v>
      </c>
      <c r="AR3272" s="23"/>
      <c r="AS3272" s="23"/>
      <c r="AT3272" s="23"/>
      <c r="AU3272" s="14" t="str">
        <f>HYPERLINK("http://www.openstreetmap.org/?mlat=34.9846&amp;mlon=44.9424&amp;zoom=12#map=12/34.9846/44.9424","Maplink1")</f>
        <v>Maplink1</v>
      </c>
      <c r="AV3272" s="14" t="str">
        <f>HYPERLINK("https://www.google.iq/maps/search/+34.9846,44.9424/@34.9846,44.9424,14z?hl=en","Maplink2")</f>
        <v>Maplink2</v>
      </c>
      <c r="AW3272" s="14" t="str">
        <f>HYPERLINK("http://www.bing.com/maps/?lvl=14&amp;sty=h&amp;cp=34.9846~44.9424&amp;sp=point.34.9846_44.9424","Maplink3")</f>
        <v>Maplink3</v>
      </c>
    </row>
    <row r="3273" spans="1:49" ht="15" customHeight="1" x14ac:dyDescent="0.25">
      <c r="A3273" s="21">
        <v>20405</v>
      </c>
      <c r="B3273" s="22" t="s">
        <v>23</v>
      </c>
      <c r="C3273" s="22" t="s">
        <v>6238</v>
      </c>
      <c r="D3273" s="22" t="s">
        <v>6268</v>
      </c>
      <c r="E3273" s="22" t="s">
        <v>6269</v>
      </c>
      <c r="F3273" s="22">
        <v>35.007885459999997</v>
      </c>
      <c r="G3273" s="22">
        <v>44.539071249999999</v>
      </c>
      <c r="H3273" s="21" t="s">
        <v>6031</v>
      </c>
      <c r="I3273" s="21" t="s">
        <v>6240</v>
      </c>
      <c r="J3273" s="21" t="s">
        <v>6270</v>
      </c>
      <c r="K3273" s="24">
        <v>302</v>
      </c>
      <c r="L3273" s="24">
        <v>1812</v>
      </c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/>
      <c r="Y3273" s="23"/>
      <c r="Z3273" s="23"/>
      <c r="AA3273" s="23">
        <v>302</v>
      </c>
      <c r="AB3273" s="23"/>
      <c r="AC3273" s="23"/>
      <c r="AD3273" s="23"/>
      <c r="AE3273" s="23"/>
      <c r="AF3273" s="23">
        <v>190</v>
      </c>
      <c r="AG3273" s="23"/>
      <c r="AH3273" s="23">
        <v>112</v>
      </c>
      <c r="AI3273" s="23"/>
      <c r="AJ3273" s="23"/>
      <c r="AK3273" s="23"/>
      <c r="AL3273" s="23"/>
      <c r="AM3273" s="23"/>
      <c r="AN3273" s="23"/>
      <c r="AO3273" s="23"/>
      <c r="AP3273" s="23">
        <v>273</v>
      </c>
      <c r="AQ3273" s="23">
        <v>7</v>
      </c>
      <c r="AR3273" s="23"/>
      <c r="AS3273" s="23"/>
      <c r="AT3273" s="23">
        <v>22</v>
      </c>
      <c r="AU3273" s="14" t="str">
        <f>HYPERLINK("http://www.openstreetmap.org/?mlat=35.0037&amp;mlon=44.5516&amp;zoom=12#map=12/35.0037/44.5516","Maplink1")</f>
        <v>Maplink1</v>
      </c>
      <c r="AV3273" s="14" t="str">
        <f>HYPERLINK("https://www.google.iq/maps/search/+35.0037,44.5516/@35.0037,44.5516,14z?hl=en","Maplink2")</f>
        <v>Maplink2</v>
      </c>
      <c r="AW3273" s="14" t="str">
        <f>HYPERLINK("http://www.bing.com/maps/?lvl=14&amp;sty=h&amp;cp=35.0037~44.5516&amp;sp=point.35.0037_44.5516_Sankur","Maplink3")</f>
        <v>Maplink3</v>
      </c>
    </row>
    <row r="3274" spans="1:49" ht="15" customHeight="1" x14ac:dyDescent="0.25">
      <c r="A3274" s="21">
        <v>25871</v>
      </c>
      <c r="B3274" s="22" t="s">
        <v>23</v>
      </c>
      <c r="C3274" s="22" t="s">
        <v>6238</v>
      </c>
      <c r="D3274" s="22" t="s">
        <v>6271</v>
      </c>
      <c r="E3274" s="22" t="s">
        <v>6272</v>
      </c>
      <c r="F3274" s="22">
        <v>34.798651100000001</v>
      </c>
      <c r="G3274" s="22">
        <v>44.728080880999997</v>
      </c>
      <c r="H3274" s="21" t="s">
        <v>6031</v>
      </c>
      <c r="I3274" s="21" t="s">
        <v>6240</v>
      </c>
      <c r="J3274" s="21"/>
      <c r="K3274" s="24">
        <v>570</v>
      </c>
      <c r="L3274" s="24">
        <v>3420</v>
      </c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/>
      <c r="Y3274" s="23"/>
      <c r="Z3274" s="23"/>
      <c r="AA3274" s="23">
        <v>570</v>
      </c>
      <c r="AB3274" s="23"/>
      <c r="AC3274" s="23"/>
      <c r="AD3274" s="23"/>
      <c r="AE3274" s="23"/>
      <c r="AF3274" s="23"/>
      <c r="AG3274" s="23"/>
      <c r="AH3274" s="23">
        <v>570</v>
      </c>
      <c r="AI3274" s="23"/>
      <c r="AJ3274" s="23"/>
      <c r="AK3274" s="23"/>
      <c r="AL3274" s="23"/>
      <c r="AM3274" s="23"/>
      <c r="AN3274" s="23"/>
      <c r="AO3274" s="23"/>
      <c r="AP3274" s="23">
        <v>20</v>
      </c>
      <c r="AQ3274" s="23">
        <v>285</v>
      </c>
      <c r="AR3274" s="23"/>
      <c r="AS3274" s="23">
        <v>265</v>
      </c>
      <c r="AT3274" s="23"/>
      <c r="AU3274" s="14" t="str">
        <f>HYPERLINK("http://www.openstreetmap.org/?mlat=34.7744&amp;mlon=44.826&amp;zoom=12#map=12/34.7744/44.826","Maplink1")</f>
        <v>Maplink1</v>
      </c>
      <c r="AV3274" s="14" t="str">
        <f>HYPERLINK("https://www.google.iq/maps/search/+34.7744,44.826/@34.7744,44.826,14z?hl=en","Maplink2")</f>
        <v>Maplink2</v>
      </c>
      <c r="AW3274" s="14" t="str">
        <f>HYPERLINK("http://www.bing.com/maps/?lvl=14&amp;sty=h&amp;cp=34.7744~44.826&amp;sp=point.34.7744_44.826_Shaikh Abd village","Maplink3")</f>
        <v>Maplink3</v>
      </c>
    </row>
    <row r="3275" spans="1:49" ht="15" customHeight="1" x14ac:dyDescent="0.25">
      <c r="A3275" s="21">
        <v>25870</v>
      </c>
      <c r="B3275" s="22" t="s">
        <v>23</v>
      </c>
      <c r="C3275" s="22" t="s">
        <v>6238</v>
      </c>
      <c r="D3275" s="22" t="s">
        <v>6273</v>
      </c>
      <c r="E3275" s="22" t="s">
        <v>6274</v>
      </c>
      <c r="F3275" s="22">
        <v>34.732737999999998</v>
      </c>
      <c r="G3275" s="22">
        <v>44.800704000000003</v>
      </c>
      <c r="H3275" s="21" t="s">
        <v>6031</v>
      </c>
      <c r="I3275" s="21" t="s">
        <v>6240</v>
      </c>
      <c r="J3275" s="21"/>
      <c r="K3275" s="24">
        <v>380</v>
      </c>
      <c r="L3275" s="24">
        <v>2280</v>
      </c>
      <c r="M3275" s="23"/>
      <c r="N3275" s="23"/>
      <c r="O3275" s="23"/>
      <c r="P3275" s="23"/>
      <c r="Q3275" s="23"/>
      <c r="R3275" s="23">
        <v>30</v>
      </c>
      <c r="S3275" s="23"/>
      <c r="T3275" s="23"/>
      <c r="U3275" s="23"/>
      <c r="V3275" s="23"/>
      <c r="W3275" s="23"/>
      <c r="X3275" s="23"/>
      <c r="Y3275" s="23"/>
      <c r="Z3275" s="23"/>
      <c r="AA3275" s="23">
        <v>350</v>
      </c>
      <c r="AB3275" s="23"/>
      <c r="AC3275" s="23"/>
      <c r="AD3275" s="23"/>
      <c r="AE3275" s="23"/>
      <c r="AF3275" s="23">
        <v>160</v>
      </c>
      <c r="AG3275" s="23"/>
      <c r="AH3275" s="23">
        <v>220</v>
      </c>
      <c r="AI3275" s="23"/>
      <c r="AJ3275" s="23"/>
      <c r="AK3275" s="23"/>
      <c r="AL3275" s="23"/>
      <c r="AM3275" s="23"/>
      <c r="AN3275" s="23"/>
      <c r="AO3275" s="23"/>
      <c r="AP3275" s="23">
        <v>35</v>
      </c>
      <c r="AQ3275" s="23">
        <v>345</v>
      </c>
      <c r="AR3275" s="23"/>
      <c r="AS3275" s="23"/>
      <c r="AT3275" s="23"/>
      <c r="AU3275" s="14" t="str">
        <f>HYPERLINK("http://www.openstreetmap.org/?mlat=34.7327&amp;mlon=44.8007&amp;zoom=12#map=12/34.7327/44.8007","Maplink1")</f>
        <v>Maplink1</v>
      </c>
      <c r="AV3275" s="14" t="str">
        <f>HYPERLINK("https://www.google.iq/maps/search/+34.7327,44.8007/@34.7327,44.8007,14z?hl=en","Maplink2")</f>
        <v>Maplink2</v>
      </c>
      <c r="AW3275" s="14" t="str">
        <f>HYPERLINK("http://www.bing.com/maps/?lvl=14&amp;sty=h&amp;cp=34.7327~44.8007&amp;sp=point.34.7327_44.8007_Tal Al Naqqar","Maplink3")</f>
        <v>Maplink3</v>
      </c>
    </row>
    <row r="3276" spans="1:49" ht="15" customHeight="1" x14ac:dyDescent="0.25">
      <c r="A3276" s="21">
        <v>20992</v>
      </c>
      <c r="B3276" s="22" t="s">
        <v>23</v>
      </c>
      <c r="C3276" s="22" t="s">
        <v>6238</v>
      </c>
      <c r="D3276" s="22" t="s">
        <v>6275</v>
      </c>
      <c r="E3276" s="22" t="s">
        <v>6276</v>
      </c>
      <c r="F3276" s="22">
        <v>34.875630999999998</v>
      </c>
      <c r="G3276" s="22">
        <v>44.625661000000001</v>
      </c>
      <c r="H3276" s="21" t="s">
        <v>6031</v>
      </c>
      <c r="I3276" s="21" t="s">
        <v>6240</v>
      </c>
      <c r="J3276" s="21" t="s">
        <v>6277</v>
      </c>
      <c r="K3276" s="24">
        <v>270</v>
      </c>
      <c r="L3276" s="24">
        <v>1620</v>
      </c>
      <c r="M3276" s="23">
        <v>15</v>
      </c>
      <c r="N3276" s="23"/>
      <c r="O3276" s="23"/>
      <c r="P3276" s="23"/>
      <c r="Q3276" s="23"/>
      <c r="R3276" s="23"/>
      <c r="S3276" s="23"/>
      <c r="T3276" s="23"/>
      <c r="U3276" s="23">
        <v>5</v>
      </c>
      <c r="V3276" s="23"/>
      <c r="W3276" s="23"/>
      <c r="X3276" s="23"/>
      <c r="Y3276" s="23"/>
      <c r="Z3276" s="23"/>
      <c r="AA3276" s="23">
        <v>250</v>
      </c>
      <c r="AB3276" s="23"/>
      <c r="AC3276" s="23"/>
      <c r="AD3276" s="23"/>
      <c r="AE3276" s="23"/>
      <c r="AF3276" s="23">
        <v>10</v>
      </c>
      <c r="AG3276" s="23"/>
      <c r="AH3276" s="23">
        <v>30</v>
      </c>
      <c r="AI3276" s="23"/>
      <c r="AJ3276" s="23"/>
      <c r="AK3276" s="23">
        <v>230</v>
      </c>
      <c r="AL3276" s="23"/>
      <c r="AM3276" s="23"/>
      <c r="AN3276" s="23"/>
      <c r="AO3276" s="23">
        <v>80</v>
      </c>
      <c r="AP3276" s="23">
        <v>150</v>
      </c>
      <c r="AQ3276" s="23">
        <v>20</v>
      </c>
      <c r="AR3276" s="23">
        <v>5</v>
      </c>
      <c r="AS3276" s="23">
        <v>15</v>
      </c>
      <c r="AT3276" s="23"/>
      <c r="AU3276" s="14" t="str">
        <f>HYPERLINK("http://www.openstreetmap.org/?mlat=34.8756&amp;mlon=44.6257&amp;zoom=12#map=12/34.8756/44.6257","Maplink1")</f>
        <v>Maplink1</v>
      </c>
      <c r="AV3276" s="14" t="str">
        <f>HYPERLINK("https://www.google.iq/maps/search/+34.8756,44.6257/@34.8756,44.6257,14z?hl=en","Maplink2")</f>
        <v>Maplink2</v>
      </c>
      <c r="AW3276" s="14" t="str">
        <f>HYPERLINK("http://www.bing.com/maps/?lvl=14&amp;sty=h&amp;cp=34.8756~44.6257&amp;sp=point.34.8756_44.6257_Tooz-Hay Al Teen","Maplink3")</f>
        <v>Maplink3</v>
      </c>
    </row>
    <row r="3277" spans="1:49" ht="15" customHeight="1" x14ac:dyDescent="0.25">
      <c r="A3277" s="21">
        <v>25872</v>
      </c>
      <c r="B3277" s="22" t="s">
        <v>23</v>
      </c>
      <c r="C3277" s="22" t="s">
        <v>6238</v>
      </c>
      <c r="D3277" s="22" t="s">
        <v>6278</v>
      </c>
      <c r="E3277" s="22" t="s">
        <v>6279</v>
      </c>
      <c r="F3277" s="22">
        <v>34.906166829999997</v>
      </c>
      <c r="G3277" s="22">
        <v>44.623025839999997</v>
      </c>
      <c r="H3277" s="21" t="s">
        <v>6031</v>
      </c>
      <c r="I3277" s="21" t="s">
        <v>6240</v>
      </c>
      <c r="J3277" s="21"/>
      <c r="K3277" s="24">
        <v>520</v>
      </c>
      <c r="L3277" s="24">
        <v>3120</v>
      </c>
      <c r="M3277" s="23"/>
      <c r="N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>
        <v>520</v>
      </c>
      <c r="AB3277" s="23"/>
      <c r="AC3277" s="23"/>
      <c r="AD3277" s="23"/>
      <c r="AE3277" s="23"/>
      <c r="AF3277" s="23">
        <v>30</v>
      </c>
      <c r="AG3277" s="23"/>
      <c r="AH3277" s="23">
        <v>190</v>
      </c>
      <c r="AI3277" s="23"/>
      <c r="AJ3277" s="23"/>
      <c r="AK3277" s="23">
        <v>300</v>
      </c>
      <c r="AL3277" s="23"/>
      <c r="AM3277" s="23"/>
      <c r="AN3277" s="23"/>
      <c r="AO3277" s="23"/>
      <c r="AP3277" s="23">
        <v>410</v>
      </c>
      <c r="AQ3277" s="23">
        <v>100</v>
      </c>
      <c r="AR3277" s="23"/>
      <c r="AS3277" s="23">
        <v>10</v>
      </c>
      <c r="AT3277" s="23"/>
      <c r="AU3277" s="14" t="str">
        <f>HYPERLINK("http://www.openstreetmap.org/?mlat=34.8771&amp;mlon=44.6291&amp;zoom=12#map=12/34.8771/44.6291","Maplink1")</f>
        <v>Maplink1</v>
      </c>
      <c r="AV3277" s="14" t="str">
        <f>HYPERLINK("https://www.google.iq/maps/search/+34.8771,44.6291/@34.8771,44.6291,14z?hl=en","Maplink2")</f>
        <v>Maplink2</v>
      </c>
      <c r="AW3277" s="14" t="str">
        <f>HYPERLINK("http://www.bing.com/maps/?lvl=14&amp;sty=h&amp;cp=34.8771~44.6291&amp;sp=point.34.8771_44.6291_Unformal Shelter","Maplink3")</f>
        <v>Maplink3</v>
      </c>
    </row>
    <row r="3278" spans="1:49" ht="15" customHeight="1" x14ac:dyDescent="0.25">
      <c r="A3278" s="21">
        <v>4658</v>
      </c>
      <c r="B3278" s="22" t="s">
        <v>24</v>
      </c>
      <c r="C3278" s="22" t="s">
        <v>6280</v>
      </c>
      <c r="D3278" s="22" t="s">
        <v>6281</v>
      </c>
      <c r="E3278" s="22" t="s">
        <v>6282</v>
      </c>
      <c r="F3278" s="22">
        <v>35.750279999999997</v>
      </c>
      <c r="G3278" s="22">
        <v>44.899250000000002</v>
      </c>
      <c r="H3278" s="21" t="s">
        <v>6283</v>
      </c>
      <c r="I3278" s="21" t="s">
        <v>6284</v>
      </c>
      <c r="J3278" s="21" t="s">
        <v>6285</v>
      </c>
      <c r="K3278" s="24">
        <v>66</v>
      </c>
      <c r="L3278" s="24">
        <v>396</v>
      </c>
      <c r="M3278" s="23">
        <v>22</v>
      </c>
      <c r="N3278" s="23">
        <v>5</v>
      </c>
      <c r="O3278" s="23">
        <v>6</v>
      </c>
      <c r="P3278" s="23"/>
      <c r="Q3278" s="23"/>
      <c r="R3278" s="23">
        <v>2</v>
      </c>
      <c r="S3278" s="23"/>
      <c r="T3278" s="23"/>
      <c r="U3278" s="23"/>
      <c r="V3278" s="23"/>
      <c r="W3278" s="23"/>
      <c r="X3278" s="23"/>
      <c r="Y3278" s="23">
        <v>28</v>
      </c>
      <c r="Z3278" s="23"/>
      <c r="AA3278" s="23">
        <v>3</v>
      </c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>
        <v>66</v>
      </c>
      <c r="AL3278" s="23"/>
      <c r="AM3278" s="23"/>
      <c r="AN3278" s="23"/>
      <c r="AO3278" s="23">
        <v>8</v>
      </c>
      <c r="AP3278" s="23">
        <v>8</v>
      </c>
      <c r="AQ3278" s="23">
        <v>31</v>
      </c>
      <c r="AR3278" s="23">
        <v>7</v>
      </c>
      <c r="AS3278" s="23">
        <v>12</v>
      </c>
      <c r="AT3278" s="23"/>
      <c r="AU3278" s="14" t="str">
        <f>HYPERLINK("http://www.openstreetmap.org/?mlat=35.7503&amp;mlon=44.8993&amp;zoom=12#map=12/35.7503/44.8993","Maplink1")</f>
        <v>Maplink1</v>
      </c>
      <c r="AV3278" s="14" t="str">
        <f>HYPERLINK("https://www.google.iq/maps/search/+35.7503,44.8993/@35.7503,44.8993,14z?hl=en","Maplink2")</f>
        <v>Maplink2</v>
      </c>
      <c r="AW3278" s="14" t="str">
        <f>HYPERLINK("http://www.bing.com/maps/?lvl=14&amp;sty=h&amp;cp=35.7503~44.8993&amp;sp=point.35.7503_44.8993_Aghjalar","Maplink3")</f>
        <v>Maplink3</v>
      </c>
    </row>
    <row r="3279" spans="1:49" ht="15" customHeight="1" x14ac:dyDescent="0.25">
      <c r="A3279" s="21">
        <v>24688</v>
      </c>
      <c r="B3279" s="22" t="s">
        <v>24</v>
      </c>
      <c r="C3279" s="22" t="s">
        <v>6280</v>
      </c>
      <c r="D3279" s="22" t="s">
        <v>6286</v>
      </c>
      <c r="E3279" s="22" t="s">
        <v>6287</v>
      </c>
      <c r="F3279" s="22">
        <v>35.524540000000002</v>
      </c>
      <c r="G3279" s="22">
        <v>44.81803</v>
      </c>
      <c r="H3279" s="21" t="s">
        <v>6283</v>
      </c>
      <c r="I3279" s="21" t="s">
        <v>6284</v>
      </c>
      <c r="J3279" s="21"/>
      <c r="K3279" s="24">
        <v>501</v>
      </c>
      <c r="L3279" s="24">
        <v>3006</v>
      </c>
      <c r="M3279" s="23">
        <v>423</v>
      </c>
      <c r="N3279" s="23">
        <v>41</v>
      </c>
      <c r="O3279" s="23">
        <v>14</v>
      </c>
      <c r="P3279" s="23"/>
      <c r="Q3279" s="23"/>
      <c r="R3279" s="23">
        <v>2</v>
      </c>
      <c r="S3279" s="23"/>
      <c r="T3279" s="23"/>
      <c r="U3279" s="23"/>
      <c r="V3279" s="23"/>
      <c r="W3279" s="23"/>
      <c r="X3279" s="23"/>
      <c r="Y3279" s="23">
        <v>13</v>
      </c>
      <c r="Z3279" s="23"/>
      <c r="AA3279" s="23">
        <v>8</v>
      </c>
      <c r="AB3279" s="23"/>
      <c r="AC3279" s="23"/>
      <c r="AD3279" s="23"/>
      <c r="AE3279" s="23"/>
      <c r="AF3279" s="23"/>
      <c r="AG3279" s="23"/>
      <c r="AH3279" s="23">
        <v>9</v>
      </c>
      <c r="AI3279" s="23"/>
      <c r="AJ3279" s="23"/>
      <c r="AK3279" s="23">
        <v>363</v>
      </c>
      <c r="AL3279" s="23"/>
      <c r="AM3279" s="23">
        <v>129</v>
      </c>
      <c r="AN3279" s="23"/>
      <c r="AO3279" s="23">
        <v>93</v>
      </c>
      <c r="AP3279" s="23">
        <v>114</v>
      </c>
      <c r="AQ3279" s="23">
        <v>46</v>
      </c>
      <c r="AR3279" s="23">
        <v>85</v>
      </c>
      <c r="AS3279" s="23">
        <v>163</v>
      </c>
      <c r="AT3279" s="23"/>
      <c r="AU3279" s="14" t="str">
        <f>HYPERLINK("http://www.openstreetmap.org/?mlat=35.5245&amp;mlon=44.818&amp;zoom=12#map=12/35.5245/44.818","Maplink1")</f>
        <v>Maplink1</v>
      </c>
      <c r="AV3279" s="14" t="str">
        <f>HYPERLINK("https://www.google.iq/maps/search/+35.5245,44.818/@35.5245,44.818,14z?hl=en","Maplink2")</f>
        <v>Maplink2</v>
      </c>
      <c r="AW3279" s="14" t="str">
        <f>HYPERLINK("http://www.bing.com/maps/?lvl=14&amp;sty=h&amp;cp=35.5245~44.818&amp;sp=point.35.5245_44.818_Asuda","Maplink3")</f>
        <v>Maplink3</v>
      </c>
    </row>
    <row r="3280" spans="1:49" ht="15" customHeight="1" x14ac:dyDescent="0.25">
      <c r="A3280" s="21">
        <v>6024</v>
      </c>
      <c r="B3280" s="22" t="s">
        <v>24</v>
      </c>
      <c r="C3280" s="22" t="s">
        <v>6280</v>
      </c>
      <c r="D3280" s="22" t="s">
        <v>3727</v>
      </c>
      <c r="E3280" s="22" t="s">
        <v>6288</v>
      </c>
      <c r="F3280" s="22">
        <v>35.52787</v>
      </c>
      <c r="G3280" s="22">
        <v>44.820140000000002</v>
      </c>
      <c r="H3280" s="21" t="s">
        <v>6283</v>
      </c>
      <c r="I3280" s="21" t="s">
        <v>6284</v>
      </c>
      <c r="J3280" s="21" t="s">
        <v>6289</v>
      </c>
      <c r="K3280" s="24">
        <v>197</v>
      </c>
      <c r="L3280" s="24">
        <v>1182</v>
      </c>
      <c r="M3280" s="23">
        <v>171</v>
      </c>
      <c r="N3280" s="23">
        <v>4</v>
      </c>
      <c r="O3280" s="23">
        <v>16</v>
      </c>
      <c r="P3280" s="23"/>
      <c r="Q3280" s="23"/>
      <c r="R3280" s="23">
        <v>3</v>
      </c>
      <c r="S3280" s="23"/>
      <c r="T3280" s="23"/>
      <c r="U3280" s="23"/>
      <c r="V3280" s="23"/>
      <c r="W3280" s="23"/>
      <c r="X3280" s="23"/>
      <c r="Y3280" s="23"/>
      <c r="Z3280" s="23"/>
      <c r="AA3280" s="23">
        <v>3</v>
      </c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>
        <v>197</v>
      </c>
      <c r="AL3280" s="23"/>
      <c r="AM3280" s="23"/>
      <c r="AN3280" s="23"/>
      <c r="AO3280" s="23">
        <v>75</v>
      </c>
      <c r="AP3280" s="23">
        <v>36</v>
      </c>
      <c r="AQ3280" s="23">
        <v>22</v>
      </c>
      <c r="AR3280" s="23">
        <v>27</v>
      </c>
      <c r="AS3280" s="23">
        <v>35</v>
      </c>
      <c r="AT3280" s="23">
        <v>2</v>
      </c>
      <c r="AU3280" s="14" t="str">
        <f>HYPERLINK("http://www.openstreetmap.org/?mlat=35.71&amp;mlon=44.93&amp;zoom=12#map=12/35.71/44.93","Maplink1")</f>
        <v>Maplink1</v>
      </c>
      <c r="AV3280" s="14" t="str">
        <f>HYPERLINK("https://www.google.iq/maps/search/+35.71,44.93/@35.71,44.93,14z?hl=en","Maplink2")</f>
        <v>Maplink2</v>
      </c>
      <c r="AW3280" s="14" t="str">
        <f>HYPERLINK("http://www.bing.com/maps/?lvl=14&amp;sty=h&amp;cp=35.71~44.93&amp;sp=point.35.71_44.93_Azady","Maplink3")</f>
        <v>Maplink3</v>
      </c>
    </row>
    <row r="3281" spans="1:49" ht="15" customHeight="1" x14ac:dyDescent="0.25">
      <c r="A3281" s="21">
        <v>22080</v>
      </c>
      <c r="B3281" s="22" t="s">
        <v>24</v>
      </c>
      <c r="C3281" s="22" t="s">
        <v>6280</v>
      </c>
      <c r="D3281" s="22" t="s">
        <v>6290</v>
      </c>
      <c r="E3281" s="22" t="s">
        <v>6291</v>
      </c>
      <c r="F3281" s="22">
        <v>35.544820000000001</v>
      </c>
      <c r="G3281" s="22">
        <v>44.83305</v>
      </c>
      <c r="H3281" s="21" t="s">
        <v>6283</v>
      </c>
      <c r="I3281" s="21" t="s">
        <v>6284</v>
      </c>
      <c r="J3281" s="21" t="s">
        <v>6292</v>
      </c>
      <c r="K3281" s="24">
        <v>109</v>
      </c>
      <c r="L3281" s="24">
        <v>654</v>
      </c>
      <c r="M3281" s="23">
        <v>89</v>
      </c>
      <c r="N3281" s="23"/>
      <c r="O3281" s="23">
        <v>8</v>
      </c>
      <c r="P3281" s="23"/>
      <c r="Q3281" s="23"/>
      <c r="R3281" s="23">
        <v>3</v>
      </c>
      <c r="S3281" s="23"/>
      <c r="T3281" s="23"/>
      <c r="U3281" s="23"/>
      <c r="V3281" s="23"/>
      <c r="W3281" s="23"/>
      <c r="X3281" s="23"/>
      <c r="Y3281" s="23">
        <v>9</v>
      </c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109</v>
      </c>
      <c r="AL3281" s="23"/>
      <c r="AM3281" s="23"/>
      <c r="AN3281" s="23"/>
      <c r="AO3281" s="23">
        <v>22</v>
      </c>
      <c r="AP3281" s="23">
        <v>14</v>
      </c>
      <c r="AQ3281" s="23">
        <v>9</v>
      </c>
      <c r="AR3281" s="23">
        <v>31</v>
      </c>
      <c r="AS3281" s="23">
        <v>33</v>
      </c>
      <c r="AT3281" s="23"/>
      <c r="AU3281" s="14" t="str">
        <f>HYPERLINK("http://www.openstreetmap.org/?mlat=35.5448&amp;mlon=44.8331&amp;zoom=12#map=12/35.5448/44.8331","Maplink1")</f>
        <v>Maplink1</v>
      </c>
      <c r="AV3281" s="14" t="str">
        <f>HYPERLINK("https://www.google.iq/maps/search/+35.5448,44.8331/@35.5448,44.8331,14z?hl=en","Maplink2")</f>
        <v>Maplink2</v>
      </c>
      <c r="AW3281" s="14" t="str">
        <f>HYPERLINK("http://www.bing.com/maps/?lvl=14&amp;sty=h&amp;cp=35.5448~44.8331&amp;sp=point.35.5448_44.8331_Bekas","Maplink3")</f>
        <v>Maplink3</v>
      </c>
    </row>
    <row r="3282" spans="1:49" ht="15" customHeight="1" x14ac:dyDescent="0.25">
      <c r="A3282" s="21">
        <v>24894</v>
      </c>
      <c r="B3282" s="22" t="s">
        <v>24</v>
      </c>
      <c r="C3282" s="22" t="s">
        <v>6280</v>
      </c>
      <c r="D3282" s="22" t="s">
        <v>6293</v>
      </c>
      <c r="E3282" s="22" t="s">
        <v>9148</v>
      </c>
      <c r="F3282" s="22">
        <v>35.530760000000001</v>
      </c>
      <c r="G3282" s="22">
        <v>44.833350000000003</v>
      </c>
      <c r="H3282" s="21" t="s">
        <v>6283</v>
      </c>
      <c r="I3282" s="21" t="s">
        <v>6284</v>
      </c>
      <c r="J3282" s="21"/>
      <c r="K3282" s="24">
        <v>156</v>
      </c>
      <c r="L3282" s="24">
        <v>936</v>
      </c>
      <c r="M3282" s="23">
        <v>141</v>
      </c>
      <c r="N3282" s="23">
        <v>5</v>
      </c>
      <c r="O3282" s="23">
        <v>10</v>
      </c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>
        <v>156</v>
      </c>
      <c r="AL3282" s="23"/>
      <c r="AM3282" s="23"/>
      <c r="AN3282" s="23"/>
      <c r="AO3282" s="23">
        <v>41</v>
      </c>
      <c r="AP3282" s="23">
        <v>30</v>
      </c>
      <c r="AQ3282" s="23">
        <v>15</v>
      </c>
      <c r="AR3282" s="23">
        <v>35</v>
      </c>
      <c r="AS3282" s="23">
        <v>29</v>
      </c>
      <c r="AT3282" s="23">
        <v>6</v>
      </c>
      <c r="AU3282" s="14" t="str">
        <f>HYPERLINK("http://www.openstreetmap.org/?mlat=35.5308&amp;mlon=44.8334&amp;zoom=12#map=12/35.5308/44.8334","Maplink1")</f>
        <v>Maplink1</v>
      </c>
      <c r="AV3282" s="14" t="str">
        <f>HYPERLINK("https://www.google.iq/maps/search/+35.5308,44.8334/@35.5308,44.8334,14z?hl=en","Maplink2")</f>
        <v>Maplink2</v>
      </c>
      <c r="AW3282" s="14" t="str">
        <f>HYPERLINK("http://www.bing.com/maps/?lvl=14&amp;sty=h&amp;cp=35.5308~44.8334&amp;sp=point.35.5308_44.8334_Chamchamal-Raparin","Maplink3")</f>
        <v>Maplink3</v>
      </c>
    </row>
    <row r="3283" spans="1:49" ht="15" customHeight="1" x14ac:dyDescent="0.25">
      <c r="A3283" s="21">
        <v>6159</v>
      </c>
      <c r="B3283" s="22" t="s">
        <v>24</v>
      </c>
      <c r="C3283" s="22" t="s">
        <v>6280</v>
      </c>
      <c r="D3283" s="22" t="s">
        <v>6294</v>
      </c>
      <c r="E3283" s="22" t="s">
        <v>9149</v>
      </c>
      <c r="F3283" s="22">
        <v>35.530140000000003</v>
      </c>
      <c r="G3283" s="22">
        <v>44.830010000000001</v>
      </c>
      <c r="H3283" s="21" t="s">
        <v>6283</v>
      </c>
      <c r="I3283" s="21" t="s">
        <v>6284</v>
      </c>
      <c r="J3283" s="21" t="s">
        <v>6295</v>
      </c>
      <c r="K3283" s="24">
        <v>87</v>
      </c>
      <c r="L3283" s="24">
        <v>522</v>
      </c>
      <c r="M3283" s="23">
        <v>82</v>
      </c>
      <c r="N3283" s="23">
        <v>3</v>
      </c>
      <c r="O3283" s="23">
        <v>2</v>
      </c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>
        <v>87</v>
      </c>
      <c r="AL3283" s="23"/>
      <c r="AM3283" s="23"/>
      <c r="AN3283" s="23"/>
      <c r="AO3283" s="23">
        <v>36</v>
      </c>
      <c r="AP3283" s="23">
        <v>16</v>
      </c>
      <c r="AQ3283" s="23">
        <v>8</v>
      </c>
      <c r="AR3283" s="23">
        <v>9</v>
      </c>
      <c r="AS3283" s="23">
        <v>18</v>
      </c>
      <c r="AT3283" s="23"/>
      <c r="AU3283" s="14" t="str">
        <f>HYPERLINK("http://www.openstreetmap.org/?mlat=35.53&amp;mlon=44.83&amp;zoom=12#map=12/35.53/44.83","Maplink1")</f>
        <v>Maplink1</v>
      </c>
      <c r="AV3283" s="14" t="str">
        <f>HYPERLINK("https://www.google.iq/maps/search/+35.53,44.83/@35.53,44.83,14z?hl=en","Maplink2")</f>
        <v>Maplink2</v>
      </c>
      <c r="AW3283" s="14" t="str">
        <f>HYPERLINK("http://www.bing.com/maps/?lvl=14&amp;sty=h&amp;cp=35.53~44.83&amp;sp=point.35.53_44.83_Chamchamal-Rizgari","Maplink3")</f>
        <v>Maplink3</v>
      </c>
    </row>
    <row r="3284" spans="1:49" ht="15" customHeight="1" x14ac:dyDescent="0.25">
      <c r="A3284" s="21">
        <v>25572</v>
      </c>
      <c r="B3284" s="22" t="s">
        <v>24</v>
      </c>
      <c r="C3284" s="22" t="s">
        <v>6280</v>
      </c>
      <c r="D3284" s="22" t="s">
        <v>6296</v>
      </c>
      <c r="E3284" s="22" t="s">
        <v>6297</v>
      </c>
      <c r="F3284" s="22">
        <v>35.505659999999999</v>
      </c>
      <c r="G3284" s="22">
        <v>44.831780000000002</v>
      </c>
      <c r="H3284" s="21" t="s">
        <v>6283</v>
      </c>
      <c r="I3284" s="21" t="s">
        <v>6284</v>
      </c>
      <c r="J3284" s="21"/>
      <c r="K3284" s="24">
        <v>25</v>
      </c>
      <c r="L3284" s="24">
        <v>150</v>
      </c>
      <c r="M3284" s="23">
        <v>25</v>
      </c>
      <c r="N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>
        <v>25</v>
      </c>
      <c r="AL3284" s="23"/>
      <c r="AM3284" s="23"/>
      <c r="AN3284" s="23"/>
      <c r="AO3284" s="23">
        <v>19</v>
      </c>
      <c r="AP3284" s="23">
        <v>3</v>
      </c>
      <c r="AQ3284" s="23"/>
      <c r="AR3284" s="23">
        <v>3</v>
      </c>
      <c r="AS3284" s="23"/>
      <c r="AT3284" s="23"/>
      <c r="AU3284" s="14" t="str">
        <f>HYPERLINK("http://www.openstreetmap.org/?mlat=35.5057&amp;mlon=44.8318&amp;zoom=12#map=12/35.5057/44.8318","Maplink1")</f>
        <v>Maplink1</v>
      </c>
      <c r="AV3284" s="14" t="str">
        <f>HYPERLINK("https://www.google.iq/maps/search/+35.5057,44.8318/@35.5057,44.8318,14z?hl=en","Maplink2")</f>
        <v>Maplink2</v>
      </c>
      <c r="AW3284" s="14" t="str">
        <f>HYPERLINK("http://www.bing.com/maps/?lvl=14&amp;sty=h&amp;cp=35.5057~44.8318&amp;sp=point.35.5057_44.8318_Farqanikan","Maplink3")</f>
        <v>Maplink3</v>
      </c>
    </row>
    <row r="3285" spans="1:49" ht="15" customHeight="1" x14ac:dyDescent="0.25">
      <c r="A3285" s="21">
        <v>5853</v>
      </c>
      <c r="B3285" s="22" t="s">
        <v>24</v>
      </c>
      <c r="C3285" s="22" t="s">
        <v>6280</v>
      </c>
      <c r="D3285" s="22" t="s">
        <v>6298</v>
      </c>
      <c r="E3285" s="22" t="s">
        <v>6299</v>
      </c>
      <c r="F3285" s="22">
        <v>35.550199999999997</v>
      </c>
      <c r="G3285" s="22">
        <v>44.840009999999999</v>
      </c>
      <c r="H3285" s="21" t="s">
        <v>6283</v>
      </c>
      <c r="I3285" s="21" t="s">
        <v>6284</v>
      </c>
      <c r="J3285" s="21" t="s">
        <v>6300</v>
      </c>
      <c r="K3285" s="24">
        <v>38</v>
      </c>
      <c r="L3285" s="24">
        <v>228</v>
      </c>
      <c r="M3285" s="23"/>
      <c r="N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>
        <v>38</v>
      </c>
      <c r="Z3285" s="23"/>
      <c r="AA3285" s="23"/>
      <c r="AB3285" s="23"/>
      <c r="AC3285" s="23"/>
      <c r="AD3285" s="23"/>
      <c r="AE3285" s="23"/>
      <c r="AF3285" s="23"/>
      <c r="AG3285" s="23"/>
      <c r="AH3285" s="23">
        <v>38</v>
      </c>
      <c r="AI3285" s="23"/>
      <c r="AJ3285" s="23"/>
      <c r="AK3285" s="23"/>
      <c r="AL3285" s="23"/>
      <c r="AM3285" s="23"/>
      <c r="AN3285" s="23"/>
      <c r="AO3285" s="23"/>
      <c r="AP3285" s="23"/>
      <c r="AQ3285" s="23">
        <v>38</v>
      </c>
      <c r="AR3285" s="23"/>
      <c r="AS3285" s="23"/>
      <c r="AT3285" s="23"/>
      <c r="AU3285" s="14" t="str">
        <f>HYPERLINK("http://www.openstreetmap.org/?mlat=35.55&amp;mlon=44.84&amp;zoom=12#map=12/35.55/44.84","Maplink1")</f>
        <v>Maplink1</v>
      </c>
      <c r="AV3285" s="14" t="str">
        <f>HYPERLINK("https://www.google.iq/maps/search/+35.55,44.84/@35.55,44.84,14z?hl=en","Maplink2")</f>
        <v>Maplink2</v>
      </c>
      <c r="AW3285" s="14" t="str">
        <f>HYPERLINK("http://www.bing.com/maps/?lvl=14&amp;sty=h&amp;cp=35.55~44.84&amp;sp=point.35.55_44.84_Gurgai Fattah","Maplink3")</f>
        <v>Maplink3</v>
      </c>
    </row>
    <row r="3286" spans="1:49" ht="15" customHeight="1" x14ac:dyDescent="0.25">
      <c r="A3286" s="21">
        <v>23669</v>
      </c>
      <c r="B3286" s="22" t="s">
        <v>24</v>
      </c>
      <c r="C3286" s="22" t="s">
        <v>6280</v>
      </c>
      <c r="D3286" s="22" t="s">
        <v>6301</v>
      </c>
      <c r="E3286" s="22" t="s">
        <v>6302</v>
      </c>
      <c r="F3286" s="22">
        <v>35.623860000000001</v>
      </c>
      <c r="G3286" s="22">
        <v>44.967109999999998</v>
      </c>
      <c r="H3286" s="21" t="s">
        <v>6283</v>
      </c>
      <c r="I3286" s="21" t="s">
        <v>6284</v>
      </c>
      <c r="J3286" s="21" t="s">
        <v>6303</v>
      </c>
      <c r="K3286" s="24">
        <v>136</v>
      </c>
      <c r="L3286" s="24">
        <v>816</v>
      </c>
      <c r="M3286" s="23">
        <v>68</v>
      </c>
      <c r="N3286" s="23"/>
      <c r="O3286" s="23"/>
      <c r="P3286" s="23"/>
      <c r="Q3286" s="23"/>
      <c r="R3286" s="23">
        <v>2</v>
      </c>
      <c r="S3286" s="23"/>
      <c r="T3286" s="23"/>
      <c r="U3286" s="23"/>
      <c r="V3286" s="23"/>
      <c r="W3286" s="23"/>
      <c r="X3286" s="23"/>
      <c r="Y3286" s="23">
        <v>29</v>
      </c>
      <c r="Z3286" s="23"/>
      <c r="AA3286" s="23">
        <v>37</v>
      </c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>
        <v>136</v>
      </c>
      <c r="AL3286" s="23"/>
      <c r="AM3286" s="23"/>
      <c r="AN3286" s="23"/>
      <c r="AO3286" s="23">
        <v>14</v>
      </c>
      <c r="AP3286" s="23">
        <v>17</v>
      </c>
      <c r="AQ3286" s="23">
        <v>45</v>
      </c>
      <c r="AR3286" s="23">
        <v>52</v>
      </c>
      <c r="AS3286" s="23">
        <v>8</v>
      </c>
      <c r="AT3286" s="23"/>
      <c r="AU3286" s="14" t="str">
        <f>HYPERLINK("http://www.openstreetmap.org/?mlat=35.6239&amp;mlon=44.9671&amp;zoom=12#map=12/35.6239/44.9671","Maplink1")</f>
        <v>Maplink1</v>
      </c>
      <c r="AV3286" s="14" t="str">
        <f>HYPERLINK("https://www.google.iq/maps/search/+35.6239,44.9671/@35.6239,44.9671,14z?hl=en","Maplink2")</f>
        <v>Maplink2</v>
      </c>
      <c r="AW3286" s="14" t="str">
        <f>HYPERLINK("http://www.bing.com/maps/?lvl=14&amp;sty=h&amp;cp=35.6239~44.9671&amp;sp=point.35.6239_44.9671_Handreen","Maplink3")</f>
        <v>Maplink3</v>
      </c>
    </row>
    <row r="3287" spans="1:49" ht="15" customHeight="1" x14ac:dyDescent="0.25">
      <c r="A3287" s="21">
        <v>24686</v>
      </c>
      <c r="B3287" s="22" t="s">
        <v>24</v>
      </c>
      <c r="C3287" s="22" t="s">
        <v>6280</v>
      </c>
      <c r="D3287" s="22" t="s">
        <v>6304</v>
      </c>
      <c r="E3287" s="22" t="s">
        <v>3561</v>
      </c>
      <c r="F3287" s="22">
        <v>35.627929999999999</v>
      </c>
      <c r="G3287" s="22">
        <v>44.967280000000002</v>
      </c>
      <c r="H3287" s="21" t="s">
        <v>6283</v>
      </c>
      <c r="I3287" s="21" t="s">
        <v>6284</v>
      </c>
      <c r="J3287" s="21"/>
      <c r="K3287" s="24">
        <v>16</v>
      </c>
      <c r="L3287" s="24">
        <v>96</v>
      </c>
      <c r="M3287" s="23">
        <v>9</v>
      </c>
      <c r="N3287" s="23"/>
      <c r="O3287" s="23"/>
      <c r="P3287" s="23"/>
      <c r="Q3287" s="23"/>
      <c r="R3287" s="23">
        <v>2</v>
      </c>
      <c r="S3287" s="23"/>
      <c r="T3287" s="23"/>
      <c r="U3287" s="23"/>
      <c r="V3287" s="23"/>
      <c r="W3287" s="23"/>
      <c r="X3287" s="23"/>
      <c r="Y3287" s="23">
        <v>3</v>
      </c>
      <c r="Z3287" s="23"/>
      <c r="AA3287" s="23">
        <v>2</v>
      </c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>
        <v>16</v>
      </c>
      <c r="AL3287" s="23"/>
      <c r="AM3287" s="23"/>
      <c r="AN3287" s="23"/>
      <c r="AO3287" s="23">
        <v>7</v>
      </c>
      <c r="AP3287" s="23"/>
      <c r="AQ3287" s="23">
        <v>5</v>
      </c>
      <c r="AR3287" s="23">
        <v>2</v>
      </c>
      <c r="AS3287" s="23">
        <v>2</v>
      </c>
      <c r="AT3287" s="23"/>
      <c r="AU3287" s="14" t="str">
        <f>HYPERLINK("http://www.openstreetmap.org/?mlat=35.6279&amp;mlon=44.9673&amp;zoom=12#map=12/35.6279/44.9673","Maplink1")</f>
        <v>Maplink1</v>
      </c>
      <c r="AV3287" s="14" t="str">
        <f>HYPERLINK("https://www.google.iq/maps/search/+35.6279,44.9673/@35.6279,44.9673,14z?hl=en","Maplink2")</f>
        <v>Maplink2</v>
      </c>
      <c r="AW3287" s="14" t="str">
        <f>HYPERLINK("http://www.bing.com/maps/?lvl=14&amp;sty=h&amp;cp=35.6279~44.9673&amp;sp=point.35.6279_44.9673_Harim","Maplink3")</f>
        <v>Maplink3</v>
      </c>
    </row>
    <row r="3288" spans="1:49" ht="15" customHeight="1" x14ac:dyDescent="0.25">
      <c r="A3288" s="21">
        <v>24216</v>
      </c>
      <c r="B3288" s="22" t="s">
        <v>24</v>
      </c>
      <c r="C3288" s="22" t="s">
        <v>6280</v>
      </c>
      <c r="D3288" s="22" t="s">
        <v>6305</v>
      </c>
      <c r="E3288" s="22" t="s">
        <v>6306</v>
      </c>
      <c r="F3288" s="22">
        <v>35.517629999999997</v>
      </c>
      <c r="G3288" s="22">
        <v>44.835859999999997</v>
      </c>
      <c r="H3288" s="21" t="s">
        <v>6283</v>
      </c>
      <c r="I3288" s="21" t="s">
        <v>6284</v>
      </c>
      <c r="J3288" s="21" t="s">
        <v>6307</v>
      </c>
      <c r="K3288" s="24">
        <v>101</v>
      </c>
      <c r="L3288" s="24">
        <v>606</v>
      </c>
      <c r="M3288" s="23">
        <v>93</v>
      </c>
      <c r="N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>
        <v>8</v>
      </c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>
        <v>101</v>
      </c>
      <c r="AL3288" s="23"/>
      <c r="AM3288" s="23"/>
      <c r="AN3288" s="23"/>
      <c r="AO3288" s="23">
        <v>20</v>
      </c>
      <c r="AP3288" s="23">
        <v>62</v>
      </c>
      <c r="AQ3288" s="23">
        <v>12</v>
      </c>
      <c r="AR3288" s="23">
        <v>2</v>
      </c>
      <c r="AS3288" s="23">
        <v>2</v>
      </c>
      <c r="AT3288" s="23">
        <v>3</v>
      </c>
      <c r="AU3288" s="14" t="str">
        <f>HYPERLINK("http://www.openstreetmap.org/?mlat=35.5176&amp;mlon=44.8359&amp;zoom=12#map=12/35.5176/44.8359","Maplink1")</f>
        <v>Maplink1</v>
      </c>
      <c r="AV3288" s="14" t="str">
        <f>HYPERLINK("https://www.google.iq/maps/search/+35.5176,44.8359/@35.5176,44.8359,14z?hl=en","Maplink2")</f>
        <v>Maplink2</v>
      </c>
      <c r="AW3288" s="14" t="str">
        <f>HYPERLINK("http://www.bing.com/maps/?lvl=14&amp;sty=h&amp;cp=35.5176~44.8359&amp;sp=point.35.5176_44.8359_Jarmo City","Maplink3")</f>
        <v>Maplink3</v>
      </c>
    </row>
    <row r="3289" spans="1:49" ht="15" customHeight="1" x14ac:dyDescent="0.25">
      <c r="A3289" s="21">
        <v>20815</v>
      </c>
      <c r="B3289" s="22" t="s">
        <v>24</v>
      </c>
      <c r="C3289" s="22" t="s">
        <v>6280</v>
      </c>
      <c r="D3289" s="22" t="s">
        <v>6308</v>
      </c>
      <c r="E3289" s="22" t="s">
        <v>6309</v>
      </c>
      <c r="F3289" s="22">
        <v>35.501080000000002</v>
      </c>
      <c r="G3289" s="22">
        <v>44.837240000000001</v>
      </c>
      <c r="H3289" s="21" t="s">
        <v>6283</v>
      </c>
      <c r="I3289" s="21" t="s">
        <v>6284</v>
      </c>
      <c r="J3289" s="21" t="s">
        <v>6310</v>
      </c>
      <c r="K3289" s="24">
        <v>28</v>
      </c>
      <c r="L3289" s="24">
        <v>168</v>
      </c>
      <c r="M3289" s="23">
        <v>23</v>
      </c>
      <c r="N3289" s="23"/>
      <c r="O3289" s="23">
        <v>5</v>
      </c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28</v>
      </c>
      <c r="AL3289" s="23"/>
      <c r="AM3289" s="23"/>
      <c r="AN3289" s="23"/>
      <c r="AO3289" s="23">
        <v>16</v>
      </c>
      <c r="AP3289" s="23">
        <v>10</v>
      </c>
      <c r="AQ3289" s="23"/>
      <c r="AR3289" s="23">
        <v>2</v>
      </c>
      <c r="AS3289" s="23"/>
      <c r="AT3289" s="23"/>
      <c r="AU3289" s="14" t="str">
        <f>HYPERLINK("http://www.openstreetmap.org/?mlat=35.5011&amp;mlon=44.8372&amp;zoom=12#map=12/35.5011/44.8372","Maplink1")</f>
        <v>Maplink1</v>
      </c>
      <c r="AV3289" s="14" t="str">
        <f>HYPERLINK("https://www.google.iq/maps/search/+35.5011,44.8372/@35.5011,44.8372,14z?hl=en","Maplink2")</f>
        <v>Maplink2</v>
      </c>
      <c r="AW3289" s="14" t="str">
        <f>HYPERLINK("http://www.bing.com/maps/?lvl=14&amp;sty=h&amp;cp=35.5011~44.8372&amp;sp=point.35.5011_44.8372_MOFARIAKAN","Maplink3")</f>
        <v>Maplink3</v>
      </c>
    </row>
    <row r="3290" spans="1:49" ht="15" customHeight="1" x14ac:dyDescent="0.25">
      <c r="A3290" s="21">
        <v>4933</v>
      </c>
      <c r="B3290" s="22" t="s">
        <v>24</v>
      </c>
      <c r="C3290" s="22" t="s">
        <v>6280</v>
      </c>
      <c r="D3290" s="22" t="s">
        <v>6311</v>
      </c>
      <c r="E3290" s="22" t="s">
        <v>6312</v>
      </c>
      <c r="F3290" s="22">
        <v>35.510190000000001</v>
      </c>
      <c r="G3290" s="22">
        <v>44.860309999999998</v>
      </c>
      <c r="H3290" s="21" t="s">
        <v>6283</v>
      </c>
      <c r="I3290" s="21" t="s">
        <v>6284</v>
      </c>
      <c r="J3290" s="21" t="s">
        <v>6313</v>
      </c>
      <c r="K3290" s="24">
        <v>156</v>
      </c>
      <c r="L3290" s="24">
        <v>936</v>
      </c>
      <c r="M3290" s="23">
        <v>112</v>
      </c>
      <c r="N3290" s="23">
        <v>5</v>
      </c>
      <c r="O3290" s="23">
        <v>15</v>
      </c>
      <c r="P3290" s="23"/>
      <c r="Q3290" s="23"/>
      <c r="R3290" s="23">
        <v>4</v>
      </c>
      <c r="S3290" s="23"/>
      <c r="T3290" s="23"/>
      <c r="U3290" s="23"/>
      <c r="V3290" s="23"/>
      <c r="W3290" s="23"/>
      <c r="X3290" s="23"/>
      <c r="Y3290" s="23">
        <v>15</v>
      </c>
      <c r="Z3290" s="23"/>
      <c r="AA3290" s="23">
        <v>5</v>
      </c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>
        <v>156</v>
      </c>
      <c r="AL3290" s="23"/>
      <c r="AM3290" s="23"/>
      <c r="AN3290" s="23"/>
      <c r="AO3290" s="23">
        <v>70</v>
      </c>
      <c r="AP3290" s="23">
        <v>58</v>
      </c>
      <c r="AQ3290" s="23">
        <v>9</v>
      </c>
      <c r="AR3290" s="23">
        <v>17</v>
      </c>
      <c r="AS3290" s="23">
        <v>2</v>
      </c>
      <c r="AT3290" s="23"/>
      <c r="AU3290" s="14" t="str">
        <f>HYPERLINK("http://www.openstreetmap.org/?mlat=35.51&amp;mlon=44.86&amp;zoom=12#map=12/35.51/44.86","Maplink1")</f>
        <v>Maplink1</v>
      </c>
      <c r="AV3290" s="14" t="str">
        <f>HYPERLINK("https://www.google.iq/maps/search/+35.51,44.86/@35.51,44.86,14z?hl=en","Maplink2")</f>
        <v>Maplink2</v>
      </c>
      <c r="AW3290" s="14" t="str">
        <f>HYPERLINK("http://www.bing.com/maps/?lvl=14&amp;sty=h&amp;cp=35.51~44.86&amp;sp=point.35.51_44.86_Piryadi","Maplink3")</f>
        <v>Maplink3</v>
      </c>
    </row>
    <row r="3291" spans="1:49" ht="15" customHeight="1" x14ac:dyDescent="0.25">
      <c r="A3291" s="21">
        <v>24888</v>
      </c>
      <c r="B3291" s="22" t="s">
        <v>24</v>
      </c>
      <c r="C3291" s="22" t="s">
        <v>6280</v>
      </c>
      <c r="D3291" s="22" t="s">
        <v>6314</v>
      </c>
      <c r="E3291" s="22" t="s">
        <v>6315</v>
      </c>
      <c r="F3291" s="22">
        <v>35.538969999999999</v>
      </c>
      <c r="G3291" s="22">
        <v>44.827689999999997</v>
      </c>
      <c r="H3291" s="21" t="s">
        <v>6283</v>
      </c>
      <c r="I3291" s="21" t="s">
        <v>6284</v>
      </c>
      <c r="J3291" s="21"/>
      <c r="K3291" s="24">
        <v>69</v>
      </c>
      <c r="L3291" s="24">
        <v>414</v>
      </c>
      <c r="M3291" s="23">
        <v>50</v>
      </c>
      <c r="N3291" s="23">
        <v>7</v>
      </c>
      <c r="O3291" s="23">
        <v>2</v>
      </c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>
        <v>10</v>
      </c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>
        <v>69</v>
      </c>
      <c r="AL3291" s="23"/>
      <c r="AM3291" s="23"/>
      <c r="AN3291" s="23"/>
      <c r="AO3291" s="23">
        <v>19</v>
      </c>
      <c r="AP3291" s="23">
        <v>18</v>
      </c>
      <c r="AQ3291" s="23"/>
      <c r="AR3291" s="23">
        <v>12</v>
      </c>
      <c r="AS3291" s="23">
        <v>20</v>
      </c>
      <c r="AT3291" s="23"/>
      <c r="AU3291" s="14" t="str">
        <f>HYPERLINK("http://www.openstreetmap.org/?mlat=35.539&amp;mlon=44.8277&amp;zoom=12#map=12/35.539/44.8277","Maplink1")</f>
        <v>Maplink1</v>
      </c>
      <c r="AV3291" s="14" t="str">
        <f>HYPERLINK("https://www.google.iq/maps/search/+35.539,44.8277/@35.539,44.8277,14z?hl=en","Maplink2")</f>
        <v>Maplink2</v>
      </c>
      <c r="AW3291" s="14" t="str">
        <f>HYPERLINK("http://www.bing.com/maps/?lvl=14&amp;sty=h&amp;cp=35.539~44.8277&amp;sp=point.35.539_44.8277_Pura Gulla","Maplink3")</f>
        <v>Maplink3</v>
      </c>
    </row>
    <row r="3292" spans="1:49" ht="15" customHeight="1" x14ac:dyDescent="0.25">
      <c r="A3292" s="21">
        <v>21717</v>
      </c>
      <c r="B3292" s="22" t="s">
        <v>24</v>
      </c>
      <c r="C3292" s="22" t="s">
        <v>6280</v>
      </c>
      <c r="D3292" s="22" t="s">
        <v>6316</v>
      </c>
      <c r="E3292" s="22" t="s">
        <v>6317</v>
      </c>
      <c r="F3292" s="22">
        <v>35.49682</v>
      </c>
      <c r="G3292" s="22">
        <v>44.854880000000001</v>
      </c>
      <c r="H3292" s="21" t="s">
        <v>6283</v>
      </c>
      <c r="I3292" s="21" t="s">
        <v>6284</v>
      </c>
      <c r="J3292" s="21" t="s">
        <v>6318</v>
      </c>
      <c r="K3292" s="24">
        <v>140</v>
      </c>
      <c r="L3292" s="24">
        <v>840</v>
      </c>
      <c r="M3292" s="23">
        <v>111</v>
      </c>
      <c r="N3292" s="23"/>
      <c r="O3292" s="23">
        <v>14</v>
      </c>
      <c r="P3292" s="23"/>
      <c r="Q3292" s="23"/>
      <c r="R3292" s="23">
        <v>2</v>
      </c>
      <c r="S3292" s="23"/>
      <c r="T3292" s="23"/>
      <c r="U3292" s="23"/>
      <c r="V3292" s="23"/>
      <c r="W3292" s="23"/>
      <c r="X3292" s="23"/>
      <c r="Y3292" s="23">
        <v>7</v>
      </c>
      <c r="Z3292" s="23"/>
      <c r="AA3292" s="23">
        <v>6</v>
      </c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>
        <v>140</v>
      </c>
      <c r="AL3292" s="23"/>
      <c r="AM3292" s="23"/>
      <c r="AN3292" s="23"/>
      <c r="AO3292" s="23">
        <v>64</v>
      </c>
      <c r="AP3292" s="23">
        <v>71</v>
      </c>
      <c r="AQ3292" s="23">
        <v>4</v>
      </c>
      <c r="AR3292" s="23">
        <v>1</v>
      </c>
      <c r="AS3292" s="23"/>
      <c r="AT3292" s="23"/>
      <c r="AU3292" s="14" t="str">
        <f>HYPERLINK("http://www.openstreetmap.org/?mlat=35.4968&amp;mlon=44.8549&amp;zoom=12#map=12/35.4968/44.8549","Maplink1")</f>
        <v>Maplink1</v>
      </c>
      <c r="AV3292" s="14" t="str">
        <f>HYPERLINK("https://www.google.iq/maps/search/+35.4968,44.8549/@35.4968,44.8549,14z?hl=en","Maplink2")</f>
        <v>Maplink2</v>
      </c>
      <c r="AW3292" s="14" t="str">
        <f>HYPERLINK("http://www.bing.com/maps/?lvl=14&amp;sty=h&amp;cp=35.4968~44.8549&amp;sp=point.35.4968_44.8549_Qadir Kir Mikan","Maplink3")</f>
        <v>Maplink3</v>
      </c>
    </row>
    <row r="3293" spans="1:49" ht="15" customHeight="1" x14ac:dyDescent="0.25">
      <c r="A3293" s="21">
        <v>24250</v>
      </c>
      <c r="B3293" s="22" t="s">
        <v>24</v>
      </c>
      <c r="C3293" s="22" t="s">
        <v>6280</v>
      </c>
      <c r="D3293" s="22" t="s">
        <v>6319</v>
      </c>
      <c r="E3293" s="22" t="s">
        <v>6320</v>
      </c>
      <c r="F3293" s="22">
        <v>35.515210000000003</v>
      </c>
      <c r="G3293" s="22">
        <v>44.846719999999998</v>
      </c>
      <c r="H3293" s="21" t="s">
        <v>6283</v>
      </c>
      <c r="I3293" s="21" t="s">
        <v>6284</v>
      </c>
      <c r="J3293" s="21" t="s">
        <v>6321</v>
      </c>
      <c r="K3293" s="24">
        <v>79</v>
      </c>
      <c r="L3293" s="24">
        <v>474</v>
      </c>
      <c r="M3293" s="23">
        <v>63</v>
      </c>
      <c r="N3293" s="23">
        <v>2</v>
      </c>
      <c r="O3293" s="23">
        <v>12</v>
      </c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>
        <v>2</v>
      </c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>
        <v>79</v>
      </c>
      <c r="AL3293" s="23"/>
      <c r="AM3293" s="23"/>
      <c r="AN3293" s="23"/>
      <c r="AO3293" s="23">
        <v>40</v>
      </c>
      <c r="AP3293" s="23">
        <v>11</v>
      </c>
      <c r="AQ3293" s="23">
        <v>12</v>
      </c>
      <c r="AR3293" s="23">
        <v>6</v>
      </c>
      <c r="AS3293" s="23">
        <v>10</v>
      </c>
      <c r="AT3293" s="23"/>
      <c r="AU3293" s="14" t="str">
        <f>HYPERLINK("http://www.openstreetmap.org/?mlat=35.5152&amp;mlon=44.8467&amp;zoom=12#map=12/35.5152/44.8467","Maplink1")</f>
        <v>Maplink1</v>
      </c>
      <c r="AV3293" s="14" t="str">
        <f>HYPERLINK("https://www.google.iq/maps/search/+35.5152,44.8467/@35.5152,44.8467,14z?hl=en","Maplink2")</f>
        <v>Maplink2</v>
      </c>
      <c r="AW3293" s="14" t="str">
        <f>HYPERLINK("http://www.bing.com/maps/?lvl=14&amp;sty=h&amp;cp=35.5152~44.8467&amp;sp=point.35.5152_44.8467_Qarahanjiriakan","Maplink3")</f>
        <v>Maplink3</v>
      </c>
    </row>
    <row r="3294" spans="1:49" ht="15" customHeight="1" x14ac:dyDescent="0.25">
      <c r="A3294" s="21">
        <v>5182</v>
      </c>
      <c r="B3294" s="22" t="s">
        <v>24</v>
      </c>
      <c r="C3294" s="22" t="s">
        <v>6280</v>
      </c>
      <c r="D3294" s="22" t="s">
        <v>6322</v>
      </c>
      <c r="E3294" s="22" t="s">
        <v>6323</v>
      </c>
      <c r="F3294" s="22">
        <v>35.28584</v>
      </c>
      <c r="G3294" s="22">
        <v>45.176949999999998</v>
      </c>
      <c r="H3294" s="21" t="s">
        <v>6283</v>
      </c>
      <c r="I3294" s="21" t="s">
        <v>6284</v>
      </c>
      <c r="J3294" s="21" t="s">
        <v>6324</v>
      </c>
      <c r="K3294" s="24">
        <v>56</v>
      </c>
      <c r="L3294" s="24">
        <v>336</v>
      </c>
      <c r="M3294" s="23">
        <v>6</v>
      </c>
      <c r="N3294" s="23">
        <v>1</v>
      </c>
      <c r="O3294" s="23">
        <v>8</v>
      </c>
      <c r="P3294" s="23"/>
      <c r="Q3294" s="23"/>
      <c r="R3294" s="23">
        <v>16</v>
      </c>
      <c r="S3294" s="23"/>
      <c r="T3294" s="23"/>
      <c r="U3294" s="23"/>
      <c r="V3294" s="23"/>
      <c r="W3294" s="23"/>
      <c r="X3294" s="23"/>
      <c r="Y3294" s="23">
        <v>15</v>
      </c>
      <c r="Z3294" s="23"/>
      <c r="AA3294" s="23">
        <v>10</v>
      </c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>
        <v>56</v>
      </c>
      <c r="AL3294" s="23"/>
      <c r="AM3294" s="23"/>
      <c r="AN3294" s="23"/>
      <c r="AO3294" s="23">
        <v>12</v>
      </c>
      <c r="AP3294" s="23">
        <v>18</v>
      </c>
      <c r="AQ3294" s="23">
        <v>13</v>
      </c>
      <c r="AR3294" s="23">
        <v>4</v>
      </c>
      <c r="AS3294" s="23"/>
      <c r="AT3294" s="23">
        <v>9</v>
      </c>
      <c r="AU3294" s="14" t="str">
        <f>HYPERLINK("http://www.openstreetmap.org/?mlat=35.28&amp;mlon=45.17&amp;zoom=12#map=12/35.28/45.17","Maplink1")</f>
        <v>Maplink1</v>
      </c>
      <c r="AV3294" s="14" t="str">
        <f>HYPERLINK("https://www.google.iq/maps/search/+35.28,45.17/@35.28,45.17,14z?hl=en","Maplink2")</f>
        <v>Maplink2</v>
      </c>
      <c r="AW3294" s="14" t="str">
        <f>HYPERLINK("http://www.bing.com/maps/?lvl=14&amp;sty=h&amp;cp=35.28~45.17&amp;sp=point.35.28_45.17_Sangaw","Maplink3")</f>
        <v>Maplink3</v>
      </c>
    </row>
    <row r="3295" spans="1:49" ht="15" customHeight="1" x14ac:dyDescent="0.25">
      <c r="A3295" s="21">
        <v>20813</v>
      </c>
      <c r="B3295" s="22" t="s">
        <v>24</v>
      </c>
      <c r="C3295" s="22" t="s">
        <v>6280</v>
      </c>
      <c r="D3295" s="22" t="s">
        <v>6325</v>
      </c>
      <c r="E3295" s="22" t="s">
        <v>6326</v>
      </c>
      <c r="F3295" s="22">
        <v>35.513039999999997</v>
      </c>
      <c r="G3295" s="22">
        <v>44.835949999999997</v>
      </c>
      <c r="H3295" s="21" t="s">
        <v>6283</v>
      </c>
      <c r="I3295" s="21" t="s">
        <v>6284</v>
      </c>
      <c r="J3295" s="21" t="s">
        <v>6327</v>
      </c>
      <c r="K3295" s="24">
        <v>66</v>
      </c>
      <c r="L3295" s="24">
        <v>396</v>
      </c>
      <c r="M3295" s="23">
        <v>60</v>
      </c>
      <c r="N3295" s="23"/>
      <c r="O3295" s="23">
        <v>2</v>
      </c>
      <c r="P3295" s="23"/>
      <c r="Q3295" s="23"/>
      <c r="R3295" s="23"/>
      <c r="S3295" s="23"/>
      <c r="T3295" s="23"/>
      <c r="U3295" s="23"/>
      <c r="V3295" s="23"/>
      <c r="W3295" s="23"/>
      <c r="X3295" s="23"/>
      <c r="Y3295" s="23">
        <v>2</v>
      </c>
      <c r="Z3295" s="23"/>
      <c r="AA3295" s="23">
        <v>2</v>
      </c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>
        <v>66</v>
      </c>
      <c r="AL3295" s="23"/>
      <c r="AM3295" s="23"/>
      <c r="AN3295" s="23"/>
      <c r="AO3295" s="23">
        <v>37</v>
      </c>
      <c r="AP3295" s="23">
        <v>10</v>
      </c>
      <c r="AQ3295" s="23">
        <v>15</v>
      </c>
      <c r="AR3295" s="23"/>
      <c r="AS3295" s="23">
        <v>2</v>
      </c>
      <c r="AT3295" s="23">
        <v>2</v>
      </c>
      <c r="AU3295" s="14" t="str">
        <f>HYPERLINK("http://www.openstreetmap.org/?mlat=35.513&amp;mlon=44.8359&amp;zoom=12#map=12/35.513/44.8359","Maplink1")</f>
        <v>Maplink1</v>
      </c>
      <c r="AV3295" s="14" t="str">
        <f>HYPERLINK("https://www.google.iq/maps/search/+35.513,44.8359/@35.513,44.8359,14z?hl=en","Maplink2")</f>
        <v>Maplink2</v>
      </c>
      <c r="AW3295" s="14" t="str">
        <f>HYPERLINK("http://www.bing.com/maps/?lvl=14&amp;sty=h&amp;cp=35.513~44.8359&amp;sp=point.35.513_44.8359_SANGAWIAKAN","Maplink3")</f>
        <v>Maplink3</v>
      </c>
    </row>
    <row r="3296" spans="1:49" ht="15" customHeight="1" x14ac:dyDescent="0.25">
      <c r="A3296" s="21">
        <v>25573</v>
      </c>
      <c r="B3296" s="22" t="s">
        <v>24</v>
      </c>
      <c r="C3296" s="22" t="s">
        <v>6280</v>
      </c>
      <c r="D3296" s="22" t="s">
        <v>6328</v>
      </c>
      <c r="E3296" s="22" t="s">
        <v>6329</v>
      </c>
      <c r="F3296" s="22">
        <v>35.515160000000002</v>
      </c>
      <c r="G3296" s="22">
        <v>44.839320000000001</v>
      </c>
      <c r="H3296" s="21" t="s">
        <v>6283</v>
      </c>
      <c r="I3296" s="21" t="s">
        <v>6284</v>
      </c>
      <c r="J3296" s="21"/>
      <c r="K3296" s="24">
        <v>32</v>
      </c>
      <c r="L3296" s="24">
        <v>192</v>
      </c>
      <c r="M3296" s="23">
        <v>29</v>
      </c>
      <c r="N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>
        <v>3</v>
      </c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32</v>
      </c>
      <c r="AL3296" s="23"/>
      <c r="AM3296" s="23"/>
      <c r="AN3296" s="23"/>
      <c r="AO3296" s="23">
        <v>19</v>
      </c>
      <c r="AP3296" s="23">
        <v>6</v>
      </c>
      <c r="AQ3296" s="23"/>
      <c r="AR3296" s="23">
        <v>4</v>
      </c>
      <c r="AS3296" s="23">
        <v>2</v>
      </c>
      <c r="AT3296" s="23">
        <v>1</v>
      </c>
      <c r="AU3296" s="14" t="str">
        <f>HYPERLINK("http://www.openstreetmap.org/?mlat=35.5152&amp;mlon=44.8393&amp;zoom=12#map=12/35.5152/44.8393","Maplink1")</f>
        <v>Maplink1</v>
      </c>
      <c r="AV3296" s="14" t="str">
        <f>HYPERLINK("https://www.google.iq/maps/search/+35.5152,44.8393/@35.5152,44.8393,14z?hl=en","Maplink2")</f>
        <v>Maplink2</v>
      </c>
      <c r="AW3296" s="14" t="str">
        <f>HYPERLINK("http://www.bing.com/maps/?lvl=14&amp;sty=h&amp;cp=35.5152~44.8393&amp;sp=point.35.5152_44.8393_Shekhanikan","Maplink3")</f>
        <v>Maplink3</v>
      </c>
    </row>
    <row r="3297" spans="1:49" ht="15" customHeight="1" x14ac:dyDescent="0.25">
      <c r="A3297" s="21">
        <v>24811</v>
      </c>
      <c r="B3297" s="22" t="s">
        <v>24</v>
      </c>
      <c r="C3297" s="22" t="s">
        <v>6280</v>
      </c>
      <c r="D3297" s="22" t="s">
        <v>6330</v>
      </c>
      <c r="E3297" s="22" t="s">
        <v>8115</v>
      </c>
      <c r="F3297" s="22">
        <v>35.622250000000001</v>
      </c>
      <c r="G3297" s="22">
        <v>44.958750000000002</v>
      </c>
      <c r="H3297" s="21" t="s">
        <v>6283</v>
      </c>
      <c r="I3297" s="21" t="s">
        <v>6284</v>
      </c>
      <c r="J3297" s="21"/>
      <c r="K3297" s="24">
        <v>32</v>
      </c>
      <c r="L3297" s="24">
        <v>192</v>
      </c>
      <c r="M3297" s="23">
        <v>11</v>
      </c>
      <c r="N3297" s="23"/>
      <c r="O3297" s="23"/>
      <c r="P3297" s="23"/>
      <c r="Q3297" s="23"/>
      <c r="R3297" s="23">
        <v>2</v>
      </c>
      <c r="S3297" s="23"/>
      <c r="T3297" s="23"/>
      <c r="U3297" s="23"/>
      <c r="V3297" s="23"/>
      <c r="W3297" s="23"/>
      <c r="X3297" s="23"/>
      <c r="Y3297" s="23">
        <v>12</v>
      </c>
      <c r="Z3297" s="23"/>
      <c r="AA3297" s="23">
        <v>7</v>
      </c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>
        <v>32</v>
      </c>
      <c r="AL3297" s="23"/>
      <c r="AM3297" s="23"/>
      <c r="AN3297" s="23"/>
      <c r="AO3297" s="23">
        <v>2</v>
      </c>
      <c r="AP3297" s="23">
        <v>10</v>
      </c>
      <c r="AQ3297" s="23">
        <v>20</v>
      </c>
      <c r="AR3297" s="23"/>
      <c r="AS3297" s="23"/>
      <c r="AT3297" s="23"/>
      <c r="AU3297" s="14" t="str">
        <f>HYPERLINK("http://www.openstreetmap.org/?mlat=35.6223&amp;mlon=44.9588&amp;zoom=12#map=12/35.6223/44.9588","Maplink1")</f>
        <v>Maplink1</v>
      </c>
      <c r="AV3297" s="14" t="str">
        <f>HYPERLINK("https://www.google.iq/maps/search/+35.6223,44.9588/@35.6223,44.9588,14z?hl=en","Maplink2")</f>
        <v>Maplink2</v>
      </c>
      <c r="AW3297" s="14" t="str">
        <f>HYPERLINK("http://www.bing.com/maps/?lvl=14&amp;sty=h&amp;cp=35.6223~44.9588&amp;sp=point.35.6223_44.9588_Takya-Ashty","Maplink3")</f>
        <v>Maplink3</v>
      </c>
    </row>
    <row r="3298" spans="1:49" ht="15" customHeight="1" x14ac:dyDescent="0.25">
      <c r="A3298" s="21">
        <v>24813</v>
      </c>
      <c r="B3298" s="22" t="s">
        <v>24</v>
      </c>
      <c r="C3298" s="22" t="s">
        <v>6280</v>
      </c>
      <c r="D3298" s="22" t="s">
        <v>6331</v>
      </c>
      <c r="E3298" s="22" t="s">
        <v>8116</v>
      </c>
      <c r="F3298" s="22">
        <v>35.625430000000001</v>
      </c>
      <c r="G3298" s="22">
        <v>44.954149999999998</v>
      </c>
      <c r="H3298" s="21" t="s">
        <v>6283</v>
      </c>
      <c r="I3298" s="21" t="s">
        <v>6284</v>
      </c>
      <c r="J3298" s="21"/>
      <c r="K3298" s="24">
        <v>17</v>
      </c>
      <c r="L3298" s="24">
        <v>102</v>
      </c>
      <c r="M3298" s="23">
        <v>2</v>
      </c>
      <c r="N3298" s="23"/>
      <c r="O3298" s="23">
        <v>5</v>
      </c>
      <c r="P3298" s="23"/>
      <c r="Q3298" s="23"/>
      <c r="R3298" s="23">
        <v>1</v>
      </c>
      <c r="S3298" s="23"/>
      <c r="T3298" s="23"/>
      <c r="U3298" s="23"/>
      <c r="V3298" s="23"/>
      <c r="W3298" s="23"/>
      <c r="X3298" s="23"/>
      <c r="Y3298" s="23">
        <v>2</v>
      </c>
      <c r="Z3298" s="23"/>
      <c r="AA3298" s="23">
        <v>7</v>
      </c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>
        <v>17</v>
      </c>
      <c r="AL3298" s="23"/>
      <c r="AM3298" s="23"/>
      <c r="AN3298" s="23"/>
      <c r="AO3298" s="23"/>
      <c r="AP3298" s="23">
        <v>8</v>
      </c>
      <c r="AQ3298" s="23">
        <v>9</v>
      </c>
      <c r="AR3298" s="23"/>
      <c r="AS3298" s="23"/>
      <c r="AT3298" s="23"/>
      <c r="AU3298" s="14" t="str">
        <f>HYPERLINK("http://www.openstreetmap.org/?mlat=35.6254&amp;mlon=44.9541&amp;zoom=12#map=12/35.6254/44.9541","Maplink1")</f>
        <v>Maplink1</v>
      </c>
      <c r="AV3298" s="14" t="str">
        <f>HYPERLINK("https://www.google.iq/maps/search/+35.6254,44.9541/@35.6254,44.9541,14z?hl=en","Maplink2")</f>
        <v>Maplink2</v>
      </c>
      <c r="AW3298" s="14" t="str">
        <f>HYPERLINK("http://www.bing.com/maps/?lvl=14&amp;sty=h&amp;cp=35.6254~44.9541&amp;sp=point.35.6254_44.9541_Takya-Azadi","Maplink3")</f>
        <v>Maplink3</v>
      </c>
    </row>
    <row r="3299" spans="1:49" ht="15" customHeight="1" x14ac:dyDescent="0.25">
      <c r="A3299" s="21">
        <v>24810</v>
      </c>
      <c r="B3299" s="22" t="s">
        <v>24</v>
      </c>
      <c r="C3299" s="22" t="s">
        <v>6280</v>
      </c>
      <c r="D3299" s="22" t="s">
        <v>6332</v>
      </c>
      <c r="E3299" s="22" t="s">
        <v>8117</v>
      </c>
      <c r="F3299" s="22">
        <v>35.620420000000003</v>
      </c>
      <c r="G3299" s="22">
        <v>44.95617</v>
      </c>
      <c r="H3299" s="21" t="s">
        <v>6283</v>
      </c>
      <c r="I3299" s="21" t="s">
        <v>6284</v>
      </c>
      <c r="J3299" s="21"/>
      <c r="K3299" s="24">
        <v>56</v>
      </c>
      <c r="L3299" s="24">
        <v>336</v>
      </c>
      <c r="M3299" s="23">
        <v>16</v>
      </c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>
        <v>18</v>
      </c>
      <c r="Z3299" s="23"/>
      <c r="AA3299" s="23">
        <v>22</v>
      </c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>
        <v>56</v>
      </c>
      <c r="AL3299" s="23"/>
      <c r="AM3299" s="23"/>
      <c r="AN3299" s="23"/>
      <c r="AO3299" s="23">
        <v>4</v>
      </c>
      <c r="AP3299" s="23">
        <v>7</v>
      </c>
      <c r="AQ3299" s="23">
        <v>28</v>
      </c>
      <c r="AR3299" s="23">
        <v>17</v>
      </c>
      <c r="AS3299" s="23"/>
      <c r="AT3299" s="23"/>
      <c r="AU3299" s="14" t="str">
        <f>HYPERLINK("http://www.openstreetmap.org/?mlat=35.6204&amp;mlon=44.9562&amp;zoom=12#map=12/35.6204/44.9562","Maplink1")</f>
        <v>Maplink1</v>
      </c>
      <c r="AV3299" s="14" t="str">
        <f>HYPERLINK("https://www.google.iq/maps/search/+35.6204,44.9562/@35.6204,44.9562,14z?hl=en","Maplink2")</f>
        <v>Maplink2</v>
      </c>
      <c r="AW3299" s="14" t="str">
        <f>HYPERLINK("http://www.bing.com/maps/?lvl=14&amp;sty=h&amp;cp=35.6204~44.9562&amp;sp=point.35.6204_44.9562_Takya-Rizgari","Maplink3")</f>
        <v>Maplink3</v>
      </c>
    </row>
    <row r="3300" spans="1:49" ht="15" customHeight="1" x14ac:dyDescent="0.25">
      <c r="A3300" s="21">
        <v>24812</v>
      </c>
      <c r="B3300" s="22" t="s">
        <v>24</v>
      </c>
      <c r="C3300" s="22" t="s">
        <v>6280</v>
      </c>
      <c r="D3300" s="22" t="s">
        <v>6333</v>
      </c>
      <c r="E3300" s="22" t="s">
        <v>8118</v>
      </c>
      <c r="F3300" s="22">
        <v>35.626449999999998</v>
      </c>
      <c r="G3300" s="22">
        <v>44.954680000000003</v>
      </c>
      <c r="H3300" s="21" t="s">
        <v>6283</v>
      </c>
      <c r="I3300" s="21" t="s">
        <v>6284</v>
      </c>
      <c r="J3300" s="21"/>
      <c r="K3300" s="24">
        <v>12</v>
      </c>
      <c r="L3300" s="24">
        <v>72</v>
      </c>
      <c r="M3300" s="23">
        <v>5</v>
      </c>
      <c r="N3300" s="23"/>
      <c r="O3300" s="23">
        <v>2</v>
      </c>
      <c r="P3300" s="23"/>
      <c r="Q3300" s="23"/>
      <c r="R3300" s="23"/>
      <c r="S3300" s="23"/>
      <c r="T3300" s="23"/>
      <c r="U3300" s="23"/>
      <c r="V3300" s="23"/>
      <c r="W3300" s="23"/>
      <c r="X3300" s="23"/>
      <c r="Y3300" s="23">
        <v>2</v>
      </c>
      <c r="Z3300" s="23"/>
      <c r="AA3300" s="23">
        <v>3</v>
      </c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>
        <v>12</v>
      </c>
      <c r="AL3300" s="23"/>
      <c r="AM3300" s="23"/>
      <c r="AN3300" s="23"/>
      <c r="AO3300" s="23"/>
      <c r="AP3300" s="23">
        <v>3</v>
      </c>
      <c r="AQ3300" s="23">
        <v>2</v>
      </c>
      <c r="AR3300" s="23">
        <v>7</v>
      </c>
      <c r="AS3300" s="23"/>
      <c r="AT3300" s="23"/>
      <c r="AU3300" s="14" t="str">
        <f>HYPERLINK("http://www.openstreetmap.org/?mlat=35.6264&amp;mlon=44.9547&amp;zoom=12#map=12/35.6264/44.9547","Maplink1")</f>
        <v>Maplink1</v>
      </c>
      <c r="AV3300" s="14" t="str">
        <f>HYPERLINK("https://www.google.iq/maps/search/+35.6264,44.9547/@35.6264,44.9547,14z?hl=en","Maplink2")</f>
        <v>Maplink2</v>
      </c>
      <c r="AW3300" s="14" t="str">
        <f>HYPERLINK("http://www.bing.com/maps/?lvl=14&amp;sty=h&amp;cp=35.6264~44.9547&amp;sp=point.35.6264_44.9547_Takya-Sharawny","Maplink3")</f>
        <v>Maplink3</v>
      </c>
    </row>
    <row r="3301" spans="1:49" ht="15" customHeight="1" x14ac:dyDescent="0.25">
      <c r="A3301" s="21">
        <v>24253</v>
      </c>
      <c r="B3301" s="22" t="s">
        <v>24</v>
      </c>
      <c r="C3301" s="22" t="s">
        <v>6334</v>
      </c>
      <c r="D3301" s="22" t="s">
        <v>6335</v>
      </c>
      <c r="E3301" s="22" t="s">
        <v>6336</v>
      </c>
      <c r="F3301" s="22">
        <v>35.098230000000001</v>
      </c>
      <c r="G3301" s="22">
        <v>45.69688</v>
      </c>
      <c r="H3301" s="21" t="s">
        <v>6283</v>
      </c>
      <c r="I3301" s="21" t="s">
        <v>6337</v>
      </c>
      <c r="J3301" s="21" t="s">
        <v>6338</v>
      </c>
      <c r="K3301" s="24">
        <v>56</v>
      </c>
      <c r="L3301" s="24">
        <v>336</v>
      </c>
      <c r="M3301" s="23">
        <v>23</v>
      </c>
      <c r="N3301" s="23"/>
      <c r="O3301" s="23">
        <v>2</v>
      </c>
      <c r="P3301" s="23"/>
      <c r="Q3301" s="23"/>
      <c r="R3301" s="23">
        <v>28</v>
      </c>
      <c r="S3301" s="23"/>
      <c r="T3301" s="23"/>
      <c r="U3301" s="23"/>
      <c r="V3301" s="23"/>
      <c r="W3301" s="23"/>
      <c r="X3301" s="23"/>
      <c r="Y3301" s="23"/>
      <c r="Z3301" s="23"/>
      <c r="AA3301" s="23">
        <v>3</v>
      </c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56</v>
      </c>
      <c r="AL3301" s="23"/>
      <c r="AM3301" s="23"/>
      <c r="AN3301" s="23"/>
      <c r="AO3301" s="23"/>
      <c r="AP3301" s="23">
        <v>26</v>
      </c>
      <c r="AQ3301" s="23">
        <v>3</v>
      </c>
      <c r="AR3301" s="23">
        <v>19</v>
      </c>
      <c r="AS3301" s="23">
        <v>8</v>
      </c>
      <c r="AT3301" s="23"/>
      <c r="AU3301" s="14" t="str">
        <f>HYPERLINK("http://www.openstreetmap.org/?mlat=35.0982&amp;mlon=45.6969&amp;zoom=12#map=12/35.0982/45.6969","Maplink1")</f>
        <v>Maplink1</v>
      </c>
      <c r="AV3301" s="14" t="str">
        <f>HYPERLINK("https://www.google.iq/maps/search/+35.0982,45.6969/@35.0982,45.6969,14z?hl=en","Maplink2")</f>
        <v>Maplink2</v>
      </c>
      <c r="AW3301" s="14" t="str">
        <f>HYPERLINK("http://www.bing.com/maps/?lvl=14&amp;sty=h&amp;cp=35.0982~45.6969&amp;sp=point.35.0982_45.6969_Campe khwarw","Maplink3")</f>
        <v>Maplink3</v>
      </c>
    </row>
    <row r="3302" spans="1:49" ht="15" customHeight="1" x14ac:dyDescent="0.25">
      <c r="A3302" s="21">
        <v>6301</v>
      </c>
      <c r="B3302" s="22" t="s">
        <v>24</v>
      </c>
      <c r="C3302" s="22" t="s">
        <v>6334</v>
      </c>
      <c r="D3302" s="22" t="s">
        <v>6339</v>
      </c>
      <c r="E3302" s="22" t="s">
        <v>6340</v>
      </c>
      <c r="F3302" s="22">
        <v>35.131666670000001</v>
      </c>
      <c r="G3302" s="22">
        <v>45.686388890000003</v>
      </c>
      <c r="H3302" s="21" t="s">
        <v>6283</v>
      </c>
      <c r="I3302" s="21" t="s">
        <v>6337</v>
      </c>
      <c r="J3302" s="21" t="s">
        <v>6341</v>
      </c>
      <c r="K3302" s="24">
        <v>83</v>
      </c>
      <c r="L3302" s="24">
        <v>498</v>
      </c>
      <c r="M3302" s="23">
        <v>63</v>
      </c>
      <c r="N3302" s="23"/>
      <c r="O3302" s="23"/>
      <c r="P3302" s="23"/>
      <c r="Q3302" s="23"/>
      <c r="R3302" s="23">
        <v>8</v>
      </c>
      <c r="S3302" s="23"/>
      <c r="T3302" s="23"/>
      <c r="U3302" s="23"/>
      <c r="V3302" s="23"/>
      <c r="W3302" s="23"/>
      <c r="X3302" s="23"/>
      <c r="Y3302" s="23">
        <v>2</v>
      </c>
      <c r="Z3302" s="23"/>
      <c r="AA3302" s="23">
        <v>10</v>
      </c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>
        <v>83</v>
      </c>
      <c r="AL3302" s="23"/>
      <c r="AM3302" s="23"/>
      <c r="AN3302" s="23"/>
      <c r="AO3302" s="23">
        <v>10</v>
      </c>
      <c r="AP3302" s="23">
        <v>19</v>
      </c>
      <c r="AQ3302" s="23">
        <v>18</v>
      </c>
      <c r="AR3302" s="23">
        <v>16</v>
      </c>
      <c r="AS3302" s="23">
        <v>17</v>
      </c>
      <c r="AT3302" s="23">
        <v>3</v>
      </c>
      <c r="AU3302" s="14" t="str">
        <f>HYPERLINK("http://www.openstreetmap.org/?mlat=35.1317&amp;mlon=45.6864&amp;zoom=12#map=12/35.1317/45.6864","Maplink1")</f>
        <v>Maplink1</v>
      </c>
      <c r="AV3302" s="14" t="str">
        <f>HYPERLINK("https://www.google.iq/maps/search/+35.1317,45.6864/@35.1317,45.6864,14z?hl=en","Maplink2")</f>
        <v>Maplink2</v>
      </c>
      <c r="AW3302" s="14" t="str">
        <f>HYPERLINK("http://www.bing.com/maps/?lvl=14&amp;sty=h&amp;cp=35.1317~45.6864&amp;sp=point.35.1317_45.6864_Hawara barza","Maplink3")</f>
        <v>Maplink3</v>
      </c>
    </row>
    <row r="3303" spans="1:49" ht="15" customHeight="1" x14ac:dyDescent="0.25">
      <c r="A3303" s="21">
        <v>24252</v>
      </c>
      <c r="B3303" s="22" t="s">
        <v>24</v>
      </c>
      <c r="C3303" s="22" t="s">
        <v>6334</v>
      </c>
      <c r="D3303" s="22" t="s">
        <v>6342</v>
      </c>
      <c r="E3303" s="22" t="s">
        <v>6343</v>
      </c>
      <c r="F3303" s="22">
        <v>35.116689999999998</v>
      </c>
      <c r="G3303" s="22">
        <v>45.664949999999997</v>
      </c>
      <c r="H3303" s="21" t="s">
        <v>6283</v>
      </c>
      <c r="I3303" s="21" t="s">
        <v>6337</v>
      </c>
      <c r="J3303" s="21" t="s">
        <v>6344</v>
      </c>
      <c r="K3303" s="24">
        <v>118</v>
      </c>
      <c r="L3303" s="24">
        <v>708</v>
      </c>
      <c r="M3303" s="23">
        <v>45</v>
      </c>
      <c r="N3303" s="23">
        <v>4</v>
      </c>
      <c r="O3303" s="23"/>
      <c r="P3303" s="23"/>
      <c r="Q3303" s="23"/>
      <c r="R3303" s="23">
        <v>41</v>
      </c>
      <c r="S3303" s="23"/>
      <c r="T3303" s="23"/>
      <c r="U3303" s="23"/>
      <c r="V3303" s="23"/>
      <c r="W3303" s="23"/>
      <c r="X3303" s="23"/>
      <c r="Y3303" s="23"/>
      <c r="Z3303" s="23"/>
      <c r="AA3303" s="23">
        <v>28</v>
      </c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118</v>
      </c>
      <c r="AL3303" s="23"/>
      <c r="AM3303" s="23"/>
      <c r="AN3303" s="23"/>
      <c r="AO3303" s="23">
        <v>6</v>
      </c>
      <c r="AP3303" s="23">
        <v>34</v>
      </c>
      <c r="AQ3303" s="23">
        <v>27</v>
      </c>
      <c r="AR3303" s="23">
        <v>30</v>
      </c>
      <c r="AS3303" s="23">
        <v>17</v>
      </c>
      <c r="AT3303" s="23">
        <v>4</v>
      </c>
      <c r="AU3303" s="14" t="str">
        <f>HYPERLINK("http://www.openstreetmap.org/?mlat=35.1167&amp;mlon=45.6649&amp;zoom=12#map=12/35.1167/45.6649","Maplink1")</f>
        <v>Maplink1</v>
      </c>
      <c r="AV3303" s="14" t="str">
        <f>HYPERLINK("https://www.google.iq/maps/search/+35.1167,45.6649/@35.1167,45.6649,14z?hl=en","Maplink2")</f>
        <v>Maplink2</v>
      </c>
      <c r="AW3303" s="14" t="str">
        <f>HYPERLINK("http://www.bing.com/maps/?lvl=14&amp;sty=h&amp;cp=35.1167~45.6649&amp;sp=point.35.1167_45.6649_Kanisard","Maplink3")</f>
        <v>Maplink3</v>
      </c>
    </row>
    <row r="3304" spans="1:49" ht="15" customHeight="1" x14ac:dyDescent="0.25">
      <c r="A3304" s="21">
        <v>24251</v>
      </c>
      <c r="B3304" s="22" t="s">
        <v>24</v>
      </c>
      <c r="C3304" s="22" t="s">
        <v>6334</v>
      </c>
      <c r="D3304" s="22" t="s">
        <v>6345</v>
      </c>
      <c r="E3304" s="22" t="s">
        <v>6346</v>
      </c>
      <c r="F3304" s="22">
        <v>35.113079999999997</v>
      </c>
      <c r="G3304" s="22">
        <v>45.689889999999998</v>
      </c>
      <c r="H3304" s="21" t="s">
        <v>6283</v>
      </c>
      <c r="I3304" s="21" t="s">
        <v>6337</v>
      </c>
      <c r="J3304" s="21" t="s">
        <v>6347</v>
      </c>
      <c r="K3304" s="24">
        <v>85</v>
      </c>
      <c r="L3304" s="24">
        <v>510</v>
      </c>
      <c r="M3304" s="23">
        <v>12</v>
      </c>
      <c r="N3304" s="23"/>
      <c r="O3304" s="23">
        <v>3</v>
      </c>
      <c r="P3304" s="23"/>
      <c r="Q3304" s="23"/>
      <c r="R3304" s="23">
        <v>66</v>
      </c>
      <c r="S3304" s="23"/>
      <c r="T3304" s="23"/>
      <c r="U3304" s="23"/>
      <c r="V3304" s="23"/>
      <c r="W3304" s="23"/>
      <c r="X3304" s="23"/>
      <c r="Y3304" s="23"/>
      <c r="Z3304" s="23"/>
      <c r="AA3304" s="23">
        <v>4</v>
      </c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>
        <v>85</v>
      </c>
      <c r="AL3304" s="23"/>
      <c r="AM3304" s="23"/>
      <c r="AN3304" s="23"/>
      <c r="AO3304" s="23">
        <v>2</v>
      </c>
      <c r="AP3304" s="23">
        <v>25</v>
      </c>
      <c r="AQ3304" s="23"/>
      <c r="AR3304" s="23">
        <v>43</v>
      </c>
      <c r="AS3304" s="23">
        <v>12</v>
      </c>
      <c r="AT3304" s="23">
        <v>3</v>
      </c>
      <c r="AU3304" s="14" t="str">
        <f>HYPERLINK("http://www.openstreetmap.org/?mlat=35.1131&amp;mlon=45.6899&amp;zoom=12#map=12/35.1131/45.6899","Maplink1")</f>
        <v>Maplink1</v>
      </c>
      <c r="AV3304" s="14" t="str">
        <f>HYPERLINK("https://www.google.iq/maps/search/+35.1131,45.6899/@35.1131,45.6899,14z?hl=en","Maplink2")</f>
        <v>Maplink2</v>
      </c>
      <c r="AW3304" s="14" t="str">
        <f>HYPERLINK("http://www.bing.com/maps/?lvl=14&amp;sty=h&amp;cp=35.1131~45.6899&amp;sp=point.35.1131_45.6899_Kanito","Maplink3")</f>
        <v>Maplink3</v>
      </c>
    </row>
    <row r="3305" spans="1:49" ht="15" customHeight="1" x14ac:dyDescent="0.25">
      <c r="A3305" s="21">
        <v>29517</v>
      </c>
      <c r="B3305" s="22" t="s">
        <v>24</v>
      </c>
      <c r="C3305" s="22" t="s">
        <v>6334</v>
      </c>
      <c r="D3305" s="22" t="s">
        <v>6348</v>
      </c>
      <c r="E3305" s="22" t="s">
        <v>6349</v>
      </c>
      <c r="F3305" s="22">
        <v>35.112430000000003</v>
      </c>
      <c r="G3305" s="22">
        <v>45.68674</v>
      </c>
      <c r="H3305" s="21" t="s">
        <v>6283</v>
      </c>
      <c r="I3305" s="21" t="s">
        <v>6337</v>
      </c>
      <c r="J3305" s="21"/>
      <c r="K3305" s="24">
        <v>48</v>
      </c>
      <c r="L3305" s="24">
        <v>288</v>
      </c>
      <c r="M3305" s="23">
        <v>22</v>
      </c>
      <c r="N3305" s="23"/>
      <c r="O3305" s="23">
        <v>8</v>
      </c>
      <c r="P3305" s="23"/>
      <c r="Q3305" s="23"/>
      <c r="R3305" s="23">
        <v>16</v>
      </c>
      <c r="S3305" s="23"/>
      <c r="T3305" s="23"/>
      <c r="U3305" s="23"/>
      <c r="V3305" s="23"/>
      <c r="W3305" s="23"/>
      <c r="X3305" s="23"/>
      <c r="Y3305" s="23"/>
      <c r="Z3305" s="23"/>
      <c r="AA3305" s="23">
        <v>2</v>
      </c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48</v>
      </c>
      <c r="AL3305" s="23"/>
      <c r="AM3305" s="23"/>
      <c r="AN3305" s="23"/>
      <c r="AO3305" s="23">
        <v>10</v>
      </c>
      <c r="AP3305" s="23">
        <v>17</v>
      </c>
      <c r="AQ3305" s="23">
        <v>5</v>
      </c>
      <c r="AR3305" s="23">
        <v>10</v>
      </c>
      <c r="AS3305" s="23">
        <v>3</v>
      </c>
      <c r="AT3305" s="23">
        <v>3</v>
      </c>
      <c r="AU3305" s="14" t="str">
        <f>HYPERLINK("http://www.openstreetmap.org/?mlat=35.1124&amp;mlon=45.6867&amp;zoom=12#map=12/35.1124/45.6867","Maplink1")</f>
        <v>Maplink1</v>
      </c>
      <c r="AV3305" s="14" t="str">
        <f>HYPERLINK("https://www.google.iq/maps/search/+35.1124,45.6867/@35.1124,45.6867,14z?hl=en","Maplink2")</f>
        <v>Maplink2</v>
      </c>
      <c r="AW3305" s="14" t="str">
        <f>HYPERLINK("http://www.bing.com/maps/?lvl=14&amp;sty=h&amp;cp=35.1124~45.6867&amp;sp=point.35.1124_45.6867","Maplink3")</f>
        <v>Maplink3</v>
      </c>
    </row>
    <row r="3306" spans="1:49" ht="15" customHeight="1" x14ac:dyDescent="0.25">
      <c r="A3306" s="21">
        <v>24670</v>
      </c>
      <c r="B3306" s="22" t="s">
        <v>24</v>
      </c>
      <c r="C3306" s="22" t="s">
        <v>6334</v>
      </c>
      <c r="D3306" s="22" t="s">
        <v>6350</v>
      </c>
      <c r="E3306" s="22" t="s">
        <v>6351</v>
      </c>
      <c r="F3306" s="22">
        <v>35.115519999999997</v>
      </c>
      <c r="G3306" s="22">
        <v>45.686509999999998</v>
      </c>
      <c r="H3306" s="21" t="s">
        <v>6283</v>
      </c>
      <c r="I3306" s="21" t="s">
        <v>6337</v>
      </c>
      <c r="J3306" s="21"/>
      <c r="K3306" s="24">
        <v>103</v>
      </c>
      <c r="L3306" s="24">
        <v>618</v>
      </c>
      <c r="M3306" s="23">
        <v>48</v>
      </c>
      <c r="N3306" s="23"/>
      <c r="O3306" s="23">
        <v>3</v>
      </c>
      <c r="P3306" s="23"/>
      <c r="Q3306" s="23"/>
      <c r="R3306" s="23">
        <v>43</v>
      </c>
      <c r="S3306" s="23"/>
      <c r="T3306" s="23"/>
      <c r="U3306" s="23"/>
      <c r="V3306" s="23"/>
      <c r="W3306" s="23"/>
      <c r="X3306" s="23"/>
      <c r="Y3306" s="23"/>
      <c r="Z3306" s="23"/>
      <c r="AA3306" s="23">
        <v>9</v>
      </c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>
        <v>103</v>
      </c>
      <c r="AL3306" s="23"/>
      <c r="AM3306" s="23"/>
      <c r="AN3306" s="23"/>
      <c r="AO3306" s="23">
        <v>3</v>
      </c>
      <c r="AP3306" s="23">
        <v>33</v>
      </c>
      <c r="AQ3306" s="23"/>
      <c r="AR3306" s="23">
        <v>47</v>
      </c>
      <c r="AS3306" s="23">
        <v>13</v>
      </c>
      <c r="AT3306" s="23">
        <v>7</v>
      </c>
      <c r="AU3306" s="14" t="str">
        <f>HYPERLINK("http://www.openstreetmap.org/?mlat=35.1155&amp;mlon=45.6865&amp;zoom=12#map=12/35.1155/45.6865","Maplink1")</f>
        <v>Maplink1</v>
      </c>
      <c r="AV3306" s="14" t="str">
        <f>HYPERLINK("https://www.google.iq/maps/search/+35.1155,45.6865/@35.1155,45.6865,14z?hl=en","Maplink2")</f>
        <v>Maplink2</v>
      </c>
      <c r="AW3306" s="14" t="str">
        <f>HYPERLINK("http://www.bing.com/maps/?lvl=14&amp;sty=h&amp;cp=35.1155~45.6865&amp;sp=point.35.1155_45.6865_Sara","Maplink3")</f>
        <v>Maplink3</v>
      </c>
    </row>
    <row r="3307" spans="1:49" ht="15" customHeight="1" x14ac:dyDescent="0.25">
      <c r="A3307" s="21">
        <v>29514</v>
      </c>
      <c r="B3307" s="22" t="s">
        <v>24</v>
      </c>
      <c r="C3307" s="22" t="s">
        <v>6334</v>
      </c>
      <c r="D3307" s="22" t="s">
        <v>2967</v>
      </c>
      <c r="E3307" s="22" t="s">
        <v>2968</v>
      </c>
      <c r="F3307" s="22">
        <v>35.108899999999998</v>
      </c>
      <c r="G3307" s="22">
        <v>45.677280000000003</v>
      </c>
      <c r="H3307" s="21" t="s">
        <v>6283</v>
      </c>
      <c r="I3307" s="21" t="s">
        <v>6337</v>
      </c>
      <c r="J3307" s="21"/>
      <c r="K3307" s="24">
        <v>49</v>
      </c>
      <c r="L3307" s="24">
        <v>294</v>
      </c>
      <c r="M3307" s="23">
        <v>18</v>
      </c>
      <c r="N3307" s="23"/>
      <c r="O3307" s="23">
        <v>10</v>
      </c>
      <c r="P3307" s="23"/>
      <c r="Q3307" s="23"/>
      <c r="R3307" s="23">
        <v>16</v>
      </c>
      <c r="S3307" s="23"/>
      <c r="T3307" s="23"/>
      <c r="U3307" s="23"/>
      <c r="V3307" s="23"/>
      <c r="W3307" s="23"/>
      <c r="X3307" s="23"/>
      <c r="Y3307" s="23"/>
      <c r="Z3307" s="23"/>
      <c r="AA3307" s="23">
        <v>5</v>
      </c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>
        <v>49</v>
      </c>
      <c r="AL3307" s="23"/>
      <c r="AM3307" s="23"/>
      <c r="AN3307" s="23"/>
      <c r="AO3307" s="23">
        <v>9</v>
      </c>
      <c r="AP3307" s="23">
        <v>14</v>
      </c>
      <c r="AQ3307" s="23">
        <v>2</v>
      </c>
      <c r="AR3307" s="23">
        <v>14</v>
      </c>
      <c r="AS3307" s="23">
        <v>5</v>
      </c>
      <c r="AT3307" s="23">
        <v>5</v>
      </c>
      <c r="AU3307" s="14" t="str">
        <f>HYPERLINK("http://www.openstreetmap.org/?mlat=35.1089&amp;mlon=45.6773&amp;zoom=12#map=12/35.1089/45.6773","Maplink1")</f>
        <v>Maplink1</v>
      </c>
      <c r="AV3307" s="14" t="str">
        <f>HYPERLINK("https://www.google.iq/maps/search/+35.1089,45.6773/@35.1089,45.6773,14z?hl=en","Maplink2")</f>
        <v>Maplink2</v>
      </c>
      <c r="AW3307" s="14" t="str">
        <f>HYPERLINK("http://www.bing.com/maps/?lvl=14&amp;sty=h&amp;cp=35.1089~45.6773&amp;sp=point.35.1089_45.6773","Maplink3")</f>
        <v>Maplink3</v>
      </c>
    </row>
    <row r="3308" spans="1:49" ht="15" customHeight="1" x14ac:dyDescent="0.25">
      <c r="A3308" s="21">
        <v>29516</v>
      </c>
      <c r="B3308" s="22" t="s">
        <v>24</v>
      </c>
      <c r="C3308" s="22" t="s">
        <v>6334</v>
      </c>
      <c r="D3308" s="22" t="s">
        <v>6352</v>
      </c>
      <c r="E3308" s="22" t="s">
        <v>3690</v>
      </c>
      <c r="F3308" s="22">
        <v>35.117559999999997</v>
      </c>
      <c r="G3308" s="22">
        <v>45.688760000000002</v>
      </c>
      <c r="H3308" s="21" t="s">
        <v>6283</v>
      </c>
      <c r="I3308" s="21" t="s">
        <v>6337</v>
      </c>
      <c r="J3308" s="21"/>
      <c r="K3308" s="24">
        <v>59</v>
      </c>
      <c r="L3308" s="24">
        <v>354</v>
      </c>
      <c r="M3308" s="23">
        <v>29</v>
      </c>
      <c r="N3308" s="23">
        <v>6</v>
      </c>
      <c r="O3308" s="23">
        <v>8</v>
      </c>
      <c r="P3308" s="23"/>
      <c r="Q3308" s="23"/>
      <c r="R3308" s="23">
        <v>12</v>
      </c>
      <c r="S3308" s="23"/>
      <c r="T3308" s="23"/>
      <c r="U3308" s="23"/>
      <c r="V3308" s="23"/>
      <c r="W3308" s="23"/>
      <c r="X3308" s="23"/>
      <c r="Y3308" s="23"/>
      <c r="Z3308" s="23"/>
      <c r="AA3308" s="23">
        <v>4</v>
      </c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>
        <v>59</v>
      </c>
      <c r="AL3308" s="23"/>
      <c r="AM3308" s="23"/>
      <c r="AN3308" s="23"/>
      <c r="AO3308" s="23">
        <v>2</v>
      </c>
      <c r="AP3308" s="23">
        <v>23</v>
      </c>
      <c r="AQ3308" s="23">
        <v>7</v>
      </c>
      <c r="AR3308" s="23">
        <v>18</v>
      </c>
      <c r="AS3308" s="23">
        <v>5</v>
      </c>
      <c r="AT3308" s="23">
        <v>4</v>
      </c>
      <c r="AU3308" s="14" t="str">
        <f>HYPERLINK("http://www.openstreetmap.org/?mlat=35.1176&amp;mlon=45.6888&amp;zoom=12#map=12/35.1176/45.6888","Maplink1")</f>
        <v>Maplink1</v>
      </c>
      <c r="AV3308" s="14" t="str">
        <f>HYPERLINK("https://www.google.iq/maps/search/+35.1176,45.6888/@35.1176,45.6888,14z?hl=en","Maplink2")</f>
        <v>Maplink2</v>
      </c>
      <c r="AW3308" s="14" t="str">
        <f>HYPERLINK("http://www.bing.com/maps/?lvl=14&amp;sty=h&amp;cp=35.1176~45.6888&amp;sp=point.35.1176_45.6888","Maplink3")</f>
        <v>Maplink3</v>
      </c>
    </row>
    <row r="3309" spans="1:49" ht="15" customHeight="1" x14ac:dyDescent="0.25">
      <c r="A3309" s="21">
        <v>29515</v>
      </c>
      <c r="B3309" s="22" t="s">
        <v>24</v>
      </c>
      <c r="C3309" s="22" t="s">
        <v>6334</v>
      </c>
      <c r="D3309" s="22" t="s">
        <v>6353</v>
      </c>
      <c r="E3309" s="22" t="s">
        <v>3066</v>
      </c>
      <c r="F3309" s="22">
        <v>35.120220000000003</v>
      </c>
      <c r="G3309" s="22">
        <v>45.675919999999998</v>
      </c>
      <c r="H3309" s="21" t="s">
        <v>6283</v>
      </c>
      <c r="I3309" s="21" t="s">
        <v>6337</v>
      </c>
      <c r="J3309" s="21"/>
      <c r="K3309" s="24">
        <v>46</v>
      </c>
      <c r="L3309" s="24">
        <v>276</v>
      </c>
      <c r="M3309" s="23">
        <v>24</v>
      </c>
      <c r="N3309" s="23">
        <v>4</v>
      </c>
      <c r="O3309" s="23">
        <v>3</v>
      </c>
      <c r="P3309" s="23"/>
      <c r="Q3309" s="23"/>
      <c r="R3309" s="23">
        <v>12</v>
      </c>
      <c r="S3309" s="23"/>
      <c r="T3309" s="23"/>
      <c r="U3309" s="23"/>
      <c r="V3309" s="23"/>
      <c r="W3309" s="23"/>
      <c r="X3309" s="23"/>
      <c r="Y3309" s="23"/>
      <c r="Z3309" s="23"/>
      <c r="AA3309" s="23">
        <v>3</v>
      </c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46</v>
      </c>
      <c r="AL3309" s="23"/>
      <c r="AM3309" s="23"/>
      <c r="AN3309" s="23"/>
      <c r="AO3309" s="23">
        <v>7</v>
      </c>
      <c r="AP3309" s="23">
        <v>21</v>
      </c>
      <c r="AQ3309" s="23">
        <v>5</v>
      </c>
      <c r="AR3309" s="23">
        <v>5</v>
      </c>
      <c r="AS3309" s="23">
        <v>6</v>
      </c>
      <c r="AT3309" s="23">
        <v>2</v>
      </c>
      <c r="AU3309" s="14" t="str">
        <f>HYPERLINK("http://www.openstreetmap.org/?mlat=35.1202&amp;mlon=45.6759&amp;zoom=12#map=12/35.1202/45.6759","Maplink1")</f>
        <v>Maplink1</v>
      </c>
      <c r="AV3309" s="14" t="str">
        <f>HYPERLINK("https://www.google.iq/maps/search/+35.1202,45.6759/@35.1202,45.6759,14z?hl=en","Maplink2")</f>
        <v>Maplink2</v>
      </c>
      <c r="AW3309" s="14" t="str">
        <f>HYPERLINK("http://www.bing.com/maps/?lvl=14&amp;sty=h&amp;cp=35.1202~45.6759&amp;sp=point.35.1202_45.6759","Maplink3")</f>
        <v>Maplink3</v>
      </c>
    </row>
    <row r="3310" spans="1:49" ht="15" customHeight="1" x14ac:dyDescent="0.25">
      <c r="A3310" s="21">
        <v>24687</v>
      </c>
      <c r="B3310" s="22" t="s">
        <v>24</v>
      </c>
      <c r="C3310" s="22" t="s">
        <v>6334</v>
      </c>
      <c r="D3310" s="22" t="s">
        <v>6354</v>
      </c>
      <c r="E3310" s="22" t="s">
        <v>6355</v>
      </c>
      <c r="F3310" s="22">
        <v>35.303649999999998</v>
      </c>
      <c r="G3310" s="22">
        <v>45.672609999999999</v>
      </c>
      <c r="H3310" s="21" t="s">
        <v>6283</v>
      </c>
      <c r="I3310" s="21" t="s">
        <v>6337</v>
      </c>
      <c r="J3310" s="21"/>
      <c r="K3310" s="24">
        <v>44</v>
      </c>
      <c r="L3310" s="24">
        <v>264</v>
      </c>
      <c r="M3310" s="23">
        <v>19</v>
      </c>
      <c r="N3310" s="23"/>
      <c r="O3310" s="23"/>
      <c r="P3310" s="23"/>
      <c r="Q3310" s="23"/>
      <c r="R3310" s="23">
        <v>13</v>
      </c>
      <c r="S3310" s="23"/>
      <c r="T3310" s="23"/>
      <c r="U3310" s="23"/>
      <c r="V3310" s="23"/>
      <c r="W3310" s="23"/>
      <c r="X3310" s="23"/>
      <c r="Y3310" s="23"/>
      <c r="Z3310" s="23"/>
      <c r="AA3310" s="23">
        <v>12</v>
      </c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40</v>
      </c>
      <c r="AL3310" s="23"/>
      <c r="AM3310" s="23">
        <v>4</v>
      </c>
      <c r="AN3310" s="23"/>
      <c r="AO3310" s="23">
        <v>5</v>
      </c>
      <c r="AP3310" s="23"/>
      <c r="AQ3310" s="23"/>
      <c r="AR3310" s="23">
        <v>26</v>
      </c>
      <c r="AS3310" s="23">
        <v>10</v>
      </c>
      <c r="AT3310" s="23">
        <v>3</v>
      </c>
      <c r="AU3310" s="14" t="str">
        <f>HYPERLINK("http://www.openstreetmap.org/?mlat=35.3036&amp;mlon=45.6726&amp;zoom=12#map=12/35.3036/45.6726","Maplink1")</f>
        <v>Maplink1</v>
      </c>
      <c r="AV3310" s="14" t="str">
        <f>HYPERLINK("https://www.google.iq/maps/search/+35.3036,45.6726/@35.3036,45.6726,14z?hl=en","Maplink2")</f>
        <v>Maplink2</v>
      </c>
      <c r="AW3310" s="14" t="str">
        <f>HYPERLINK("http://www.bing.com/maps/?lvl=14&amp;sty=h&amp;cp=35.3036~45.6726&amp;sp=point.35.3036_45.6726_Warmawa","Maplink3")</f>
        <v>Maplink3</v>
      </c>
    </row>
    <row r="3311" spans="1:49" ht="15" customHeight="1" x14ac:dyDescent="0.25">
      <c r="A3311" s="21">
        <v>23924</v>
      </c>
      <c r="B3311" s="22" t="s">
        <v>24</v>
      </c>
      <c r="C3311" s="22" t="s">
        <v>6356</v>
      </c>
      <c r="D3311" s="22" t="s">
        <v>6357</v>
      </c>
      <c r="E3311" s="22" t="s">
        <v>6358</v>
      </c>
      <c r="F3311" s="22">
        <v>35.935029999999998</v>
      </c>
      <c r="G3311" s="22">
        <v>44.968179999999997</v>
      </c>
      <c r="H3311" s="21" t="s">
        <v>6283</v>
      </c>
      <c r="I3311" s="21" t="s">
        <v>6359</v>
      </c>
      <c r="J3311" s="21" t="s">
        <v>6360</v>
      </c>
      <c r="K3311" s="24">
        <v>80</v>
      </c>
      <c r="L3311" s="24">
        <v>480</v>
      </c>
      <c r="M3311" s="23">
        <v>74</v>
      </c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>
        <v>6</v>
      </c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>
        <v>6</v>
      </c>
      <c r="AJ3311" s="23"/>
      <c r="AK3311" s="23">
        <v>74</v>
      </c>
      <c r="AL3311" s="23"/>
      <c r="AM3311" s="23"/>
      <c r="AN3311" s="23"/>
      <c r="AO3311" s="23">
        <v>20</v>
      </c>
      <c r="AP3311" s="23">
        <v>15</v>
      </c>
      <c r="AQ3311" s="23">
        <v>11</v>
      </c>
      <c r="AR3311" s="23">
        <v>27</v>
      </c>
      <c r="AS3311" s="23">
        <v>7</v>
      </c>
      <c r="AT3311" s="23"/>
      <c r="AU3311" s="14" t="str">
        <f>HYPERLINK("http://www.openstreetmap.org/?mlat=35.935&amp;mlon=44.9682&amp;zoom=12#map=12/35.935/44.9682","Maplink1")</f>
        <v>Maplink1</v>
      </c>
      <c r="AV3311" s="14" t="str">
        <f>HYPERLINK("https://www.google.iq/maps/search/+35.935,44.9682/@35.935,44.9682,14z?hl=en","Maplink2")</f>
        <v>Maplink2</v>
      </c>
      <c r="AW3311" s="14" t="str">
        <f>HYPERLINK("http://www.bing.com/maps/?lvl=14&amp;sty=h&amp;cp=35.935~44.9682&amp;sp=point.35.935_44.9682_Banwan","Maplink3")</f>
        <v>Maplink3</v>
      </c>
    </row>
    <row r="3312" spans="1:49" ht="15" customHeight="1" x14ac:dyDescent="0.25">
      <c r="A3312" s="21">
        <v>23721</v>
      </c>
      <c r="B3312" s="22" t="s">
        <v>24</v>
      </c>
      <c r="C3312" s="22" t="s">
        <v>6356</v>
      </c>
      <c r="D3312" s="22" t="s">
        <v>6361</v>
      </c>
      <c r="E3312" s="22" t="s">
        <v>6362</v>
      </c>
      <c r="F3312" s="22">
        <v>35.925350000000002</v>
      </c>
      <c r="G3312" s="22">
        <v>44.972549999999998</v>
      </c>
      <c r="H3312" s="21" t="s">
        <v>6283</v>
      </c>
      <c r="I3312" s="21" t="s">
        <v>6359</v>
      </c>
      <c r="J3312" s="21" t="s">
        <v>6363</v>
      </c>
      <c r="K3312" s="24">
        <v>210</v>
      </c>
      <c r="L3312" s="24">
        <v>1260</v>
      </c>
      <c r="M3312" s="23">
        <v>198</v>
      </c>
      <c r="N3312" s="23"/>
      <c r="O3312" s="23"/>
      <c r="P3312" s="23"/>
      <c r="Q3312" s="23"/>
      <c r="R3312" s="23">
        <v>2</v>
      </c>
      <c r="S3312" s="23"/>
      <c r="T3312" s="23"/>
      <c r="U3312" s="23"/>
      <c r="V3312" s="23"/>
      <c r="W3312" s="23"/>
      <c r="X3312" s="23"/>
      <c r="Y3312" s="23">
        <v>2</v>
      </c>
      <c r="Z3312" s="23"/>
      <c r="AA3312" s="23">
        <v>8</v>
      </c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210</v>
      </c>
      <c r="AL3312" s="23"/>
      <c r="AM3312" s="23"/>
      <c r="AN3312" s="23"/>
      <c r="AO3312" s="23">
        <v>118</v>
      </c>
      <c r="AP3312" s="23">
        <v>31</v>
      </c>
      <c r="AQ3312" s="23">
        <v>10</v>
      </c>
      <c r="AR3312" s="23">
        <v>39</v>
      </c>
      <c r="AS3312" s="23">
        <v>12</v>
      </c>
      <c r="AT3312" s="23"/>
      <c r="AU3312" s="14" t="str">
        <f>HYPERLINK("http://www.openstreetmap.org/?mlat=35.9254&amp;mlon=44.9725&amp;zoom=12#map=12/35.9254/44.9725","Maplink1")</f>
        <v>Maplink1</v>
      </c>
      <c r="AV3312" s="14" t="str">
        <f>HYPERLINK("https://www.google.iq/maps/search/+35.9254,44.9725/@35.9254,44.9725,14z?hl=en","Maplink2")</f>
        <v>Maplink2</v>
      </c>
      <c r="AW3312" s="14" t="str">
        <f>HYPERLINK("http://www.bing.com/maps/?lvl=14&amp;sty=h&amp;cp=35.9254~44.9725&amp;sp=point.35.9254_44.9725_Chawa spy","Maplink3")</f>
        <v>Maplink3</v>
      </c>
    </row>
    <row r="3313" spans="1:49" ht="15" customHeight="1" x14ac:dyDescent="0.25">
      <c r="A3313" s="21">
        <v>23162</v>
      </c>
      <c r="B3313" s="22" t="s">
        <v>24</v>
      </c>
      <c r="C3313" s="22" t="s">
        <v>6356</v>
      </c>
      <c r="D3313" s="22" t="s">
        <v>6364</v>
      </c>
      <c r="E3313" s="22" t="s">
        <v>6365</v>
      </c>
      <c r="F3313" s="22">
        <v>35.944659999999999</v>
      </c>
      <c r="G3313" s="22">
        <v>44.964320000000001</v>
      </c>
      <c r="H3313" s="21" t="s">
        <v>6283</v>
      </c>
      <c r="I3313" s="21" t="s">
        <v>6359</v>
      </c>
      <c r="J3313" s="21" t="s">
        <v>6366</v>
      </c>
      <c r="K3313" s="24">
        <v>60</v>
      </c>
      <c r="L3313" s="24">
        <v>360</v>
      </c>
      <c r="M3313" s="23">
        <v>33</v>
      </c>
      <c r="N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>
        <v>18</v>
      </c>
      <c r="Z3313" s="23"/>
      <c r="AA3313" s="23">
        <v>9</v>
      </c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60</v>
      </c>
      <c r="AL3313" s="23"/>
      <c r="AM3313" s="23"/>
      <c r="AN3313" s="23"/>
      <c r="AO3313" s="23">
        <v>8</v>
      </c>
      <c r="AP3313" s="23">
        <v>6</v>
      </c>
      <c r="AQ3313" s="23">
        <v>21</v>
      </c>
      <c r="AR3313" s="23">
        <v>18</v>
      </c>
      <c r="AS3313" s="23">
        <v>7</v>
      </c>
      <c r="AT3313" s="23"/>
      <c r="AU3313" s="14" t="str">
        <f>HYPERLINK("http://www.openstreetmap.org/?mlat=35.9447&amp;mlon=44.9643&amp;zoom=12#map=12/35.9447/44.9643","Maplink1")</f>
        <v>Maplink1</v>
      </c>
      <c r="AV3313" s="14" t="str">
        <f>HYPERLINK("https://www.google.iq/maps/search/+35.9447,44.9643/@35.9447,44.9643,14z?hl=en","Maplink2")</f>
        <v>Maplink2</v>
      </c>
      <c r="AW3313" s="14" t="str">
        <f>HYPERLINK("http://www.bing.com/maps/?lvl=14&amp;sty=h&amp;cp=35.9447~44.9643&amp;sp=point.35.9447_44.9643_Dakani Suro","Maplink3")</f>
        <v>Maplink3</v>
      </c>
    </row>
    <row r="3314" spans="1:49" ht="15" customHeight="1" x14ac:dyDescent="0.25">
      <c r="A3314" s="21">
        <v>24553</v>
      </c>
      <c r="B3314" s="22" t="s">
        <v>24</v>
      </c>
      <c r="C3314" s="22" t="s">
        <v>6356</v>
      </c>
      <c r="D3314" s="22" t="s">
        <v>6367</v>
      </c>
      <c r="E3314" s="22" t="s">
        <v>6368</v>
      </c>
      <c r="F3314" s="22">
        <v>35.927370000000003</v>
      </c>
      <c r="G3314" s="22">
        <v>44.963079999999998</v>
      </c>
      <c r="H3314" s="21" t="s">
        <v>6283</v>
      </c>
      <c r="I3314" s="21" t="s">
        <v>6359</v>
      </c>
      <c r="J3314" s="21"/>
      <c r="K3314" s="24">
        <v>73</v>
      </c>
      <c r="L3314" s="24">
        <v>438</v>
      </c>
      <c r="M3314" s="23">
        <v>58</v>
      </c>
      <c r="N3314" s="23"/>
      <c r="O3314" s="23"/>
      <c r="P3314" s="23"/>
      <c r="Q3314" s="23"/>
      <c r="R3314" s="23">
        <v>3</v>
      </c>
      <c r="S3314" s="23"/>
      <c r="T3314" s="23"/>
      <c r="U3314" s="23"/>
      <c r="V3314" s="23"/>
      <c r="W3314" s="23"/>
      <c r="X3314" s="23"/>
      <c r="Y3314" s="23">
        <v>9</v>
      </c>
      <c r="Z3314" s="23"/>
      <c r="AA3314" s="23">
        <v>3</v>
      </c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>
        <v>73</v>
      </c>
      <c r="AL3314" s="23"/>
      <c r="AM3314" s="23"/>
      <c r="AN3314" s="23"/>
      <c r="AO3314" s="23">
        <v>18</v>
      </c>
      <c r="AP3314" s="23">
        <v>3</v>
      </c>
      <c r="AQ3314" s="23">
        <v>13</v>
      </c>
      <c r="AR3314" s="23">
        <v>34</v>
      </c>
      <c r="AS3314" s="23">
        <v>5</v>
      </c>
      <c r="AT3314" s="23"/>
      <c r="AU3314" s="14" t="str">
        <f>HYPERLINK("http://www.openstreetmap.org/?mlat=35.9274&amp;mlon=44.9631&amp;zoom=12#map=12/35.9274/44.9631","Maplink1")</f>
        <v>Maplink1</v>
      </c>
      <c r="AV3314" s="14" t="str">
        <f>HYPERLINK("https://www.google.iq/maps/search/+35.9274,44.9631/@35.9274,44.9631,14z?hl=en","Maplink2")</f>
        <v>Maplink2</v>
      </c>
      <c r="AW3314" s="14" t="str">
        <f>HYPERLINK("http://www.bing.com/maps/?lvl=14&amp;sty=h&amp;cp=35.9274~44.9631&amp;sp=point.35.9274_44.9631_Farmanbaran","Maplink3")</f>
        <v>Maplink3</v>
      </c>
    </row>
    <row r="3315" spans="1:49" ht="15" customHeight="1" x14ac:dyDescent="0.25">
      <c r="A3315" s="21">
        <v>5229</v>
      </c>
      <c r="B3315" s="22" t="s">
        <v>24</v>
      </c>
      <c r="C3315" s="22" t="s">
        <v>6356</v>
      </c>
      <c r="D3315" s="22" t="s">
        <v>6369</v>
      </c>
      <c r="E3315" s="22" t="s">
        <v>6370</v>
      </c>
      <c r="F3315" s="22">
        <v>35.862929999999999</v>
      </c>
      <c r="G3315" s="22">
        <v>45.043059999999997</v>
      </c>
      <c r="H3315" s="21" t="s">
        <v>6283</v>
      </c>
      <c r="I3315" s="21" t="s">
        <v>6359</v>
      </c>
      <c r="J3315" s="21" t="s">
        <v>6371</v>
      </c>
      <c r="K3315" s="24">
        <v>16</v>
      </c>
      <c r="L3315" s="24">
        <v>96</v>
      </c>
      <c r="M3315" s="23">
        <v>2</v>
      </c>
      <c r="N3315" s="23">
        <v>12</v>
      </c>
      <c r="O3315" s="23"/>
      <c r="P3315" s="23"/>
      <c r="Q3315" s="23"/>
      <c r="R3315" s="23"/>
      <c r="S3315" s="23"/>
      <c r="T3315" s="23"/>
      <c r="U3315" s="23"/>
      <c r="V3315" s="23"/>
      <c r="W3315" s="23"/>
      <c r="X3315" s="23"/>
      <c r="Y3315" s="23">
        <v>2</v>
      </c>
      <c r="Z3315" s="23"/>
      <c r="AA3315" s="23"/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>
        <v>16</v>
      </c>
      <c r="AL3315" s="23"/>
      <c r="AM3315" s="23"/>
      <c r="AN3315" s="23"/>
      <c r="AO3315" s="23"/>
      <c r="AP3315" s="23">
        <v>2</v>
      </c>
      <c r="AQ3315" s="23">
        <v>9</v>
      </c>
      <c r="AR3315" s="23">
        <v>5</v>
      </c>
      <c r="AS3315" s="23"/>
      <c r="AT3315" s="23"/>
      <c r="AU3315" s="14" t="str">
        <f>HYPERLINK("http://www.openstreetmap.org/?mlat=35.86&amp;mlon=45.04&amp;zoom=12#map=12/35.86/45.04","Maplink1")</f>
        <v>Maplink1</v>
      </c>
      <c r="AV3315" s="14" t="str">
        <f>HYPERLINK("https://www.google.iq/maps/search/+35.86,45.04/@35.86,45.04,14z?hl=en","Maplink2")</f>
        <v>Maplink2</v>
      </c>
      <c r="AW3315" s="14" t="str">
        <f>HYPERLINK("http://www.bing.com/maps/?lvl=14&amp;sty=h&amp;cp=35.86~45.04&amp;sp=point.35.86_45.04_Kani Khan","Maplink3")</f>
        <v>Maplink3</v>
      </c>
    </row>
    <row r="3316" spans="1:49" ht="15" customHeight="1" x14ac:dyDescent="0.25">
      <c r="A3316" s="21">
        <v>3643</v>
      </c>
      <c r="B3316" s="22" t="s">
        <v>24</v>
      </c>
      <c r="C3316" s="22" t="s">
        <v>6356</v>
      </c>
      <c r="D3316" s="22" t="s">
        <v>6372</v>
      </c>
      <c r="E3316" s="22" t="s">
        <v>6373</v>
      </c>
      <c r="F3316" s="22">
        <v>36.020470000000003</v>
      </c>
      <c r="G3316" s="22">
        <v>44.83737</v>
      </c>
      <c r="H3316" s="21" t="s">
        <v>6283</v>
      </c>
      <c r="I3316" s="21" t="s">
        <v>6359</v>
      </c>
      <c r="J3316" s="21" t="s">
        <v>6374</v>
      </c>
      <c r="K3316" s="24">
        <v>75</v>
      </c>
      <c r="L3316" s="24">
        <v>450</v>
      </c>
      <c r="M3316" s="23">
        <v>25</v>
      </c>
      <c r="N3316" s="23">
        <v>4</v>
      </c>
      <c r="O3316" s="23">
        <v>20</v>
      </c>
      <c r="P3316" s="23"/>
      <c r="Q3316" s="23"/>
      <c r="R3316" s="23"/>
      <c r="S3316" s="23"/>
      <c r="T3316" s="23"/>
      <c r="U3316" s="23"/>
      <c r="V3316" s="23"/>
      <c r="W3316" s="23"/>
      <c r="X3316" s="23"/>
      <c r="Y3316" s="23">
        <v>24</v>
      </c>
      <c r="Z3316" s="23"/>
      <c r="AA3316" s="23">
        <v>2</v>
      </c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>
        <v>67</v>
      </c>
      <c r="AL3316" s="23"/>
      <c r="AM3316" s="23">
        <v>8</v>
      </c>
      <c r="AN3316" s="23"/>
      <c r="AO3316" s="23">
        <v>13</v>
      </c>
      <c r="AP3316" s="23">
        <v>22</v>
      </c>
      <c r="AQ3316" s="23">
        <v>24</v>
      </c>
      <c r="AR3316" s="23">
        <v>9</v>
      </c>
      <c r="AS3316" s="23">
        <v>7</v>
      </c>
      <c r="AT3316" s="23"/>
      <c r="AU3316" s="14" t="str">
        <f>HYPERLINK("http://www.openstreetmap.org/?mlat=36.02&amp;mlon=44.83&amp;zoom=12#map=12/36.02/44.83","Maplink1")</f>
        <v>Maplink1</v>
      </c>
      <c r="AV3316" s="14" t="str">
        <f>HYPERLINK("https://www.google.iq/maps/search/+36.02,44.83/@36.02,44.83,14z?hl=en","Maplink2")</f>
        <v>Maplink2</v>
      </c>
      <c r="AW3316" s="14" t="str">
        <f>HYPERLINK("http://www.bing.com/maps/?lvl=14&amp;sty=h&amp;cp=36.02~44.83&amp;sp=point.36.02_44.83_Khalakan","Maplink3")</f>
        <v>Maplink3</v>
      </c>
    </row>
    <row r="3317" spans="1:49" ht="15" customHeight="1" x14ac:dyDescent="0.25">
      <c r="A3317" s="21">
        <v>3617</v>
      </c>
      <c r="B3317" s="22" t="s">
        <v>24</v>
      </c>
      <c r="C3317" s="22" t="s">
        <v>6356</v>
      </c>
      <c r="D3317" s="22" t="s">
        <v>6375</v>
      </c>
      <c r="E3317" s="22" t="s">
        <v>6376</v>
      </c>
      <c r="F3317" s="22">
        <v>35.838569999999997</v>
      </c>
      <c r="G3317" s="22">
        <v>45.077849999999998</v>
      </c>
      <c r="H3317" s="21" t="s">
        <v>6283</v>
      </c>
      <c r="I3317" s="21" t="s">
        <v>6359</v>
      </c>
      <c r="J3317" s="21" t="s">
        <v>6377</v>
      </c>
      <c r="K3317" s="24">
        <v>21</v>
      </c>
      <c r="L3317" s="24">
        <v>126</v>
      </c>
      <c r="M3317" s="23">
        <v>8</v>
      </c>
      <c r="N3317" s="23">
        <v>13</v>
      </c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>
        <v>8</v>
      </c>
      <c r="AJ3317" s="23"/>
      <c r="AK3317" s="23">
        <v>13</v>
      </c>
      <c r="AL3317" s="23"/>
      <c r="AM3317" s="23"/>
      <c r="AN3317" s="23"/>
      <c r="AO3317" s="23">
        <v>9</v>
      </c>
      <c r="AP3317" s="23">
        <v>5</v>
      </c>
      <c r="AQ3317" s="23">
        <v>4</v>
      </c>
      <c r="AR3317" s="23">
        <v>3</v>
      </c>
      <c r="AS3317" s="23"/>
      <c r="AT3317" s="23"/>
      <c r="AU3317" s="14" t="str">
        <f>HYPERLINK("http://www.openstreetmap.org/?mlat=35.83&amp;mlon=45.06&amp;zoom=12#map=12/35.83/45.06","Maplink1")</f>
        <v>Maplink1</v>
      </c>
      <c r="AV3317" s="14" t="str">
        <f>HYPERLINK("https://www.google.iq/maps/search/+35.83,45.06/@35.83,45.06,14z?hl=en","Maplink2")</f>
        <v>Maplink2</v>
      </c>
      <c r="AW3317" s="14" t="str">
        <f>HYPERLINK("http://www.bing.com/maps/?lvl=14&amp;sty=h&amp;cp=35.83~45.06&amp;sp=point.35.83_45.06_Kotal","Maplink3")</f>
        <v>Maplink3</v>
      </c>
    </row>
    <row r="3318" spans="1:49" ht="15" customHeight="1" x14ac:dyDescent="0.25">
      <c r="A3318" s="21">
        <v>4838</v>
      </c>
      <c r="B3318" s="22" t="s">
        <v>24</v>
      </c>
      <c r="C3318" s="22" t="s">
        <v>6356</v>
      </c>
      <c r="D3318" s="22" t="s">
        <v>6378</v>
      </c>
      <c r="E3318" s="22" t="s">
        <v>6379</v>
      </c>
      <c r="F3318" s="22">
        <v>35.78378</v>
      </c>
      <c r="G3318" s="22">
        <v>45.112810000000003</v>
      </c>
      <c r="H3318" s="21" t="s">
        <v>6283</v>
      </c>
      <c r="I3318" s="21" t="s">
        <v>6359</v>
      </c>
      <c r="J3318" s="21" t="s">
        <v>6380</v>
      </c>
      <c r="K3318" s="24">
        <v>6</v>
      </c>
      <c r="L3318" s="24">
        <v>36</v>
      </c>
      <c r="M3318" s="23"/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/>
      <c r="Y3318" s="23">
        <v>6</v>
      </c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/>
      <c r="AL3318" s="23">
        <v>6</v>
      </c>
      <c r="AM3318" s="23"/>
      <c r="AN3318" s="23"/>
      <c r="AO3318" s="23"/>
      <c r="AP3318" s="23"/>
      <c r="AQ3318" s="23">
        <v>6</v>
      </c>
      <c r="AR3318" s="23"/>
      <c r="AS3318" s="23"/>
      <c r="AT3318" s="23"/>
      <c r="AU3318" s="14" t="str">
        <f>HYPERLINK("http://www.openstreetmap.org/?mlat=35.78&amp;mlon=45.11&amp;zoom=12#map=12/35.78/45.11","Maplink1")</f>
        <v>Maplink1</v>
      </c>
      <c r="AV3318" s="14" t="str">
        <f>HYPERLINK("https://www.google.iq/maps/search/+35.78,45.11/@35.78,45.11,14z?hl=en","Maplink2")</f>
        <v>Maplink2</v>
      </c>
      <c r="AW3318" s="14" t="str">
        <f>HYPERLINK("http://www.bing.com/maps/?lvl=14&amp;sty=h&amp;cp=35.78~45.11&amp;sp=point.35.78_45.11_Mughagh","Maplink3")</f>
        <v>Maplink3</v>
      </c>
    </row>
    <row r="3319" spans="1:49" ht="15" customHeight="1" x14ac:dyDescent="0.25">
      <c r="A3319" s="21">
        <v>23333</v>
      </c>
      <c r="B3319" s="22" t="s">
        <v>24</v>
      </c>
      <c r="C3319" s="22" t="s">
        <v>6356</v>
      </c>
      <c r="D3319" s="22" t="s">
        <v>6381</v>
      </c>
      <c r="E3319" s="22" t="s">
        <v>6382</v>
      </c>
      <c r="F3319" s="22">
        <v>35.734499999999997</v>
      </c>
      <c r="G3319" s="22">
        <v>45.146210000000004</v>
      </c>
      <c r="H3319" s="21" t="s">
        <v>6283</v>
      </c>
      <c r="I3319" s="21" t="s">
        <v>6359</v>
      </c>
      <c r="J3319" s="21" t="s">
        <v>6383</v>
      </c>
      <c r="K3319" s="24">
        <v>37</v>
      </c>
      <c r="L3319" s="24">
        <v>222</v>
      </c>
      <c r="M3319" s="23">
        <v>20</v>
      </c>
      <c r="N3319" s="23">
        <v>6</v>
      </c>
      <c r="O3319" s="23">
        <v>2</v>
      </c>
      <c r="P3319" s="23"/>
      <c r="Q3319" s="23"/>
      <c r="R3319" s="23">
        <v>6</v>
      </c>
      <c r="S3319" s="23"/>
      <c r="T3319" s="23"/>
      <c r="U3319" s="23"/>
      <c r="V3319" s="23"/>
      <c r="W3319" s="23"/>
      <c r="X3319" s="23"/>
      <c r="Y3319" s="23">
        <v>3</v>
      </c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37</v>
      </c>
      <c r="AL3319" s="23"/>
      <c r="AM3319" s="23"/>
      <c r="AN3319" s="23"/>
      <c r="AO3319" s="23">
        <v>6</v>
      </c>
      <c r="AP3319" s="23">
        <v>6</v>
      </c>
      <c r="AQ3319" s="23">
        <v>6</v>
      </c>
      <c r="AR3319" s="23">
        <v>15</v>
      </c>
      <c r="AS3319" s="23">
        <v>4</v>
      </c>
      <c r="AT3319" s="23"/>
      <c r="AU3319" s="14" t="str">
        <f>HYPERLINK("http://www.openstreetmap.org/?mlat=35.7345&amp;mlon=45.1462&amp;zoom=12#map=12/35.7345/45.1462","Maplink1")</f>
        <v>Maplink1</v>
      </c>
      <c r="AV3319" s="14" t="str">
        <f>HYPERLINK("https://www.google.iq/maps/search/+35.7345,45.1462/@35.7345,45.1462,14z?hl=en","Maplink2")</f>
        <v>Maplink2</v>
      </c>
      <c r="AW3319" s="14" t="str">
        <f>HYPERLINK("http://www.bing.com/maps/?lvl=14&amp;sty=h&amp;cp=35.7345~45.1462&amp;sp=point.35.7345_45.1462_Pishowa","Maplink3")</f>
        <v>Maplink3</v>
      </c>
    </row>
    <row r="3320" spans="1:49" ht="15" customHeight="1" x14ac:dyDescent="0.25">
      <c r="A3320" s="21">
        <v>3613</v>
      </c>
      <c r="B3320" s="22" t="s">
        <v>24</v>
      </c>
      <c r="C3320" s="22" t="s">
        <v>6356</v>
      </c>
      <c r="D3320" s="22" t="s">
        <v>6384</v>
      </c>
      <c r="E3320" s="22" t="s">
        <v>6385</v>
      </c>
      <c r="F3320" s="22">
        <v>35.899720000000002</v>
      </c>
      <c r="G3320" s="22">
        <v>45.980670000000003</v>
      </c>
      <c r="H3320" s="21" t="s">
        <v>6283</v>
      </c>
      <c r="I3320" s="21" t="s">
        <v>6359</v>
      </c>
      <c r="J3320" s="21" t="s">
        <v>6386</v>
      </c>
      <c r="K3320" s="24">
        <v>218</v>
      </c>
      <c r="L3320" s="24">
        <v>1308</v>
      </c>
      <c r="M3320" s="23">
        <v>166</v>
      </c>
      <c r="N3320" s="23">
        <v>24</v>
      </c>
      <c r="O3320" s="23">
        <v>4</v>
      </c>
      <c r="P3320" s="23"/>
      <c r="Q3320" s="23"/>
      <c r="R3320" s="23">
        <v>4</v>
      </c>
      <c r="S3320" s="23"/>
      <c r="T3320" s="23"/>
      <c r="U3320" s="23"/>
      <c r="V3320" s="23"/>
      <c r="W3320" s="23"/>
      <c r="X3320" s="23"/>
      <c r="Y3320" s="23">
        <v>9</v>
      </c>
      <c r="Z3320" s="23"/>
      <c r="AA3320" s="23">
        <v>11</v>
      </c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218</v>
      </c>
      <c r="AL3320" s="23"/>
      <c r="AM3320" s="23"/>
      <c r="AN3320" s="23"/>
      <c r="AO3320" s="23">
        <v>86</v>
      </c>
      <c r="AP3320" s="23">
        <v>45</v>
      </c>
      <c r="AQ3320" s="23">
        <v>30</v>
      </c>
      <c r="AR3320" s="23">
        <v>47</v>
      </c>
      <c r="AS3320" s="23">
        <v>10</v>
      </c>
      <c r="AT3320" s="23"/>
      <c r="AU3320" s="14" t="str">
        <f>HYPERLINK("http://www.openstreetmap.org/?mlat=35.89&amp;mlon=45.01&amp;zoom=12#map=12/35.89/45.01","Maplink1")</f>
        <v>Maplink1</v>
      </c>
      <c r="AV3320" s="14" t="str">
        <f>HYPERLINK("https://www.google.iq/maps/search/+35.89,45.01/@35.89,45.01,14z?hl=en","Maplink2")</f>
        <v>Maplink2</v>
      </c>
      <c r="AW3320" s="14" t="str">
        <f>HYPERLINK("http://www.bing.com/maps/?lvl=14&amp;sty=h&amp;cp=35.89~45.01&amp;sp=point.35.89_45.01_Qamchugha","Maplink3")</f>
        <v>Maplink3</v>
      </c>
    </row>
    <row r="3321" spans="1:49" ht="15" customHeight="1" x14ac:dyDescent="0.25">
      <c r="A3321" s="21">
        <v>24213</v>
      </c>
      <c r="B3321" s="22" t="s">
        <v>24</v>
      </c>
      <c r="C3321" s="22" t="s">
        <v>6356</v>
      </c>
      <c r="D3321" s="22" t="s">
        <v>6350</v>
      </c>
      <c r="E3321" s="22" t="s">
        <v>6387</v>
      </c>
      <c r="F3321" s="22">
        <v>35.72672</v>
      </c>
      <c r="G3321" s="22">
        <v>45.149920000000002</v>
      </c>
      <c r="H3321" s="21" t="s">
        <v>6283</v>
      </c>
      <c r="I3321" s="21" t="s">
        <v>6359</v>
      </c>
      <c r="J3321" s="21" t="s">
        <v>6388</v>
      </c>
      <c r="K3321" s="24">
        <v>54</v>
      </c>
      <c r="L3321" s="24">
        <v>324</v>
      </c>
      <c r="M3321" s="23">
        <v>45</v>
      </c>
      <c r="N3321" s="23"/>
      <c r="O3321" s="23">
        <v>4</v>
      </c>
      <c r="P3321" s="23"/>
      <c r="Q3321" s="23"/>
      <c r="R3321" s="23"/>
      <c r="S3321" s="23"/>
      <c r="T3321" s="23"/>
      <c r="U3321" s="23"/>
      <c r="V3321" s="23"/>
      <c r="W3321" s="23"/>
      <c r="X3321" s="23"/>
      <c r="Y3321" s="23">
        <v>5</v>
      </c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54</v>
      </c>
      <c r="AL3321" s="23"/>
      <c r="AM3321" s="23"/>
      <c r="AN3321" s="23"/>
      <c r="AO3321" s="23">
        <v>6</v>
      </c>
      <c r="AP3321" s="23">
        <v>10</v>
      </c>
      <c r="AQ3321" s="23">
        <v>15</v>
      </c>
      <c r="AR3321" s="23">
        <v>15</v>
      </c>
      <c r="AS3321" s="23">
        <v>8</v>
      </c>
      <c r="AT3321" s="23"/>
      <c r="AU3321" s="14" t="str">
        <f>HYPERLINK("http://www.openstreetmap.org/?mlat=35.7267&amp;mlon=45.1499&amp;zoom=12#map=12/35.7267/45.1499","Maplink1")</f>
        <v>Maplink1</v>
      </c>
      <c r="AV3321" s="14" t="str">
        <f>HYPERLINK("https://www.google.iq/maps/search/+35.7267,45.1499/@35.7267,45.1499,14z?hl=en","Maplink2")</f>
        <v>Maplink2</v>
      </c>
      <c r="AW3321" s="14" t="str">
        <f>HYPERLINK("http://www.bing.com/maps/?lvl=14&amp;sty=h&amp;cp=35.7267~45.1499&amp;sp=point.35.7267_45.1499_Sara","Maplink3")</f>
        <v>Maplink3</v>
      </c>
    </row>
    <row r="3322" spans="1:49" ht="15" customHeight="1" x14ac:dyDescent="0.25">
      <c r="A3322" s="21">
        <v>23923</v>
      </c>
      <c r="B3322" s="22" t="s">
        <v>24</v>
      </c>
      <c r="C3322" s="22" t="s">
        <v>6356</v>
      </c>
      <c r="D3322" s="22" t="s">
        <v>6389</v>
      </c>
      <c r="E3322" s="22" t="s">
        <v>6390</v>
      </c>
      <c r="F3322" s="22">
        <v>35.923169999999999</v>
      </c>
      <c r="G3322" s="22">
        <v>44.966549999999998</v>
      </c>
      <c r="H3322" s="21" t="s">
        <v>6283</v>
      </c>
      <c r="I3322" s="21" t="s">
        <v>6359</v>
      </c>
      <c r="J3322" s="21" t="s">
        <v>6391</v>
      </c>
      <c r="K3322" s="24">
        <v>115</v>
      </c>
      <c r="L3322" s="24">
        <v>690</v>
      </c>
      <c r="M3322" s="23">
        <v>104</v>
      </c>
      <c r="N3322" s="23"/>
      <c r="O3322" s="23">
        <v>2</v>
      </c>
      <c r="P3322" s="23"/>
      <c r="Q3322" s="23"/>
      <c r="R3322" s="23">
        <v>3</v>
      </c>
      <c r="S3322" s="23"/>
      <c r="T3322" s="23"/>
      <c r="U3322" s="23"/>
      <c r="V3322" s="23"/>
      <c r="W3322" s="23"/>
      <c r="X3322" s="23"/>
      <c r="Y3322" s="23">
        <v>6</v>
      </c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>
        <v>111</v>
      </c>
      <c r="AL3322" s="23">
        <v>4</v>
      </c>
      <c r="AM3322" s="23"/>
      <c r="AN3322" s="23"/>
      <c r="AO3322" s="23">
        <v>64</v>
      </c>
      <c r="AP3322" s="23">
        <v>5</v>
      </c>
      <c r="AQ3322" s="23">
        <v>6</v>
      </c>
      <c r="AR3322" s="23">
        <v>24</v>
      </c>
      <c r="AS3322" s="23">
        <v>16</v>
      </c>
      <c r="AT3322" s="23"/>
      <c r="AU3322" s="14" t="str">
        <f>HYPERLINK("http://www.openstreetmap.org/?mlat=35.9232&amp;mlon=44.9665&amp;zoom=12#map=12/35.9232/44.9665","Maplink1")</f>
        <v>Maplink1</v>
      </c>
      <c r="AV3322" s="14" t="str">
        <f>HYPERLINK("https://www.google.iq/maps/search/+35.9232,44.9665/@35.9232,44.9665,14z?hl=en","Maplink2")</f>
        <v>Maplink2</v>
      </c>
      <c r="AW3322" s="14" t="str">
        <f>HYPERLINK("http://www.bing.com/maps/?lvl=14&amp;sty=h&amp;cp=35.9232~44.9665&amp;sp=point.35.9232_44.9665_Sarcham","Maplink3")</f>
        <v>Maplink3</v>
      </c>
    </row>
    <row r="3323" spans="1:49" ht="15" customHeight="1" x14ac:dyDescent="0.25">
      <c r="A3323" s="21">
        <v>6305</v>
      </c>
      <c r="B3323" s="22" t="s">
        <v>24</v>
      </c>
      <c r="C3323" s="22" t="s">
        <v>6356</v>
      </c>
      <c r="D3323" s="22" t="s">
        <v>6392</v>
      </c>
      <c r="E3323" s="22" t="s">
        <v>2968</v>
      </c>
      <c r="F3323" s="22">
        <v>35.7303</v>
      </c>
      <c r="G3323" s="22">
        <v>45.137390000000003</v>
      </c>
      <c r="H3323" s="21" t="s">
        <v>6283</v>
      </c>
      <c r="I3323" s="21" t="s">
        <v>6359</v>
      </c>
      <c r="J3323" s="21" t="s">
        <v>6393</v>
      </c>
      <c r="K3323" s="24">
        <v>38</v>
      </c>
      <c r="L3323" s="24">
        <v>228</v>
      </c>
      <c r="M3323" s="23">
        <v>19</v>
      </c>
      <c r="N3323" s="23">
        <v>1</v>
      </c>
      <c r="O3323" s="23">
        <v>3</v>
      </c>
      <c r="P3323" s="23"/>
      <c r="Q3323" s="23"/>
      <c r="R3323" s="23">
        <v>7</v>
      </c>
      <c r="S3323" s="23"/>
      <c r="T3323" s="23"/>
      <c r="U3323" s="23"/>
      <c r="V3323" s="23"/>
      <c r="W3323" s="23"/>
      <c r="X3323" s="23"/>
      <c r="Y3323" s="23">
        <v>5</v>
      </c>
      <c r="Z3323" s="23"/>
      <c r="AA3323" s="23">
        <v>3</v>
      </c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38</v>
      </c>
      <c r="AL3323" s="23"/>
      <c r="AM3323" s="23"/>
      <c r="AN3323" s="23"/>
      <c r="AO3323" s="23">
        <v>10</v>
      </c>
      <c r="AP3323" s="23">
        <v>3</v>
      </c>
      <c r="AQ3323" s="23">
        <v>5</v>
      </c>
      <c r="AR3323" s="23">
        <v>11</v>
      </c>
      <c r="AS3323" s="23">
        <v>9</v>
      </c>
      <c r="AT3323" s="23"/>
      <c r="AU3323" s="14" t="str">
        <f>HYPERLINK("http://www.openstreetmap.org/?mlat=35.7303&amp;mlon=45.1374&amp;zoom=12#map=12/35.7303/45.1374","Maplink1")</f>
        <v>Maplink1</v>
      </c>
      <c r="AV3323" s="14" t="str">
        <f>HYPERLINK("https://www.google.iq/maps/search/+35.7303,45.1374/@35.7303,45.1374,14z?hl=en","Maplink2")</f>
        <v>Maplink2</v>
      </c>
      <c r="AW3323" s="14" t="str">
        <f>HYPERLINK("http://www.bing.com/maps/?lvl=14&amp;sty=h&amp;cp=35.7303~45.1374&amp;sp=point.35.7303_45.1374_Shaheedan","Maplink3")</f>
        <v>Maplink3</v>
      </c>
    </row>
    <row r="3324" spans="1:49" ht="15" customHeight="1" x14ac:dyDescent="0.25">
      <c r="A3324" s="21">
        <v>6306</v>
      </c>
      <c r="B3324" s="22" t="s">
        <v>24</v>
      </c>
      <c r="C3324" s="22" t="s">
        <v>6356</v>
      </c>
      <c r="D3324" s="22" t="s">
        <v>3689</v>
      </c>
      <c r="E3324" s="22" t="s">
        <v>6394</v>
      </c>
      <c r="F3324" s="22">
        <v>35.729230000000001</v>
      </c>
      <c r="G3324" s="22">
        <v>45.146050000000002</v>
      </c>
      <c r="H3324" s="21" t="s">
        <v>6283</v>
      </c>
      <c r="I3324" s="21" t="s">
        <v>6359</v>
      </c>
      <c r="J3324" s="21" t="s">
        <v>6395</v>
      </c>
      <c r="K3324" s="24">
        <v>38</v>
      </c>
      <c r="L3324" s="24">
        <v>228</v>
      </c>
      <c r="M3324" s="23">
        <v>22</v>
      </c>
      <c r="N3324" s="23">
        <v>3</v>
      </c>
      <c r="O3324" s="23"/>
      <c r="P3324" s="23"/>
      <c r="Q3324" s="23"/>
      <c r="R3324" s="23">
        <v>6</v>
      </c>
      <c r="S3324" s="23"/>
      <c r="T3324" s="23"/>
      <c r="U3324" s="23"/>
      <c r="V3324" s="23"/>
      <c r="W3324" s="23"/>
      <c r="X3324" s="23"/>
      <c r="Y3324" s="23">
        <v>4</v>
      </c>
      <c r="Z3324" s="23"/>
      <c r="AA3324" s="23">
        <v>3</v>
      </c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38</v>
      </c>
      <c r="AL3324" s="23"/>
      <c r="AM3324" s="23"/>
      <c r="AN3324" s="23"/>
      <c r="AO3324" s="23">
        <v>9</v>
      </c>
      <c r="AP3324" s="23">
        <v>6</v>
      </c>
      <c r="AQ3324" s="23">
        <v>7</v>
      </c>
      <c r="AR3324" s="23">
        <v>16</v>
      </c>
      <c r="AS3324" s="23"/>
      <c r="AT3324" s="23"/>
      <c r="AU3324" s="14" t="str">
        <f>HYPERLINK("http://www.openstreetmap.org/?mlat=35.7292&amp;mlon=45.1461&amp;zoom=12#map=12/35.7292/45.1461","Maplink1")</f>
        <v>Maplink1</v>
      </c>
      <c r="AV3324" s="14" t="str">
        <f>HYPERLINK("https://www.google.iq/maps/search/+35.7292,45.1461/@35.7292,45.1461,14z?hl=en","Maplink2")</f>
        <v>Maplink2</v>
      </c>
      <c r="AW3324" s="14" t="str">
        <f>HYPERLINK("http://www.bing.com/maps/?lvl=14&amp;sty=h&amp;cp=35.7292~45.1461&amp;sp=point.35.7292_45.1461_Sharawany","Maplink3")</f>
        <v>Maplink3</v>
      </c>
    </row>
    <row r="3325" spans="1:49" ht="15" customHeight="1" x14ac:dyDescent="0.25">
      <c r="A3325" s="21">
        <v>3605</v>
      </c>
      <c r="B3325" s="22" t="s">
        <v>24</v>
      </c>
      <c r="C3325" s="22" t="s">
        <v>6356</v>
      </c>
      <c r="D3325" s="22" t="s">
        <v>6396</v>
      </c>
      <c r="E3325" s="22" t="s">
        <v>6397</v>
      </c>
      <c r="F3325" s="22">
        <v>35.86327</v>
      </c>
      <c r="G3325" s="22">
        <v>45.10351</v>
      </c>
      <c r="H3325" s="21" t="s">
        <v>6283</v>
      </c>
      <c r="I3325" s="21" t="s">
        <v>6359</v>
      </c>
      <c r="J3325" s="21" t="s">
        <v>6398</v>
      </c>
      <c r="K3325" s="24">
        <v>1</v>
      </c>
      <c r="L3325" s="24">
        <v>6</v>
      </c>
      <c r="M3325" s="23"/>
      <c r="N3325" s="23">
        <v>1</v>
      </c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1</v>
      </c>
      <c r="AL3325" s="23"/>
      <c r="AM3325" s="23"/>
      <c r="AN3325" s="23"/>
      <c r="AO3325" s="23">
        <v>1</v>
      </c>
      <c r="AP3325" s="23"/>
      <c r="AQ3325" s="23"/>
      <c r="AR3325" s="23"/>
      <c r="AS3325" s="23"/>
      <c r="AT3325" s="23"/>
      <c r="AU3325" s="14" t="str">
        <f>HYPERLINK("http://www.openstreetmap.org/?mlat=35.86&amp;mlon=45.1&amp;zoom=12#map=12/35.86/45.1","Maplink1")</f>
        <v>Maplink1</v>
      </c>
      <c r="AV3325" s="14" t="str">
        <f>HYPERLINK("https://www.google.iq/maps/search/+35.86,45.1/@35.86,45.1,14z?hl=en","Maplink2")</f>
        <v>Maplink2</v>
      </c>
      <c r="AW3325" s="14" t="str">
        <f>HYPERLINK("http://www.bing.com/maps/?lvl=14&amp;sty=h&amp;cp=35.86~45.1&amp;sp=point.35.86_45.1_Surdash","Maplink3")</f>
        <v>Maplink3</v>
      </c>
    </row>
    <row r="3326" spans="1:49" ht="15" customHeight="1" x14ac:dyDescent="0.25">
      <c r="A3326" s="21">
        <v>3593</v>
      </c>
      <c r="B3326" s="22" t="s">
        <v>24</v>
      </c>
      <c r="C3326" s="22" t="s">
        <v>6356</v>
      </c>
      <c r="D3326" s="22" t="s">
        <v>6399</v>
      </c>
      <c r="E3326" s="22" t="s">
        <v>6400</v>
      </c>
      <c r="F3326" s="22">
        <v>35.857349999999997</v>
      </c>
      <c r="G3326" s="22">
        <v>45.076889999999999</v>
      </c>
      <c r="H3326" s="21" t="s">
        <v>6283</v>
      </c>
      <c r="I3326" s="21" t="s">
        <v>6359</v>
      </c>
      <c r="J3326" s="21" t="s">
        <v>6401</v>
      </c>
      <c r="K3326" s="24">
        <v>7</v>
      </c>
      <c r="L3326" s="24">
        <v>42</v>
      </c>
      <c r="M3326" s="23">
        <v>4</v>
      </c>
      <c r="N3326" s="23">
        <v>3</v>
      </c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7</v>
      </c>
      <c r="AL3326" s="23"/>
      <c r="AM3326" s="23"/>
      <c r="AN3326" s="23"/>
      <c r="AO3326" s="23">
        <v>4</v>
      </c>
      <c r="AP3326" s="23">
        <v>3</v>
      </c>
      <c r="AQ3326" s="23"/>
      <c r="AR3326" s="23"/>
      <c r="AS3326" s="23"/>
      <c r="AT3326" s="23"/>
      <c r="AU3326" s="14" t="str">
        <f>HYPERLINK("http://www.openstreetmap.org/?mlat=35.85&amp;mlon=45.07&amp;zoom=12#map=12/35.85/45.07","Maplink1")</f>
        <v>Maplink1</v>
      </c>
      <c r="AV3326" s="14" t="str">
        <f>HYPERLINK("https://www.google.iq/maps/search/+35.85,45.07/@35.85,45.07,14z?hl=en","Maplink2")</f>
        <v>Maplink2</v>
      </c>
      <c r="AW3326" s="14" t="str">
        <f>HYPERLINK("http://www.bing.com/maps/?lvl=14&amp;sty=h&amp;cp=35.85~45.07&amp;sp=point.35.85_45.07_Timar","Maplink3")</f>
        <v>Maplink3</v>
      </c>
    </row>
    <row r="3327" spans="1:49" ht="15" customHeight="1" x14ac:dyDescent="0.25">
      <c r="A3327" s="21">
        <v>24554</v>
      </c>
      <c r="B3327" s="22" t="s">
        <v>24</v>
      </c>
      <c r="C3327" s="22" t="s">
        <v>6356</v>
      </c>
      <c r="D3327" s="22" t="s">
        <v>6402</v>
      </c>
      <c r="E3327" s="22" t="s">
        <v>6403</v>
      </c>
      <c r="F3327" s="22">
        <v>35.723350000000003</v>
      </c>
      <c r="G3327" s="22">
        <v>45.137720000000002</v>
      </c>
      <c r="H3327" s="21" t="s">
        <v>6283</v>
      </c>
      <c r="I3327" s="21" t="s">
        <v>6359</v>
      </c>
      <c r="J3327" s="21"/>
      <c r="K3327" s="24">
        <v>38</v>
      </c>
      <c r="L3327" s="24">
        <v>228</v>
      </c>
      <c r="M3327" s="23">
        <v>5</v>
      </c>
      <c r="N3327" s="23">
        <v>20</v>
      </c>
      <c r="O3327" s="23">
        <v>1</v>
      </c>
      <c r="P3327" s="23"/>
      <c r="Q3327" s="23"/>
      <c r="R3327" s="23">
        <v>4</v>
      </c>
      <c r="S3327" s="23"/>
      <c r="T3327" s="23"/>
      <c r="U3327" s="23"/>
      <c r="V3327" s="23"/>
      <c r="W3327" s="23"/>
      <c r="X3327" s="23"/>
      <c r="Y3327" s="23">
        <v>8</v>
      </c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38</v>
      </c>
      <c r="AL3327" s="23"/>
      <c r="AM3327" s="23"/>
      <c r="AN3327" s="23"/>
      <c r="AO3327" s="23">
        <v>1</v>
      </c>
      <c r="AP3327" s="23">
        <v>2</v>
      </c>
      <c r="AQ3327" s="23">
        <v>8</v>
      </c>
      <c r="AR3327" s="23">
        <v>25</v>
      </c>
      <c r="AS3327" s="23">
        <v>2</v>
      </c>
      <c r="AT3327" s="23"/>
      <c r="AU3327" s="14" t="str">
        <f>HYPERLINK("http://www.openstreetmap.org/?mlat=35.7234&amp;mlon=45.1377&amp;zoom=12#map=12/35.7234/45.1377","Maplink1")</f>
        <v>Maplink1</v>
      </c>
      <c r="AV3327" s="14" t="str">
        <f>HYPERLINK("https://www.google.iq/maps/search/+35.7234,45.1377/@35.7234,45.1377,14z?hl=en","Maplink2")</f>
        <v>Maplink2</v>
      </c>
      <c r="AW3327" s="14" t="str">
        <f>HYPERLINK("http://www.bing.com/maps/?lvl=14&amp;sty=h&amp;cp=35.7234~45.1377&amp;sp=point.35.7234_45.1377_Tokma","Maplink3")</f>
        <v>Maplink3</v>
      </c>
    </row>
    <row r="3328" spans="1:49" ht="15" customHeight="1" x14ac:dyDescent="0.25">
      <c r="A3328" s="21">
        <v>5068</v>
      </c>
      <c r="B3328" s="22" t="s">
        <v>24</v>
      </c>
      <c r="C3328" s="22" t="s">
        <v>6356</v>
      </c>
      <c r="D3328" s="22" t="s">
        <v>6404</v>
      </c>
      <c r="E3328" s="22" t="s">
        <v>6405</v>
      </c>
      <c r="F3328" s="22">
        <v>35.953629999999997</v>
      </c>
      <c r="G3328" s="22">
        <v>44.989980000000003</v>
      </c>
      <c r="H3328" s="21" t="s">
        <v>6283</v>
      </c>
      <c r="I3328" s="21" t="s">
        <v>6359</v>
      </c>
      <c r="J3328" s="21" t="s">
        <v>6406</v>
      </c>
      <c r="K3328" s="24">
        <v>80</v>
      </c>
      <c r="L3328" s="24">
        <v>480</v>
      </c>
      <c r="M3328" s="23">
        <v>73</v>
      </c>
      <c r="N3328" s="23">
        <v>7</v>
      </c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>
        <v>80</v>
      </c>
      <c r="AL3328" s="23"/>
      <c r="AM3328" s="23"/>
      <c r="AN3328" s="23"/>
      <c r="AO3328" s="23">
        <v>33</v>
      </c>
      <c r="AP3328" s="23">
        <v>22</v>
      </c>
      <c r="AQ3328" s="23"/>
      <c r="AR3328" s="23">
        <v>16</v>
      </c>
      <c r="AS3328" s="23">
        <v>9</v>
      </c>
      <c r="AT3328" s="23"/>
      <c r="AU3328" s="14" t="str">
        <f>HYPERLINK("http://www.openstreetmap.org/?mlat=35.95&amp;mlon=44.98&amp;zoom=12#map=12/35.95/44.98","Maplink1")</f>
        <v>Maplink1</v>
      </c>
      <c r="AV3328" s="14" t="str">
        <f>HYPERLINK("https://www.google.iq/maps/search/+35.95,44.98/@35.95,44.98,14z?hl=en","Maplink2")</f>
        <v>Maplink2</v>
      </c>
      <c r="AW3328" s="14" t="str">
        <f>HYPERLINK("http://www.bing.com/maps/?lvl=14&amp;sty=h&amp;cp=35.95~44.98&amp;sp=point.35.95_44.98_Topzawa","Maplink3")</f>
        <v>Maplink3</v>
      </c>
    </row>
    <row r="3329" spans="1:49" ht="15" customHeight="1" x14ac:dyDescent="0.25">
      <c r="A3329" s="21">
        <v>22460</v>
      </c>
      <c r="B3329" s="22" t="s">
        <v>24</v>
      </c>
      <c r="C3329" s="22" t="s">
        <v>6407</v>
      </c>
      <c r="D3329" s="22" t="s">
        <v>6408</v>
      </c>
      <c r="E3329" s="22" t="s">
        <v>6409</v>
      </c>
      <c r="F3329" s="22">
        <v>35.298470000000002</v>
      </c>
      <c r="G3329" s="22">
        <v>46.031120000000001</v>
      </c>
      <c r="H3329" s="21" t="s">
        <v>6283</v>
      </c>
      <c r="I3329" s="21" t="s">
        <v>6410</v>
      </c>
      <c r="J3329" s="21" t="s">
        <v>6411</v>
      </c>
      <c r="K3329" s="24">
        <v>25</v>
      </c>
      <c r="L3329" s="24">
        <v>150</v>
      </c>
      <c r="M3329" s="23">
        <v>23</v>
      </c>
      <c r="N3329" s="23"/>
      <c r="O3329" s="23"/>
      <c r="P3329" s="23"/>
      <c r="Q3329" s="23"/>
      <c r="R3329" s="23">
        <v>2</v>
      </c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25</v>
      </c>
      <c r="AL3329" s="23"/>
      <c r="AM3329" s="23"/>
      <c r="AN3329" s="23"/>
      <c r="AO3329" s="23"/>
      <c r="AP3329" s="23">
        <v>9</v>
      </c>
      <c r="AQ3329" s="23"/>
      <c r="AR3329" s="23">
        <v>2</v>
      </c>
      <c r="AS3329" s="23">
        <v>12</v>
      </c>
      <c r="AT3329" s="23">
        <v>2</v>
      </c>
      <c r="AU3329" s="14" t="str">
        <f>HYPERLINK("http://www.openstreetmap.org/?mlat=35.2985&amp;mlon=46.0311&amp;zoom=12#map=12/35.2985/46.0311","Maplink1")</f>
        <v>Maplink1</v>
      </c>
      <c r="AV3329" s="14" t="str">
        <f>HYPERLINK("https://www.google.iq/maps/search/+35.2985,46.0311/@35.2985,46.0311,14z?hl=en","Maplink2")</f>
        <v>Maplink2</v>
      </c>
      <c r="AW3329" s="14" t="str">
        <f>HYPERLINK("http://www.bing.com/maps/?lvl=14&amp;sty=h&amp;cp=35.2985~46.0311&amp;sp=point.35.2985_46.0311_Ardalan","Maplink3")</f>
        <v>Maplink3</v>
      </c>
    </row>
    <row r="3330" spans="1:49" ht="15" customHeight="1" x14ac:dyDescent="0.25">
      <c r="A3330" s="21">
        <v>3819</v>
      </c>
      <c r="B3330" s="22" t="s">
        <v>24</v>
      </c>
      <c r="C3330" s="22" t="s">
        <v>6407</v>
      </c>
      <c r="D3330" s="22" t="s">
        <v>2877</v>
      </c>
      <c r="E3330" s="22" t="s">
        <v>3520</v>
      </c>
      <c r="F3330" s="22">
        <v>35.299639999999997</v>
      </c>
      <c r="G3330" s="22">
        <v>46.034109999999998</v>
      </c>
      <c r="H3330" s="21" t="s">
        <v>6283</v>
      </c>
      <c r="I3330" s="21" t="s">
        <v>6410</v>
      </c>
      <c r="J3330" s="21" t="s">
        <v>6412</v>
      </c>
      <c r="K3330" s="24">
        <v>19</v>
      </c>
      <c r="L3330" s="24">
        <v>114</v>
      </c>
      <c r="M3330" s="23">
        <v>19</v>
      </c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19</v>
      </c>
      <c r="AL3330" s="23"/>
      <c r="AM3330" s="23"/>
      <c r="AN3330" s="23"/>
      <c r="AO3330" s="23"/>
      <c r="AP3330" s="23">
        <v>2</v>
      </c>
      <c r="AQ3330" s="23"/>
      <c r="AR3330" s="23">
        <v>3</v>
      </c>
      <c r="AS3330" s="23">
        <v>12</v>
      </c>
      <c r="AT3330" s="23">
        <v>2</v>
      </c>
      <c r="AU3330" s="14" t="str">
        <f>HYPERLINK("http://www.openstreetmap.org/?mlat=35.29&amp;mlon=46.03&amp;zoom=12#map=12/35.29/46.03","Maplink1")</f>
        <v>Maplink1</v>
      </c>
      <c r="AV3330" s="14" t="str">
        <f>HYPERLINK("https://www.google.iq/maps/search/+35.29,46.03/@35.29,46.03,14z?hl=en","Maplink2")</f>
        <v>Maplink2</v>
      </c>
      <c r="AW3330" s="14" t="str">
        <f>HYPERLINK("http://www.bing.com/maps/?lvl=14&amp;sty=h&amp;cp=35.29~46.03&amp;sp=point.35.29_46.03_Ashti-Khurmal","Maplink3")</f>
        <v>Maplink3</v>
      </c>
    </row>
    <row r="3331" spans="1:49" ht="15" customHeight="1" x14ac:dyDescent="0.25">
      <c r="A3331" s="21">
        <v>25079</v>
      </c>
      <c r="B3331" s="22" t="s">
        <v>24</v>
      </c>
      <c r="C3331" s="22" t="s">
        <v>6407</v>
      </c>
      <c r="D3331" s="22" t="s">
        <v>2828</v>
      </c>
      <c r="E3331" s="22" t="s">
        <v>3728</v>
      </c>
      <c r="F3331" s="22">
        <v>35.316470000000002</v>
      </c>
      <c r="G3331" s="22">
        <v>45.590350000000001</v>
      </c>
      <c r="H3331" s="21" t="s">
        <v>6283</v>
      </c>
      <c r="I3331" s="21" t="s">
        <v>6410</v>
      </c>
      <c r="J3331" s="21"/>
      <c r="K3331" s="24">
        <v>49</v>
      </c>
      <c r="L3331" s="24">
        <v>294</v>
      </c>
      <c r="M3331" s="23">
        <v>41</v>
      </c>
      <c r="N3331" s="23"/>
      <c r="O3331" s="23">
        <v>4</v>
      </c>
      <c r="P3331" s="23"/>
      <c r="Q3331" s="23"/>
      <c r="R3331" s="23">
        <v>2</v>
      </c>
      <c r="S3331" s="23"/>
      <c r="T3331" s="23"/>
      <c r="U3331" s="23"/>
      <c r="V3331" s="23"/>
      <c r="W3331" s="23"/>
      <c r="X3331" s="23"/>
      <c r="Y3331" s="23"/>
      <c r="Z3331" s="23"/>
      <c r="AA3331" s="23">
        <v>2</v>
      </c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49</v>
      </c>
      <c r="AL3331" s="23"/>
      <c r="AM3331" s="23"/>
      <c r="AN3331" s="23"/>
      <c r="AO3331" s="23">
        <v>5</v>
      </c>
      <c r="AP3331" s="23">
        <v>7</v>
      </c>
      <c r="AQ3331" s="23">
        <v>2</v>
      </c>
      <c r="AR3331" s="23">
        <v>19</v>
      </c>
      <c r="AS3331" s="23">
        <v>14</v>
      </c>
      <c r="AT3331" s="23">
        <v>2</v>
      </c>
      <c r="AU3331" s="14" t="str">
        <f>HYPERLINK("http://www.openstreetmap.org/?mlat=35.3165&amp;mlon=45.5904&amp;zoom=12#map=12/35.3165/45.5904","Maplink1")</f>
        <v>Maplink1</v>
      </c>
      <c r="AV3331" s="14" t="str">
        <f>HYPERLINK("https://www.google.iq/maps/search/+35.3165,45.5904/@35.3165,45.5904,14z?hl=en","Maplink2")</f>
        <v>Maplink2</v>
      </c>
      <c r="AW3331" s="14" t="str">
        <f>HYPERLINK("http://www.bing.com/maps/?lvl=14&amp;sty=h&amp;cp=35.3165~45.5904&amp;sp=point.35.3165_45.5904_Halabjay Taza-Azadi","Maplink3")</f>
        <v>Maplink3</v>
      </c>
    </row>
    <row r="3332" spans="1:49" ht="15" customHeight="1" x14ac:dyDescent="0.25">
      <c r="A3332" s="21">
        <v>23723</v>
      </c>
      <c r="B3332" s="22" t="s">
        <v>24</v>
      </c>
      <c r="C3332" s="22" t="s">
        <v>6407</v>
      </c>
      <c r="D3332" s="22" t="s">
        <v>6413</v>
      </c>
      <c r="E3332" s="22" t="s">
        <v>6414</v>
      </c>
      <c r="F3332" s="22">
        <v>35.323439999999998</v>
      </c>
      <c r="G3332" s="22">
        <v>45.661020000000001</v>
      </c>
      <c r="H3332" s="21" t="s">
        <v>6283</v>
      </c>
      <c r="I3332" s="21" t="s">
        <v>6410</v>
      </c>
      <c r="J3332" s="21" t="s">
        <v>6415</v>
      </c>
      <c r="K3332" s="24">
        <v>113</v>
      </c>
      <c r="L3332" s="24">
        <v>678</v>
      </c>
      <c r="M3332" s="23">
        <v>103</v>
      </c>
      <c r="N3332" s="23"/>
      <c r="O3332" s="23">
        <v>6</v>
      </c>
      <c r="P3332" s="23"/>
      <c r="Q3332" s="23"/>
      <c r="R3332" s="23">
        <v>4</v>
      </c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113</v>
      </c>
      <c r="AL3332" s="23"/>
      <c r="AM3332" s="23"/>
      <c r="AN3332" s="23"/>
      <c r="AO3332" s="23">
        <v>16</v>
      </c>
      <c r="AP3332" s="23">
        <v>16</v>
      </c>
      <c r="AQ3332" s="23"/>
      <c r="AR3332" s="23">
        <v>32</v>
      </c>
      <c r="AS3332" s="23">
        <v>40</v>
      </c>
      <c r="AT3332" s="23">
        <v>9</v>
      </c>
      <c r="AU3332" s="14" t="str">
        <f>HYPERLINK("http://www.openstreetmap.org/?mlat=35.3234&amp;mlon=45.661&amp;zoom=12#map=12/35.3234/45.661","Maplink1")</f>
        <v>Maplink1</v>
      </c>
      <c r="AV3332" s="14" t="str">
        <f>HYPERLINK("https://www.google.iq/maps/search/+35.3234,45.661/@35.3234,45.661,14z?hl=en","Maplink2")</f>
        <v>Maplink2</v>
      </c>
      <c r="AW3332" s="14" t="str">
        <f>HYPERLINK("http://www.bing.com/maps/?lvl=14&amp;sty=h&amp;cp=35.3234~45.661&amp;sp=point.35.3234_45.661_Bakhtyari","Maplink3")</f>
        <v>Maplink3</v>
      </c>
    </row>
    <row r="3333" spans="1:49" ht="15" customHeight="1" x14ac:dyDescent="0.25">
      <c r="A3333" s="21">
        <v>24096</v>
      </c>
      <c r="B3333" s="22" t="s">
        <v>24</v>
      </c>
      <c r="C3333" s="22" t="s">
        <v>6407</v>
      </c>
      <c r="D3333" s="22" t="s">
        <v>6416</v>
      </c>
      <c r="E3333" s="22" t="s">
        <v>6417</v>
      </c>
      <c r="F3333" s="22">
        <v>35.352539999999998</v>
      </c>
      <c r="G3333" s="22">
        <v>45.871310000000001</v>
      </c>
      <c r="H3333" s="21" t="s">
        <v>6283</v>
      </c>
      <c r="I3333" s="21" t="s">
        <v>6410</v>
      </c>
      <c r="J3333" s="21" t="s">
        <v>6418</v>
      </c>
      <c r="K3333" s="24">
        <v>97</v>
      </c>
      <c r="L3333" s="24">
        <v>582</v>
      </c>
      <c r="M3333" s="23">
        <v>85</v>
      </c>
      <c r="N3333" s="23"/>
      <c r="O3333" s="23">
        <v>12</v>
      </c>
      <c r="P3333" s="23"/>
      <c r="Q3333" s="23"/>
      <c r="R3333" s="23"/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97</v>
      </c>
      <c r="AL3333" s="23"/>
      <c r="AM3333" s="23"/>
      <c r="AN3333" s="23"/>
      <c r="AO3333" s="23">
        <v>27</v>
      </c>
      <c r="AP3333" s="23">
        <v>19</v>
      </c>
      <c r="AQ3333" s="23">
        <v>3</v>
      </c>
      <c r="AR3333" s="23">
        <v>20</v>
      </c>
      <c r="AS3333" s="23">
        <v>25</v>
      </c>
      <c r="AT3333" s="23">
        <v>3</v>
      </c>
      <c r="AU3333" s="14" t="str">
        <f>HYPERLINK("http://www.openstreetmap.org/?mlat=35.3525&amp;mlon=45.8713&amp;zoom=12#map=12/35.3525/45.8713","Maplink1")</f>
        <v>Maplink1</v>
      </c>
      <c r="AV3333" s="14" t="str">
        <f>HYPERLINK("https://www.google.iq/maps/search/+35.3525,45.8713/@35.3525,45.8713,14z?hl=en","Maplink2")</f>
        <v>Maplink2</v>
      </c>
      <c r="AW3333" s="14" t="str">
        <f>HYPERLINK("http://www.bing.com/maps/?lvl=14&amp;sty=h&amp;cp=35.3525~45.8713&amp;sp=point.35.3525_45.8713_Barkew","Maplink3")</f>
        <v>Maplink3</v>
      </c>
    </row>
    <row r="3334" spans="1:49" ht="15" customHeight="1" x14ac:dyDescent="0.25">
      <c r="A3334" s="21">
        <v>27338</v>
      </c>
      <c r="B3334" s="22" t="s">
        <v>24</v>
      </c>
      <c r="C3334" s="22" t="s">
        <v>6407</v>
      </c>
      <c r="D3334" s="22" t="s">
        <v>7388</v>
      </c>
      <c r="E3334" s="22" t="s">
        <v>6419</v>
      </c>
      <c r="F3334" s="22">
        <v>35.539369999999998</v>
      </c>
      <c r="G3334" s="22">
        <v>45.690640000000002</v>
      </c>
      <c r="H3334" s="21" t="s">
        <v>6283</v>
      </c>
      <c r="I3334" s="21" t="s">
        <v>6410</v>
      </c>
      <c r="J3334" s="21"/>
      <c r="K3334" s="24">
        <v>65</v>
      </c>
      <c r="L3334" s="24">
        <v>390</v>
      </c>
      <c r="M3334" s="23">
        <v>65</v>
      </c>
      <c r="N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>
        <v>65</v>
      </c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>
        <v>32</v>
      </c>
      <c r="AS3334" s="23">
        <v>33</v>
      </c>
      <c r="AT3334" s="23"/>
      <c r="AU3334" s="14" t="str">
        <f>HYPERLINK("http://www.openstreetmap.org/?mlat=35.5467&amp;mlon=45.6959&amp;zoom=12#map=12/35.5467/45.6959","Maplink1")</f>
        <v>Maplink1</v>
      </c>
      <c r="AV3334" s="14" t="str">
        <f>HYPERLINK("https://www.google.iq/maps/search/+35.5467,45.6959/@35.5467,45.6959,14z?hl=en","Maplink2")</f>
        <v>Maplink2</v>
      </c>
      <c r="AW3334" s="14" t="str">
        <f>HYPERLINK("http://www.bing.com/maps/?lvl=14&amp;sty=h&amp;cp=35.5467~45.6959&amp;sp=point.35.5467_45.6959_barzinja ","Maplink3")</f>
        <v>Maplink3</v>
      </c>
    </row>
    <row r="3335" spans="1:49" ht="15" customHeight="1" x14ac:dyDescent="0.25">
      <c r="A3335" s="21">
        <v>24639</v>
      </c>
      <c r="B3335" s="22" t="s">
        <v>24</v>
      </c>
      <c r="C3335" s="22" t="s">
        <v>6407</v>
      </c>
      <c r="D3335" s="22" t="s">
        <v>9150</v>
      </c>
      <c r="E3335" s="22" t="s">
        <v>9151</v>
      </c>
      <c r="F3335" s="22">
        <v>35.302529999999997</v>
      </c>
      <c r="G3335" s="22">
        <v>46.033670000000001</v>
      </c>
      <c r="H3335" s="21" t="s">
        <v>6283</v>
      </c>
      <c r="I3335" s="21" t="s">
        <v>6410</v>
      </c>
      <c r="J3335" s="21"/>
      <c r="K3335" s="24">
        <v>78</v>
      </c>
      <c r="L3335" s="24">
        <v>468</v>
      </c>
      <c r="M3335" s="23">
        <v>62</v>
      </c>
      <c r="N3335" s="23">
        <v>8</v>
      </c>
      <c r="O3335" s="23">
        <v>2</v>
      </c>
      <c r="P3335" s="23"/>
      <c r="Q3335" s="23"/>
      <c r="R3335" s="23">
        <v>4</v>
      </c>
      <c r="S3335" s="23"/>
      <c r="T3335" s="23"/>
      <c r="U3335" s="23"/>
      <c r="V3335" s="23"/>
      <c r="W3335" s="23"/>
      <c r="X3335" s="23"/>
      <c r="Y3335" s="23"/>
      <c r="Z3335" s="23"/>
      <c r="AA3335" s="23">
        <v>2</v>
      </c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>
        <v>78</v>
      </c>
      <c r="AL3335" s="23"/>
      <c r="AM3335" s="23"/>
      <c r="AN3335" s="23"/>
      <c r="AO3335" s="23">
        <v>7</v>
      </c>
      <c r="AP3335" s="23">
        <v>19</v>
      </c>
      <c r="AQ3335" s="23">
        <v>16</v>
      </c>
      <c r="AR3335" s="23"/>
      <c r="AS3335" s="23">
        <v>32</v>
      </c>
      <c r="AT3335" s="23">
        <v>4</v>
      </c>
      <c r="AU3335" s="14" t="str">
        <f>HYPERLINK("http://www.openstreetmap.org/?mlat=35.3025&amp;mlon=46.0337&amp;zoom=12#map=12/35.3025/46.0337","Maplink1")</f>
        <v>Maplink1</v>
      </c>
      <c r="AV3335" s="14" t="str">
        <f>HYPERLINK("https://www.google.iq/maps/search/+35.3025,46.0337/@35.3025,46.0337,14z?hl=en","Maplink2")</f>
        <v>Maplink2</v>
      </c>
      <c r="AW3335" s="14" t="str">
        <f>HYPERLINK("http://www.bing.com/maps/?lvl=14&amp;sty=h&amp;cp=35.3025~46.0337&amp;sp=point.35.3025_46.0337_Khormal-Dalani","Maplink3")</f>
        <v>Maplink3</v>
      </c>
    </row>
    <row r="3336" spans="1:49" ht="15" customHeight="1" x14ac:dyDescent="0.25">
      <c r="A3336" s="21">
        <v>25757</v>
      </c>
      <c r="B3336" s="22" t="s">
        <v>24</v>
      </c>
      <c r="C3336" s="22" t="s">
        <v>6407</v>
      </c>
      <c r="D3336" s="22" t="s">
        <v>9152</v>
      </c>
      <c r="E3336" s="22" t="s">
        <v>6450</v>
      </c>
      <c r="F3336" s="22">
        <v>35.19603</v>
      </c>
      <c r="G3336" s="22">
        <v>45.968380000000003</v>
      </c>
      <c r="H3336" s="21" t="s">
        <v>6283</v>
      </c>
      <c r="I3336" s="21" t="s">
        <v>6410</v>
      </c>
      <c r="J3336" s="21"/>
      <c r="K3336" s="24">
        <v>29</v>
      </c>
      <c r="L3336" s="24">
        <v>174</v>
      </c>
      <c r="M3336" s="23">
        <v>16</v>
      </c>
      <c r="N3336" s="23">
        <v>2</v>
      </c>
      <c r="O3336" s="23">
        <v>7</v>
      </c>
      <c r="P3336" s="23"/>
      <c r="Q3336" s="23"/>
      <c r="R3336" s="23">
        <v>2</v>
      </c>
      <c r="S3336" s="23"/>
      <c r="T3336" s="23"/>
      <c r="U3336" s="23"/>
      <c r="V3336" s="23"/>
      <c r="W3336" s="23"/>
      <c r="X3336" s="23"/>
      <c r="Y3336" s="23"/>
      <c r="Z3336" s="23"/>
      <c r="AA3336" s="23">
        <v>2</v>
      </c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29</v>
      </c>
      <c r="AL3336" s="23"/>
      <c r="AM3336" s="23"/>
      <c r="AN3336" s="23"/>
      <c r="AO3336" s="23">
        <v>10</v>
      </c>
      <c r="AP3336" s="23">
        <v>7</v>
      </c>
      <c r="AQ3336" s="23"/>
      <c r="AR3336" s="23">
        <v>5</v>
      </c>
      <c r="AS3336" s="23">
        <v>7</v>
      </c>
      <c r="AT3336" s="23"/>
      <c r="AU3336" s="14" t="str">
        <f>HYPERLINK("http://www.openstreetmap.org/?mlat=35.2013&amp;mlon=45.9643&amp;zoom=12#map=12/35.2013/45.9643","Maplink1")</f>
        <v>Maplink1</v>
      </c>
      <c r="AV3336" s="14" t="str">
        <f>HYPERLINK("https://www.google.iq/maps/search/+35.2013,45.9643/@35.2013,45.9643,14z?hl=en","Maplink2")</f>
        <v>Maplink2</v>
      </c>
      <c r="AW3336" s="14" t="str">
        <f>HYPERLINK("http://www.bing.com/maps/?lvl=14&amp;sty=h&amp;cp=35.2013~45.9643&amp;sp=point.35.2013_45.9643_Markaz Halabja-Darwazay Shar","Maplink3")</f>
        <v>Maplink3</v>
      </c>
    </row>
    <row r="3337" spans="1:49" ht="15" customHeight="1" x14ac:dyDescent="0.25">
      <c r="A3337" s="21">
        <v>21960</v>
      </c>
      <c r="B3337" s="22" t="s">
        <v>24</v>
      </c>
      <c r="C3337" s="22" t="s">
        <v>6407</v>
      </c>
      <c r="D3337" s="22" t="s">
        <v>6367</v>
      </c>
      <c r="E3337" s="22" t="s">
        <v>6368</v>
      </c>
      <c r="F3337" s="22">
        <v>35.185369999999999</v>
      </c>
      <c r="G3337" s="22">
        <v>45.979109999999999</v>
      </c>
      <c r="H3337" s="21" t="s">
        <v>6283</v>
      </c>
      <c r="I3337" s="21" t="s">
        <v>6410</v>
      </c>
      <c r="J3337" s="21" t="s">
        <v>6420</v>
      </c>
      <c r="K3337" s="24">
        <v>22</v>
      </c>
      <c r="L3337" s="24">
        <v>132</v>
      </c>
      <c r="M3337" s="23">
        <v>17</v>
      </c>
      <c r="N3337" s="23"/>
      <c r="O3337" s="23">
        <v>3</v>
      </c>
      <c r="P3337" s="23"/>
      <c r="Q3337" s="23"/>
      <c r="R3337" s="23"/>
      <c r="S3337" s="23"/>
      <c r="T3337" s="23"/>
      <c r="U3337" s="23"/>
      <c r="V3337" s="23"/>
      <c r="W3337" s="23"/>
      <c r="X3337" s="23"/>
      <c r="Y3337" s="23">
        <v>2</v>
      </c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22</v>
      </c>
      <c r="AL3337" s="23"/>
      <c r="AM3337" s="23"/>
      <c r="AN3337" s="23"/>
      <c r="AO3337" s="23">
        <v>8</v>
      </c>
      <c r="AP3337" s="23">
        <v>8</v>
      </c>
      <c r="AQ3337" s="23"/>
      <c r="AR3337" s="23">
        <v>2</v>
      </c>
      <c r="AS3337" s="23">
        <v>3</v>
      </c>
      <c r="AT3337" s="23">
        <v>1</v>
      </c>
      <c r="AU3337" s="14" t="str">
        <f>HYPERLINK("http://www.openstreetmap.org/?mlat=35.1854&amp;mlon=45.9791&amp;zoom=12#map=12/35.1854/45.9791","Maplink1")</f>
        <v>Maplink1</v>
      </c>
      <c r="AV3337" s="14" t="str">
        <f>HYPERLINK("https://www.google.iq/maps/search/+35.1854,45.9791/@35.1854,45.9791,14z?hl=en","Maplink2")</f>
        <v>Maplink2</v>
      </c>
      <c r="AW3337" s="14" t="str">
        <f>HYPERLINK("http://www.bing.com/maps/?lvl=14&amp;sty=h&amp;cp=35.1854~45.9791&amp;sp=point.35.1854_45.9791_Farmanbaran","Maplink3")</f>
        <v>Maplink3</v>
      </c>
    </row>
    <row r="3338" spans="1:49" ht="15" customHeight="1" x14ac:dyDescent="0.25">
      <c r="A3338" s="21">
        <v>6120</v>
      </c>
      <c r="B3338" s="22" t="s">
        <v>24</v>
      </c>
      <c r="C3338" s="22" t="s">
        <v>6407</v>
      </c>
      <c r="D3338" s="22" t="s">
        <v>6421</v>
      </c>
      <c r="E3338" s="22" t="s">
        <v>6422</v>
      </c>
      <c r="F3338" s="22">
        <v>35.354469999999999</v>
      </c>
      <c r="G3338" s="22">
        <v>45.902859999999997</v>
      </c>
      <c r="H3338" s="21" t="s">
        <v>6283</v>
      </c>
      <c r="I3338" s="21" t="s">
        <v>6410</v>
      </c>
      <c r="J3338" s="21" t="s">
        <v>6423</v>
      </c>
      <c r="K3338" s="24">
        <v>8</v>
      </c>
      <c r="L3338" s="24">
        <v>48</v>
      </c>
      <c r="M3338" s="23"/>
      <c r="N3338" s="23"/>
      <c r="O3338" s="23"/>
      <c r="P3338" s="23"/>
      <c r="Q3338" s="23"/>
      <c r="R3338" s="23">
        <v>8</v>
      </c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8</v>
      </c>
      <c r="AL3338" s="23"/>
      <c r="AM3338" s="23"/>
      <c r="AN3338" s="23"/>
      <c r="AO3338" s="23"/>
      <c r="AP3338" s="23">
        <v>8</v>
      </c>
      <c r="AQ3338" s="23"/>
      <c r="AR3338" s="23"/>
      <c r="AS3338" s="23"/>
      <c r="AT3338" s="23"/>
      <c r="AU3338" s="14" t="str">
        <f>HYPERLINK("http://www.openstreetmap.org/?mlat=35.3545&amp;mlon=45.9029&amp;zoom=12#map=12/35.3545/45.9029","Maplink1")</f>
        <v>Maplink1</v>
      </c>
      <c r="AV3338" s="14" t="str">
        <f>HYPERLINK("https://www.google.iq/maps/search/+35.3545,45.9029/@35.3545,45.9029,14z?hl=en","Maplink2")</f>
        <v>Maplink2</v>
      </c>
      <c r="AW3338" s="14" t="str">
        <f>HYPERLINK("http://www.bing.com/maps/?lvl=14&amp;sty=h&amp;cp=35.3545~45.9029&amp;sp=point.35.3545_45.9029_Gamesh tapa village","Maplink3")</f>
        <v>Maplink3</v>
      </c>
    </row>
    <row r="3339" spans="1:49" ht="15" customHeight="1" x14ac:dyDescent="0.25">
      <c r="A3339" s="21">
        <v>22104</v>
      </c>
      <c r="B3339" s="22" t="s">
        <v>24</v>
      </c>
      <c r="C3339" s="22" t="s">
        <v>6407</v>
      </c>
      <c r="D3339" s="22" t="s">
        <v>6424</v>
      </c>
      <c r="E3339" s="22" t="s">
        <v>6425</v>
      </c>
      <c r="F3339" s="22">
        <v>35.187019999999997</v>
      </c>
      <c r="G3339" s="22">
        <v>45.008650000000003</v>
      </c>
      <c r="H3339" s="21" t="s">
        <v>6283</v>
      </c>
      <c r="I3339" s="21" t="s">
        <v>6410</v>
      </c>
      <c r="J3339" s="21" t="s">
        <v>6426</v>
      </c>
      <c r="K3339" s="24">
        <v>26</v>
      </c>
      <c r="L3339" s="24">
        <v>156</v>
      </c>
      <c r="M3339" s="23">
        <v>26</v>
      </c>
      <c r="N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26</v>
      </c>
      <c r="AL3339" s="23"/>
      <c r="AM3339" s="23"/>
      <c r="AN3339" s="23"/>
      <c r="AO3339" s="23">
        <v>5</v>
      </c>
      <c r="AP3339" s="23">
        <v>2</v>
      </c>
      <c r="AQ3339" s="23">
        <v>3</v>
      </c>
      <c r="AR3339" s="23">
        <v>8</v>
      </c>
      <c r="AS3339" s="23">
        <v>8</v>
      </c>
      <c r="AT3339" s="23"/>
      <c r="AU3339" s="14" t="str">
        <f>HYPERLINK("http://www.openstreetmap.org/?mlat=35.187&amp;mlon=45.0087&amp;zoom=12#map=12/35.187/45.0087","Maplink1")</f>
        <v>Maplink1</v>
      </c>
      <c r="AV3339" s="14" t="str">
        <f>HYPERLINK("https://www.google.iq/maps/search/+35.187,45.0087/@35.187,45.0087,14z?hl=en","Maplink2")</f>
        <v>Maplink2</v>
      </c>
      <c r="AW3339" s="14" t="str">
        <f>HYPERLINK("http://www.bing.com/maps/?lvl=14&amp;sty=h&amp;cp=35.187~45.0087&amp;sp=point.35.187_45.0087_Goran City","Maplink3")</f>
        <v>Maplink3</v>
      </c>
    </row>
    <row r="3340" spans="1:49" ht="15" customHeight="1" x14ac:dyDescent="0.25">
      <c r="A3340" s="21">
        <v>25647</v>
      </c>
      <c r="B3340" s="22" t="s">
        <v>24</v>
      </c>
      <c r="C3340" s="22" t="s">
        <v>6407</v>
      </c>
      <c r="D3340" s="22" t="s">
        <v>6427</v>
      </c>
      <c r="E3340" s="22" t="s">
        <v>6428</v>
      </c>
      <c r="F3340" s="22">
        <v>35.342309999999998</v>
      </c>
      <c r="G3340" s="22">
        <v>45.929780000000001</v>
      </c>
      <c r="H3340" s="21" t="s">
        <v>6283</v>
      </c>
      <c r="I3340" s="21" t="s">
        <v>6410</v>
      </c>
      <c r="J3340" s="21"/>
      <c r="K3340" s="24">
        <v>3</v>
      </c>
      <c r="L3340" s="24">
        <v>18</v>
      </c>
      <c r="M3340" s="23">
        <v>3</v>
      </c>
      <c r="N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3</v>
      </c>
      <c r="AL3340" s="23"/>
      <c r="AM3340" s="23"/>
      <c r="AN3340" s="23"/>
      <c r="AO3340" s="23">
        <v>3</v>
      </c>
      <c r="AP3340" s="23"/>
      <c r="AQ3340" s="23"/>
      <c r="AR3340" s="23"/>
      <c r="AS3340" s="23"/>
      <c r="AT3340" s="23"/>
      <c r="AU3340" s="14" t="str">
        <f>HYPERLINK("http://www.openstreetmap.org/?mlat=35.3423&amp;mlon=45.9298&amp;zoom=12#map=12/35.3423/45.9298","Maplink1")</f>
        <v>Maplink1</v>
      </c>
      <c r="AV3340" s="14" t="str">
        <f>HYPERLINK("https://www.google.iq/maps/search/+35.3423,45.9298/@35.3423,45.9298,14z?hl=en","Maplink2")</f>
        <v>Maplink2</v>
      </c>
      <c r="AW3340" s="14" t="str">
        <f>HYPERLINK("http://www.bing.com/maps/?lvl=14&amp;sty=h&amp;cp=35.3423~45.9298&amp;sp=point.35.3423_45.9298_Grda naze village","Maplink3")</f>
        <v>Maplink3</v>
      </c>
    </row>
    <row r="3341" spans="1:49" ht="15" customHeight="1" x14ac:dyDescent="0.25">
      <c r="A3341" s="21">
        <v>3771</v>
      </c>
      <c r="B3341" s="22" t="s">
        <v>24</v>
      </c>
      <c r="C3341" s="22" t="s">
        <v>6407</v>
      </c>
      <c r="D3341" s="22" t="s">
        <v>6429</v>
      </c>
      <c r="E3341" s="22" t="s">
        <v>6430</v>
      </c>
      <c r="F3341" s="22">
        <v>35.391910000000003</v>
      </c>
      <c r="G3341" s="22">
        <v>45.733919999999998</v>
      </c>
      <c r="H3341" s="21" t="s">
        <v>6283</v>
      </c>
      <c r="I3341" s="21" t="s">
        <v>6410</v>
      </c>
      <c r="J3341" s="21" t="s">
        <v>6431</v>
      </c>
      <c r="K3341" s="24">
        <v>4</v>
      </c>
      <c r="L3341" s="24">
        <v>24</v>
      </c>
      <c r="M3341" s="23"/>
      <c r="N3341" s="23">
        <v>4</v>
      </c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4</v>
      </c>
      <c r="AL3341" s="23"/>
      <c r="AM3341" s="23"/>
      <c r="AN3341" s="23"/>
      <c r="AO3341" s="23">
        <v>2</v>
      </c>
      <c r="AP3341" s="23">
        <v>2</v>
      </c>
      <c r="AQ3341" s="23"/>
      <c r="AR3341" s="23"/>
      <c r="AS3341" s="23"/>
      <c r="AT3341" s="23"/>
      <c r="AU3341" s="14" t="str">
        <f>HYPERLINK("http://www.openstreetmap.org/?mlat=35.39&amp;mlon=45.73&amp;zoom=12#map=12/35.39/45.73","Maplink1")</f>
        <v>Maplink1</v>
      </c>
      <c r="AV3341" s="14" t="str">
        <f>HYPERLINK("https://www.google.iq/maps/search/+35.39,45.73/@35.39,45.73,14z?hl=en","Maplink2")</f>
        <v>Maplink2</v>
      </c>
      <c r="AW3341" s="14" t="str">
        <f>HYPERLINK("http://www.bing.com/maps/?lvl=14&amp;sty=h&amp;cp=35.39~45.73&amp;sp=point.35.39_45.73_Greza","Maplink3")</f>
        <v>Maplink3</v>
      </c>
    </row>
    <row r="3342" spans="1:49" ht="15" customHeight="1" x14ac:dyDescent="0.25">
      <c r="A3342" s="21">
        <v>21862</v>
      </c>
      <c r="B3342" s="22" t="s">
        <v>24</v>
      </c>
      <c r="C3342" s="22" t="s">
        <v>6407</v>
      </c>
      <c r="D3342" s="22" t="s">
        <v>3798</v>
      </c>
      <c r="E3342" s="22" t="s">
        <v>6432</v>
      </c>
      <c r="F3342" s="22">
        <v>35.175469999999997</v>
      </c>
      <c r="G3342" s="22">
        <v>45.280929999999998</v>
      </c>
      <c r="H3342" s="21" t="s">
        <v>6283</v>
      </c>
      <c r="I3342" s="21" t="s">
        <v>6410</v>
      </c>
      <c r="J3342" s="21" t="s">
        <v>6433</v>
      </c>
      <c r="K3342" s="24">
        <v>44</v>
      </c>
      <c r="L3342" s="24">
        <v>264</v>
      </c>
      <c r="M3342" s="23">
        <v>35</v>
      </c>
      <c r="N3342" s="23"/>
      <c r="O3342" s="23">
        <v>2</v>
      </c>
      <c r="P3342" s="23"/>
      <c r="Q3342" s="23"/>
      <c r="R3342" s="23">
        <v>2</v>
      </c>
      <c r="S3342" s="23"/>
      <c r="T3342" s="23"/>
      <c r="U3342" s="23"/>
      <c r="V3342" s="23"/>
      <c r="W3342" s="23"/>
      <c r="X3342" s="23"/>
      <c r="Y3342" s="23">
        <v>5</v>
      </c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44</v>
      </c>
      <c r="AL3342" s="23"/>
      <c r="AM3342" s="23"/>
      <c r="AN3342" s="23"/>
      <c r="AO3342" s="23">
        <v>6</v>
      </c>
      <c r="AP3342" s="23">
        <v>15</v>
      </c>
      <c r="AQ3342" s="23">
        <v>6</v>
      </c>
      <c r="AR3342" s="23">
        <v>6</v>
      </c>
      <c r="AS3342" s="23">
        <v>11</v>
      </c>
      <c r="AT3342" s="23"/>
      <c r="AU3342" s="14" t="str">
        <f>HYPERLINK("http://www.openstreetmap.org/?mlat=35.1787&amp;mlon=45.9758&amp;zoom=12#map=12/35.1787/45.9758","Maplink1")</f>
        <v>Maplink1</v>
      </c>
      <c r="AV3342" s="14" t="str">
        <f>HYPERLINK("https://www.google.iq/maps/search/+35.1787,45.9758/@35.1787,45.9758,14z?hl=en","Maplink2")</f>
        <v>Maplink2</v>
      </c>
      <c r="AW3342" s="14" t="str">
        <f>HYPERLINK("http://www.bing.com/maps/?lvl=14&amp;sty=h&amp;cp=35.1787~45.9758&amp;sp=point.35.1787_45.9758_Gulan","Maplink3")</f>
        <v>Maplink3</v>
      </c>
    </row>
    <row r="3343" spans="1:49" ht="15" customHeight="1" x14ac:dyDescent="0.25">
      <c r="A3343" s="21">
        <v>22920</v>
      </c>
      <c r="B3343" s="22" t="s">
        <v>24</v>
      </c>
      <c r="C3343" s="22" t="s">
        <v>6407</v>
      </c>
      <c r="D3343" s="22" t="s">
        <v>6436</v>
      </c>
      <c r="E3343" s="22" t="s">
        <v>6437</v>
      </c>
      <c r="F3343" s="22">
        <v>35.351260000000003</v>
      </c>
      <c r="G3343" s="22">
        <v>45.88091</v>
      </c>
      <c r="H3343" s="21" t="s">
        <v>6283</v>
      </c>
      <c r="I3343" s="21" t="s">
        <v>6410</v>
      </c>
      <c r="J3343" s="21" t="s">
        <v>6438</v>
      </c>
      <c r="K3343" s="24">
        <v>31</v>
      </c>
      <c r="L3343" s="24">
        <v>186</v>
      </c>
      <c r="M3343" s="23">
        <v>21</v>
      </c>
      <c r="N3343" s="23"/>
      <c r="O3343" s="23">
        <v>6</v>
      </c>
      <c r="P3343" s="23"/>
      <c r="Q3343" s="23"/>
      <c r="R3343" s="23">
        <v>4</v>
      </c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31</v>
      </c>
      <c r="AL3343" s="23"/>
      <c r="AM3343" s="23"/>
      <c r="AN3343" s="23"/>
      <c r="AO3343" s="23">
        <v>2</v>
      </c>
      <c r="AP3343" s="23">
        <v>6</v>
      </c>
      <c r="AQ3343" s="23"/>
      <c r="AR3343" s="23">
        <v>10</v>
      </c>
      <c r="AS3343" s="23">
        <v>10</v>
      </c>
      <c r="AT3343" s="23">
        <v>3</v>
      </c>
      <c r="AU3343" s="14" t="str">
        <f>HYPERLINK("http://www.openstreetmap.org/?mlat=35.3513&amp;mlon=45.8809&amp;zoom=12#map=12/35.3513/45.8809","Maplink1")</f>
        <v>Maplink1</v>
      </c>
      <c r="AV3343" s="14" t="str">
        <f>HYPERLINK("https://www.google.iq/maps/search/+35.3513,45.8809/@35.3513,45.8809,14z?hl=en","Maplink2")</f>
        <v>Maplink2</v>
      </c>
      <c r="AW3343" s="14" t="str">
        <f>HYPERLINK("http://www.bing.com/maps/?lvl=14&amp;sty=h&amp;cp=35.3513~45.8809&amp;sp=point.35.3513_45.8809_Hassar","Maplink3")</f>
        <v>Maplink3</v>
      </c>
    </row>
    <row r="3344" spans="1:49" ht="15" customHeight="1" x14ac:dyDescent="0.25">
      <c r="A3344" s="21">
        <v>22998</v>
      </c>
      <c r="B3344" s="22" t="s">
        <v>24</v>
      </c>
      <c r="C3344" s="22" t="s">
        <v>6407</v>
      </c>
      <c r="D3344" s="22" t="s">
        <v>6439</v>
      </c>
      <c r="E3344" s="22" t="s">
        <v>6440</v>
      </c>
      <c r="F3344" s="22">
        <v>35.318159999999999</v>
      </c>
      <c r="G3344" s="22">
        <v>45.691989999999997</v>
      </c>
      <c r="H3344" s="21" t="s">
        <v>6283</v>
      </c>
      <c r="I3344" s="21" t="s">
        <v>6410</v>
      </c>
      <c r="J3344" s="21" t="s">
        <v>6441</v>
      </c>
      <c r="K3344" s="24">
        <v>123</v>
      </c>
      <c r="L3344" s="24">
        <v>738</v>
      </c>
      <c r="M3344" s="23">
        <v>113</v>
      </c>
      <c r="N3344" s="23"/>
      <c r="O3344" s="23">
        <v>5</v>
      </c>
      <c r="P3344" s="23"/>
      <c r="Q3344" s="23"/>
      <c r="R3344" s="23">
        <v>2</v>
      </c>
      <c r="S3344" s="23"/>
      <c r="T3344" s="23"/>
      <c r="U3344" s="23"/>
      <c r="V3344" s="23"/>
      <c r="W3344" s="23"/>
      <c r="X3344" s="23"/>
      <c r="Y3344" s="23"/>
      <c r="Z3344" s="23"/>
      <c r="AA3344" s="23">
        <v>3</v>
      </c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123</v>
      </c>
      <c r="AL3344" s="23"/>
      <c r="AM3344" s="23"/>
      <c r="AN3344" s="23"/>
      <c r="AO3344" s="23">
        <v>19</v>
      </c>
      <c r="AP3344" s="23">
        <v>23</v>
      </c>
      <c r="AQ3344" s="23"/>
      <c r="AR3344" s="23">
        <v>49</v>
      </c>
      <c r="AS3344" s="23">
        <v>30</v>
      </c>
      <c r="AT3344" s="23">
        <v>2</v>
      </c>
      <c r="AU3344" s="14" t="str">
        <f>HYPERLINK("http://www.openstreetmap.org/?mlat=35.3182&amp;mlon=45.692&amp;zoom=12#map=12/35.3182/45.692","Maplink1")</f>
        <v>Maplink1</v>
      </c>
      <c r="AV3344" s="14" t="str">
        <f>HYPERLINK("https://www.google.iq/maps/search/+35.3182,45.692/@35.3182,45.692,14z?hl=en","Maplink2")</f>
        <v>Maplink2</v>
      </c>
      <c r="AW3344" s="14" t="str">
        <f>HYPERLINK("http://www.bing.com/maps/?lvl=14&amp;sty=h&amp;cp=35.3182~45.692&amp;sp=point.35.3182_45.692_Hawaran","Maplink3")</f>
        <v>Maplink3</v>
      </c>
    </row>
    <row r="3345" spans="1:49" ht="15" customHeight="1" x14ac:dyDescent="0.25">
      <c r="A3345" s="21">
        <v>25646</v>
      </c>
      <c r="B3345" s="22" t="s">
        <v>24</v>
      </c>
      <c r="C3345" s="22" t="s">
        <v>6407</v>
      </c>
      <c r="D3345" s="22" t="s">
        <v>6442</v>
      </c>
      <c r="E3345" s="22" t="s">
        <v>6443</v>
      </c>
      <c r="F3345" s="22">
        <v>35.382060000000003</v>
      </c>
      <c r="G3345" s="22">
        <v>45.708460000000002</v>
      </c>
      <c r="H3345" s="21" t="s">
        <v>6283</v>
      </c>
      <c r="I3345" s="21" t="s">
        <v>6410</v>
      </c>
      <c r="J3345" s="21"/>
      <c r="K3345" s="24">
        <v>13</v>
      </c>
      <c r="L3345" s="24">
        <v>78</v>
      </c>
      <c r="M3345" s="23">
        <v>2</v>
      </c>
      <c r="N3345" s="23"/>
      <c r="O3345" s="23">
        <v>1</v>
      </c>
      <c r="P3345" s="23"/>
      <c r="Q3345" s="23"/>
      <c r="R3345" s="23">
        <v>3</v>
      </c>
      <c r="S3345" s="23"/>
      <c r="T3345" s="23"/>
      <c r="U3345" s="23"/>
      <c r="V3345" s="23"/>
      <c r="W3345" s="23"/>
      <c r="X3345" s="23"/>
      <c r="Y3345" s="23">
        <v>2</v>
      </c>
      <c r="Z3345" s="23"/>
      <c r="AA3345" s="23">
        <v>5</v>
      </c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>
        <v>13</v>
      </c>
      <c r="AL3345" s="23"/>
      <c r="AM3345" s="23"/>
      <c r="AN3345" s="23"/>
      <c r="AO3345" s="23"/>
      <c r="AP3345" s="23">
        <v>4</v>
      </c>
      <c r="AQ3345" s="23">
        <v>2</v>
      </c>
      <c r="AR3345" s="23">
        <v>4</v>
      </c>
      <c r="AS3345" s="23">
        <v>3</v>
      </c>
      <c r="AT3345" s="23"/>
      <c r="AU3345" s="14" t="str">
        <f>HYPERLINK("http://www.openstreetmap.org/?mlat=35.3821&amp;mlon=45.7085&amp;zoom=12#map=12/35.3821/45.7085","Maplink1")</f>
        <v>Maplink1</v>
      </c>
      <c r="AV3345" s="14" t="str">
        <f>HYPERLINK("https://www.google.iq/maps/search/+35.3821,45.7085/@35.3821,45.7085,14z?hl=en","Maplink2")</f>
        <v>Maplink2</v>
      </c>
      <c r="AW3345" s="14" t="str">
        <f>HYPERLINK("http://www.bing.com/maps/?lvl=14&amp;sty=h&amp;cp=35.3821~45.7085&amp;sp=point.35.3821_45.7085_Kani panka village","Maplink3")</f>
        <v>Maplink3</v>
      </c>
    </row>
    <row r="3346" spans="1:49" ht="15" customHeight="1" x14ac:dyDescent="0.25">
      <c r="A3346" s="21">
        <v>22031</v>
      </c>
      <c r="B3346" s="22" t="s">
        <v>24</v>
      </c>
      <c r="C3346" s="22" t="s">
        <v>6407</v>
      </c>
      <c r="D3346" s="22" t="s">
        <v>6444</v>
      </c>
      <c r="E3346" s="22" t="s">
        <v>6445</v>
      </c>
      <c r="F3346" s="22">
        <v>35.185960000000001</v>
      </c>
      <c r="G3346" s="22">
        <v>45.990749999999998</v>
      </c>
      <c r="H3346" s="21" t="s">
        <v>6283</v>
      </c>
      <c r="I3346" s="21" t="s">
        <v>6410</v>
      </c>
      <c r="J3346" s="21" t="s">
        <v>6446</v>
      </c>
      <c r="K3346" s="24">
        <v>28</v>
      </c>
      <c r="L3346" s="24">
        <v>168</v>
      </c>
      <c r="M3346" s="23">
        <v>18</v>
      </c>
      <c r="N3346" s="23"/>
      <c r="O3346" s="23">
        <v>6</v>
      </c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>
        <v>4</v>
      </c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28</v>
      </c>
      <c r="AL3346" s="23"/>
      <c r="AM3346" s="23"/>
      <c r="AN3346" s="23"/>
      <c r="AO3346" s="23">
        <v>6</v>
      </c>
      <c r="AP3346" s="23">
        <v>4</v>
      </c>
      <c r="AQ3346" s="23"/>
      <c r="AR3346" s="23">
        <v>6</v>
      </c>
      <c r="AS3346" s="23">
        <v>12</v>
      </c>
      <c r="AT3346" s="23"/>
      <c r="AU3346" s="14" t="str">
        <f>HYPERLINK("http://www.openstreetmap.org/?mlat=35.186&amp;mlon=45.9907&amp;zoom=12#map=12/35.186/45.9907","Maplink1")</f>
        <v>Maplink1</v>
      </c>
      <c r="AV3346" s="14" t="str">
        <f>HYPERLINK("https://www.google.iq/maps/search/+35.186,45.9907/@35.186,45.9907,14z?hl=en","Maplink2")</f>
        <v>Maplink2</v>
      </c>
      <c r="AW3346" s="14" t="str">
        <f>HYPERLINK("http://www.bing.com/maps/?lvl=14&amp;sty=h&amp;cp=35.186~45.9907&amp;sp=point.35.186_45.9907_Kani Qulka","Maplink3")</f>
        <v>Maplink3</v>
      </c>
    </row>
    <row r="3347" spans="1:49" ht="15" customHeight="1" x14ac:dyDescent="0.25">
      <c r="A3347" s="21">
        <v>21863</v>
      </c>
      <c r="B3347" s="22" t="s">
        <v>24</v>
      </c>
      <c r="C3347" s="22" t="s">
        <v>6407</v>
      </c>
      <c r="D3347" s="22" t="s">
        <v>6447</v>
      </c>
      <c r="E3347" s="22" t="s">
        <v>3485</v>
      </c>
      <c r="F3347" s="22">
        <v>35.179139999999997</v>
      </c>
      <c r="G3347" s="22">
        <v>45.990209999999998</v>
      </c>
      <c r="H3347" s="21" t="s">
        <v>6283</v>
      </c>
      <c r="I3347" s="21" t="s">
        <v>6410</v>
      </c>
      <c r="J3347" s="21" t="s">
        <v>6448</v>
      </c>
      <c r="K3347" s="24">
        <v>31</v>
      </c>
      <c r="L3347" s="24">
        <v>186</v>
      </c>
      <c r="M3347" s="23">
        <v>15</v>
      </c>
      <c r="N3347" s="23"/>
      <c r="O3347" s="23">
        <v>6</v>
      </c>
      <c r="P3347" s="23"/>
      <c r="Q3347" s="23"/>
      <c r="R3347" s="23">
        <v>6</v>
      </c>
      <c r="S3347" s="23"/>
      <c r="T3347" s="23"/>
      <c r="U3347" s="23"/>
      <c r="V3347" s="23"/>
      <c r="W3347" s="23"/>
      <c r="X3347" s="23"/>
      <c r="Y3347" s="23"/>
      <c r="Z3347" s="23"/>
      <c r="AA3347" s="23">
        <v>4</v>
      </c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31</v>
      </c>
      <c r="AL3347" s="23"/>
      <c r="AM3347" s="23"/>
      <c r="AN3347" s="23"/>
      <c r="AO3347" s="23">
        <v>8</v>
      </c>
      <c r="AP3347" s="23">
        <v>5</v>
      </c>
      <c r="AQ3347" s="23"/>
      <c r="AR3347" s="23">
        <v>5</v>
      </c>
      <c r="AS3347" s="23">
        <v>12</v>
      </c>
      <c r="AT3347" s="23">
        <v>1</v>
      </c>
      <c r="AU3347" s="14" t="str">
        <f>HYPERLINK("http://www.openstreetmap.org/?mlat=35.1692&amp;mlon=46.0069&amp;zoom=12#map=12/35.1692/46.0069","Maplink1")</f>
        <v>Maplink1</v>
      </c>
      <c r="AV3347" s="14" t="str">
        <f>HYPERLINK("https://www.google.iq/maps/search/+35.1692,46.0069/@35.1692,46.0069,14z?hl=en","Maplink2")</f>
        <v>Maplink2</v>
      </c>
      <c r="AW3347" s="14" t="str">
        <f>HYPERLINK("http://www.bing.com/maps/?lvl=14&amp;sty=h&amp;cp=35.1692~46.0069&amp;sp=point.35.1692_46.0069_Mamostaian","Maplink3")</f>
        <v>Maplink3</v>
      </c>
    </row>
    <row r="3348" spans="1:49" ht="15" customHeight="1" x14ac:dyDescent="0.25">
      <c r="A3348" s="21">
        <v>22996</v>
      </c>
      <c r="B3348" s="22" t="s">
        <v>24</v>
      </c>
      <c r="C3348" s="22" t="s">
        <v>6407</v>
      </c>
      <c r="D3348" s="22" t="s">
        <v>3611</v>
      </c>
      <c r="E3348" s="22" t="s">
        <v>3485</v>
      </c>
      <c r="F3348" s="22">
        <v>35.322890000000001</v>
      </c>
      <c r="G3348" s="22">
        <v>45.698729999999998</v>
      </c>
      <c r="H3348" s="21" t="s">
        <v>6283</v>
      </c>
      <c r="I3348" s="21" t="s">
        <v>6410</v>
      </c>
      <c r="J3348" s="21" t="s">
        <v>6449</v>
      </c>
      <c r="K3348" s="24">
        <v>23</v>
      </c>
      <c r="L3348" s="24">
        <v>138</v>
      </c>
      <c r="M3348" s="23">
        <v>16</v>
      </c>
      <c r="N3348" s="23"/>
      <c r="O3348" s="23">
        <v>7</v>
      </c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23</v>
      </c>
      <c r="AL3348" s="23"/>
      <c r="AM3348" s="23"/>
      <c r="AN3348" s="23"/>
      <c r="AO3348" s="23">
        <v>7</v>
      </c>
      <c r="AP3348" s="23">
        <v>2</v>
      </c>
      <c r="AQ3348" s="23"/>
      <c r="AR3348" s="23">
        <v>5</v>
      </c>
      <c r="AS3348" s="23">
        <v>7</v>
      </c>
      <c r="AT3348" s="23">
        <v>2</v>
      </c>
      <c r="AU3348" s="14" t="str">
        <f>HYPERLINK("http://www.openstreetmap.org/?mlat=35.3229&amp;mlon=45.6987&amp;zoom=12#map=12/35.3229/45.6987","Maplink1")</f>
        <v>Maplink1</v>
      </c>
      <c r="AV3348" s="14" t="str">
        <f>HYPERLINK("https://www.google.iq/maps/search/+35.3229,45.6987/@35.3229,45.6987,14z?hl=en","Maplink2")</f>
        <v>Maplink2</v>
      </c>
      <c r="AW3348" s="14" t="str">
        <f>HYPERLINK("http://www.bing.com/maps/?lvl=14&amp;sty=h&amp;cp=35.3229~45.6987&amp;sp=point.35.3229_45.6987_Mamostyan","Maplink3")</f>
        <v>Maplink3</v>
      </c>
    </row>
    <row r="3349" spans="1:49" ht="15" customHeight="1" x14ac:dyDescent="0.25">
      <c r="A3349" s="21">
        <v>21962</v>
      </c>
      <c r="B3349" s="22" t="s">
        <v>24</v>
      </c>
      <c r="C3349" s="22" t="s">
        <v>6407</v>
      </c>
      <c r="D3349" s="22" t="s">
        <v>6451</v>
      </c>
      <c r="E3349" s="22" t="s">
        <v>6452</v>
      </c>
      <c r="F3349" s="22">
        <v>35.181959999999997</v>
      </c>
      <c r="G3349" s="22">
        <v>45.986490000000003</v>
      </c>
      <c r="H3349" s="21" t="s">
        <v>6283</v>
      </c>
      <c r="I3349" s="21" t="s">
        <v>6410</v>
      </c>
      <c r="J3349" s="21" t="s">
        <v>6453</v>
      </c>
      <c r="K3349" s="24">
        <v>19</v>
      </c>
      <c r="L3349" s="24">
        <v>114</v>
      </c>
      <c r="M3349" s="23">
        <v>15</v>
      </c>
      <c r="N3349" s="23"/>
      <c r="O3349" s="23">
        <v>4</v>
      </c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>
        <v>19</v>
      </c>
      <c r="AL3349" s="23"/>
      <c r="AM3349" s="23"/>
      <c r="AN3349" s="23"/>
      <c r="AO3349" s="23">
        <v>5</v>
      </c>
      <c r="AP3349" s="23">
        <v>4</v>
      </c>
      <c r="AQ3349" s="23"/>
      <c r="AR3349" s="23"/>
      <c r="AS3349" s="23">
        <v>10</v>
      </c>
      <c r="AT3349" s="23"/>
      <c r="AU3349" s="14" t="str">
        <f>HYPERLINK("http://www.openstreetmap.org/?mlat=35.182&amp;mlon=45.9865&amp;zoom=12#map=12/35.182/45.9865","Maplink1")</f>
        <v>Maplink1</v>
      </c>
      <c r="AV3349" s="14" t="str">
        <f>HYPERLINK("https://www.google.iq/maps/search/+35.182,45.9865/@35.182,45.9865,14z?hl=en","Maplink2")</f>
        <v>Maplink2</v>
      </c>
      <c r="AW3349" s="14" t="str">
        <f>HYPERLINK("http://www.bing.com/maps/?lvl=14&amp;sty=h&amp;cp=35.182~45.9865&amp;sp=point.35.182_45.9865_Marzboto","Maplink3")</f>
        <v>Maplink3</v>
      </c>
    </row>
    <row r="3350" spans="1:49" ht="15" customHeight="1" x14ac:dyDescent="0.25">
      <c r="A3350" s="21">
        <v>25759</v>
      </c>
      <c r="B3350" s="22" t="s">
        <v>24</v>
      </c>
      <c r="C3350" s="22" t="s">
        <v>6407</v>
      </c>
      <c r="D3350" s="22" t="s">
        <v>6454</v>
      </c>
      <c r="E3350" s="22" t="s">
        <v>6455</v>
      </c>
      <c r="F3350" s="22">
        <v>35.172840000000001</v>
      </c>
      <c r="G3350" s="22">
        <v>45.288110000000003</v>
      </c>
      <c r="H3350" s="21" t="s">
        <v>6283</v>
      </c>
      <c r="I3350" s="21" t="s">
        <v>6410</v>
      </c>
      <c r="J3350" s="21"/>
      <c r="K3350" s="24">
        <v>43</v>
      </c>
      <c r="L3350" s="24">
        <v>258</v>
      </c>
      <c r="M3350" s="23">
        <v>28</v>
      </c>
      <c r="N3350" s="23"/>
      <c r="O3350" s="23">
        <v>6</v>
      </c>
      <c r="P3350" s="23"/>
      <c r="Q3350" s="23"/>
      <c r="R3350" s="23">
        <v>7</v>
      </c>
      <c r="S3350" s="23"/>
      <c r="T3350" s="23"/>
      <c r="U3350" s="23"/>
      <c r="V3350" s="23"/>
      <c r="W3350" s="23"/>
      <c r="X3350" s="23"/>
      <c r="Y3350" s="23"/>
      <c r="Z3350" s="23"/>
      <c r="AA3350" s="23">
        <v>2</v>
      </c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43</v>
      </c>
      <c r="AL3350" s="23"/>
      <c r="AM3350" s="23"/>
      <c r="AN3350" s="23"/>
      <c r="AO3350" s="23">
        <v>8</v>
      </c>
      <c r="AP3350" s="23">
        <v>12</v>
      </c>
      <c r="AQ3350" s="23">
        <v>7</v>
      </c>
      <c r="AR3350" s="23">
        <v>6</v>
      </c>
      <c r="AS3350" s="23">
        <v>10</v>
      </c>
      <c r="AT3350" s="23"/>
      <c r="AU3350" s="14" t="str">
        <f>HYPERLINK("http://www.openstreetmap.org/?mlat=35.1728&amp;mlon=45.9865&amp;zoom=12#map=12/35.1728/45.9865","Maplink1")</f>
        <v>Maplink1</v>
      </c>
      <c r="AV3350" s="14" t="str">
        <f>HYPERLINK("https://www.google.iq/maps/search/+35.1728,45.9865/@35.1728,45.9865,14z?hl=en","Maplink2")</f>
        <v>Maplink2</v>
      </c>
      <c r="AW3350" s="14" t="str">
        <f>HYPERLINK("http://www.bing.com/maps/?lvl=14&amp;sty=h&amp;cp=35.1728~45.9865&amp;sp=point.35.1728_45.9865_Mordana","Maplink3")</f>
        <v>Maplink3</v>
      </c>
    </row>
    <row r="3351" spans="1:49" ht="15" customHeight="1" x14ac:dyDescent="0.25">
      <c r="A3351" s="21">
        <v>25645</v>
      </c>
      <c r="B3351" s="22" t="s">
        <v>24</v>
      </c>
      <c r="C3351" s="22" t="s">
        <v>6407</v>
      </c>
      <c r="D3351" s="22" t="s">
        <v>6456</v>
      </c>
      <c r="E3351" s="22" t="s">
        <v>6457</v>
      </c>
      <c r="F3351" s="22">
        <v>35.359119999999997</v>
      </c>
      <c r="G3351" s="22">
        <v>45.74203</v>
      </c>
      <c r="H3351" s="21" t="s">
        <v>6283</v>
      </c>
      <c r="I3351" s="21" t="s">
        <v>6410</v>
      </c>
      <c r="J3351" s="21"/>
      <c r="K3351" s="24">
        <v>3</v>
      </c>
      <c r="L3351" s="24">
        <v>18</v>
      </c>
      <c r="M3351" s="23">
        <v>2</v>
      </c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>
        <v>1</v>
      </c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3</v>
      </c>
      <c r="AL3351" s="23"/>
      <c r="AM3351" s="23"/>
      <c r="AN3351" s="23"/>
      <c r="AO3351" s="23"/>
      <c r="AP3351" s="23"/>
      <c r="AQ3351" s="23"/>
      <c r="AR3351" s="23">
        <v>2</v>
      </c>
      <c r="AS3351" s="23">
        <v>1</v>
      </c>
      <c r="AT3351" s="23"/>
      <c r="AU3351" s="14" t="str">
        <f>HYPERLINK("http://www.openstreetmap.org/?mlat=35.3591&amp;mlon=45.742&amp;zoom=12#map=12/35.3591/45.742","Maplink1")</f>
        <v>Maplink1</v>
      </c>
      <c r="AV3351" s="14" t="str">
        <f>HYPERLINK("https://www.google.iq/maps/search/+35.3591,45.742/@35.3591,45.742,14z?hl=en","Maplink2")</f>
        <v>Maplink2</v>
      </c>
      <c r="AW3351" s="14" t="str">
        <f>HYPERLINK("http://www.bing.com/maps/?lvl=14&amp;sty=h&amp;cp=35.3591~45.742&amp;sp=point.35.3591_45.742_Mwan village","Maplink3")</f>
        <v>Maplink3</v>
      </c>
    </row>
    <row r="3352" spans="1:49" ht="15" customHeight="1" x14ac:dyDescent="0.25">
      <c r="A3352" s="21">
        <v>5299</v>
      </c>
      <c r="B3352" s="22" t="s">
        <v>24</v>
      </c>
      <c r="C3352" s="22" t="s">
        <v>6407</v>
      </c>
      <c r="D3352" s="22" t="s">
        <v>6458</v>
      </c>
      <c r="E3352" s="22" t="s">
        <v>6459</v>
      </c>
      <c r="F3352" s="22">
        <v>35.336770000000001</v>
      </c>
      <c r="G3352" s="22">
        <v>45.950560000000003</v>
      </c>
      <c r="H3352" s="21" t="s">
        <v>6283</v>
      </c>
      <c r="I3352" s="21" t="s">
        <v>6410</v>
      </c>
      <c r="J3352" s="21" t="s">
        <v>6460</v>
      </c>
      <c r="K3352" s="24">
        <v>6</v>
      </c>
      <c r="L3352" s="24">
        <v>36</v>
      </c>
      <c r="M3352" s="23">
        <v>3</v>
      </c>
      <c r="N3352" s="23">
        <v>1</v>
      </c>
      <c r="O3352" s="23">
        <v>2</v>
      </c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6</v>
      </c>
      <c r="AL3352" s="23"/>
      <c r="AM3352" s="23"/>
      <c r="AN3352" s="23"/>
      <c r="AO3352" s="23">
        <v>4</v>
      </c>
      <c r="AP3352" s="23">
        <v>1</v>
      </c>
      <c r="AQ3352" s="23">
        <v>1</v>
      </c>
      <c r="AR3352" s="23"/>
      <c r="AS3352" s="23"/>
      <c r="AT3352" s="23"/>
      <c r="AU3352" s="14" t="str">
        <f>HYPERLINK("http://www.openstreetmap.org/?mlat=35.33&amp;mlon=45.95&amp;zoom=12#map=12/35.33/45.95","Maplink1")</f>
        <v>Maplink1</v>
      </c>
      <c r="AV3352" s="14" t="str">
        <f>HYPERLINK("https://www.google.iq/maps/search/+35.33,45.95/@35.33,45.95,14z?hl=en","Maplink2")</f>
        <v>Maplink2</v>
      </c>
      <c r="AW3352" s="14" t="str">
        <f>HYPERLINK("http://www.bing.com/maps/?lvl=14&amp;sty=h&amp;cp=35.33~45.95&amp;sp=point.35.33_45.95_Qadafari","Maplink3")</f>
        <v>Maplink3</v>
      </c>
    </row>
    <row r="3353" spans="1:49" ht="15" customHeight="1" x14ac:dyDescent="0.25">
      <c r="A3353" s="21">
        <v>22462</v>
      </c>
      <c r="B3353" s="22" t="s">
        <v>24</v>
      </c>
      <c r="C3353" s="22" t="s">
        <v>6407</v>
      </c>
      <c r="D3353" s="22" t="s">
        <v>6461</v>
      </c>
      <c r="E3353" s="22" t="s">
        <v>6462</v>
      </c>
      <c r="F3353" s="22">
        <v>35.302230000000002</v>
      </c>
      <c r="G3353" s="22">
        <v>46.033410000000003</v>
      </c>
      <c r="H3353" s="21" t="s">
        <v>6283</v>
      </c>
      <c r="I3353" s="21" t="s">
        <v>6410</v>
      </c>
      <c r="J3353" s="21" t="s">
        <v>6463</v>
      </c>
      <c r="K3353" s="24">
        <v>29</v>
      </c>
      <c r="L3353" s="24">
        <v>174</v>
      </c>
      <c r="M3353" s="23">
        <v>24</v>
      </c>
      <c r="N3353" s="23"/>
      <c r="O3353" s="23">
        <v>2</v>
      </c>
      <c r="P3353" s="23"/>
      <c r="Q3353" s="23"/>
      <c r="R3353" s="23">
        <v>3</v>
      </c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29</v>
      </c>
      <c r="AL3353" s="23"/>
      <c r="AM3353" s="23"/>
      <c r="AN3353" s="23"/>
      <c r="AO3353" s="23"/>
      <c r="AP3353" s="23">
        <v>4</v>
      </c>
      <c r="AQ3353" s="23">
        <v>2</v>
      </c>
      <c r="AR3353" s="23">
        <v>7</v>
      </c>
      <c r="AS3353" s="23">
        <v>13</v>
      </c>
      <c r="AT3353" s="23">
        <v>3</v>
      </c>
      <c r="AU3353" s="14" t="str">
        <f>HYPERLINK("http://www.openstreetmap.org/?mlat=35.3022&amp;mlon=46.0334&amp;zoom=12#map=12/35.3022/46.0334","Maplink1")</f>
        <v>Maplink1</v>
      </c>
      <c r="AV3353" s="14" t="str">
        <f>HYPERLINK("https://www.google.iq/maps/search/+35.3022,46.0334/@35.3022,46.0334,14z?hl=en","Maplink2")</f>
        <v>Maplink2</v>
      </c>
      <c r="AW3353" s="14" t="str">
        <f>HYPERLINK("http://www.bing.com/maps/?lvl=14&amp;sty=h&amp;cp=35.3022~46.0334&amp;sp=point.35.3022_46.0334_Qala","Maplink3")</f>
        <v>Maplink3</v>
      </c>
    </row>
    <row r="3354" spans="1:49" ht="15" customHeight="1" x14ac:dyDescent="0.25">
      <c r="A3354" s="21">
        <v>25648</v>
      </c>
      <c r="B3354" s="22" t="s">
        <v>24</v>
      </c>
      <c r="C3354" s="22" t="s">
        <v>6407</v>
      </c>
      <c r="D3354" s="22" t="s">
        <v>6464</v>
      </c>
      <c r="E3354" s="22" t="s">
        <v>6465</v>
      </c>
      <c r="F3354" s="22">
        <v>35.371729999999999</v>
      </c>
      <c r="G3354" s="22">
        <v>45.711399999999998</v>
      </c>
      <c r="H3354" s="21" t="s">
        <v>6283</v>
      </c>
      <c r="I3354" s="21" t="s">
        <v>6410</v>
      </c>
      <c r="J3354" s="21"/>
      <c r="K3354" s="24">
        <v>4</v>
      </c>
      <c r="L3354" s="24">
        <v>24</v>
      </c>
      <c r="M3354" s="23">
        <v>3</v>
      </c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>
        <v>1</v>
      </c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4</v>
      </c>
      <c r="AL3354" s="23"/>
      <c r="AM3354" s="23"/>
      <c r="AN3354" s="23"/>
      <c r="AO3354" s="23">
        <v>3</v>
      </c>
      <c r="AP3354" s="23"/>
      <c r="AQ3354" s="23">
        <v>1</v>
      </c>
      <c r="AR3354" s="23"/>
      <c r="AS3354" s="23"/>
      <c r="AT3354" s="23"/>
      <c r="AU3354" s="14" t="str">
        <f>HYPERLINK("http://www.openstreetmap.org/?mlat=35.3717&amp;mlon=45.7114&amp;zoom=12#map=12/35.3717/45.7114","Maplink1")</f>
        <v>Maplink1</v>
      </c>
      <c r="AV3354" s="14" t="str">
        <f>HYPERLINK("https://www.google.iq/maps/search/+35.3717,45.7114/@35.3717,45.7114,14z?hl=en","Maplink2")</f>
        <v>Maplink2</v>
      </c>
      <c r="AW3354" s="14" t="str">
        <f>HYPERLINK("http://www.bing.com/maps/?lvl=14&amp;sty=h&amp;cp=35.3717~45.7114&amp;sp=point.35.3717_45.7114_Qlija village","Maplink3")</f>
        <v>Maplink3</v>
      </c>
    </row>
    <row r="3355" spans="1:49" ht="15" customHeight="1" x14ac:dyDescent="0.25">
      <c r="A3355" s="21">
        <v>23078</v>
      </c>
      <c r="B3355" s="22" t="s">
        <v>24</v>
      </c>
      <c r="C3355" s="22" t="s">
        <v>6407</v>
      </c>
      <c r="D3355" s="22" t="s">
        <v>9153</v>
      </c>
      <c r="E3355" s="22" t="s">
        <v>6474</v>
      </c>
      <c r="F3355" s="22">
        <v>35.324019999999997</v>
      </c>
      <c r="G3355" s="22">
        <v>45.679780000000001</v>
      </c>
      <c r="H3355" s="21" t="s">
        <v>6283</v>
      </c>
      <c r="I3355" s="21" t="s">
        <v>6410</v>
      </c>
      <c r="J3355" s="21" t="s">
        <v>6475</v>
      </c>
      <c r="K3355" s="24">
        <v>67</v>
      </c>
      <c r="L3355" s="24">
        <v>402</v>
      </c>
      <c r="M3355" s="23">
        <v>57</v>
      </c>
      <c r="N3355" s="23"/>
      <c r="O3355" s="23">
        <v>7</v>
      </c>
      <c r="P3355" s="23"/>
      <c r="Q3355" s="23"/>
      <c r="R3355" s="23">
        <v>3</v>
      </c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67</v>
      </c>
      <c r="AL3355" s="23"/>
      <c r="AM3355" s="23"/>
      <c r="AN3355" s="23"/>
      <c r="AO3355" s="23">
        <v>9</v>
      </c>
      <c r="AP3355" s="23">
        <v>14</v>
      </c>
      <c r="AQ3355" s="23"/>
      <c r="AR3355" s="23">
        <v>20</v>
      </c>
      <c r="AS3355" s="23">
        <v>18</v>
      </c>
      <c r="AT3355" s="23">
        <v>6</v>
      </c>
      <c r="AU3355" s="14" t="str">
        <f>HYPERLINK("http://www.openstreetmap.org/?mlat=35.324&amp;mlon=45.6798&amp;zoom=12#map=12/35.324/45.6798","Maplink1")</f>
        <v>Maplink1</v>
      </c>
      <c r="AV3355" s="14" t="str">
        <f>HYPERLINK("https://www.google.iq/maps/search/+35.324,45.6798/@35.324,45.6798,14z?hl=en","Maplink2")</f>
        <v>Maplink2</v>
      </c>
      <c r="AW3355" s="14" t="str">
        <f>HYPERLINK("http://www.bing.com/maps/?lvl=14&amp;sty=h&amp;cp=35.324~45.6798&amp;sp=point.35.324_45.6798_Sharazoor- Razgari","Maplink3")</f>
        <v>Maplink3</v>
      </c>
    </row>
    <row r="3356" spans="1:49" ht="15" customHeight="1" x14ac:dyDescent="0.25">
      <c r="A3356" s="21">
        <v>25081</v>
      </c>
      <c r="B3356" s="22" t="s">
        <v>24</v>
      </c>
      <c r="C3356" s="22" t="s">
        <v>6407</v>
      </c>
      <c r="D3356" s="22" t="s">
        <v>6350</v>
      </c>
      <c r="E3356" s="22" t="s">
        <v>6351</v>
      </c>
      <c r="F3356" s="22">
        <v>35.360779999999998</v>
      </c>
      <c r="G3356" s="22">
        <v>45.866050000000001</v>
      </c>
      <c r="H3356" s="21" t="s">
        <v>6283</v>
      </c>
      <c r="I3356" s="21" t="s">
        <v>6410</v>
      </c>
      <c r="J3356" s="21"/>
      <c r="K3356" s="24">
        <v>42</v>
      </c>
      <c r="L3356" s="24">
        <v>252</v>
      </c>
      <c r="M3356" s="23">
        <v>39</v>
      </c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>
        <v>3</v>
      </c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42</v>
      </c>
      <c r="AL3356" s="23"/>
      <c r="AM3356" s="23"/>
      <c r="AN3356" s="23"/>
      <c r="AO3356" s="23">
        <v>8</v>
      </c>
      <c r="AP3356" s="23">
        <v>10</v>
      </c>
      <c r="AQ3356" s="23">
        <v>16</v>
      </c>
      <c r="AR3356" s="23">
        <v>6</v>
      </c>
      <c r="AS3356" s="23">
        <v>2</v>
      </c>
      <c r="AT3356" s="23"/>
      <c r="AU3356" s="14" t="str">
        <f>HYPERLINK("http://www.openstreetmap.org/?mlat=35.3608&amp;mlon=45.8661&amp;zoom=12#map=12/35.3608/45.8661","Maplink1")</f>
        <v>Maplink1</v>
      </c>
      <c r="AV3356" s="14" t="str">
        <f>HYPERLINK("https://www.google.iq/maps/search/+35.3608,45.8661/@35.3608,45.8661,14z?hl=en","Maplink2")</f>
        <v>Maplink2</v>
      </c>
      <c r="AW3356" s="14" t="str">
        <f>HYPERLINK("http://www.bing.com/maps/?lvl=14&amp;sty=h&amp;cp=35.3608~45.8661&amp;sp=point.35.3608_45.8661_Saidsadiq-Sara","Maplink3")</f>
        <v>Maplink3</v>
      </c>
    </row>
    <row r="3357" spans="1:49" ht="15" customHeight="1" x14ac:dyDescent="0.25">
      <c r="A3357" s="21">
        <v>4603</v>
      </c>
      <c r="B3357" s="22" t="s">
        <v>24</v>
      </c>
      <c r="C3357" s="22" t="s">
        <v>6407</v>
      </c>
      <c r="D3357" s="22" t="s">
        <v>6466</v>
      </c>
      <c r="E3357" s="22" t="s">
        <v>6467</v>
      </c>
      <c r="F3357" s="22">
        <v>35.370049999999999</v>
      </c>
      <c r="G3357" s="22">
        <v>45.827260000000003</v>
      </c>
      <c r="H3357" s="21" t="s">
        <v>6283</v>
      </c>
      <c r="I3357" s="21" t="s">
        <v>6410</v>
      </c>
      <c r="J3357" s="21" t="s">
        <v>6468</v>
      </c>
      <c r="K3357" s="24">
        <v>10</v>
      </c>
      <c r="L3357" s="24">
        <v>60</v>
      </c>
      <c r="M3357" s="23">
        <v>7</v>
      </c>
      <c r="N3357" s="23"/>
      <c r="O3357" s="23">
        <v>3</v>
      </c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10</v>
      </c>
      <c r="AL3357" s="23"/>
      <c r="AM3357" s="23"/>
      <c r="AN3357" s="23"/>
      <c r="AO3357" s="23"/>
      <c r="AP3357" s="23">
        <v>4</v>
      </c>
      <c r="AQ3357" s="23"/>
      <c r="AR3357" s="23">
        <v>5</v>
      </c>
      <c r="AS3357" s="23"/>
      <c r="AT3357" s="23">
        <v>1</v>
      </c>
      <c r="AU3357" s="14" t="str">
        <f>HYPERLINK("http://www.openstreetmap.org/?mlat=35.3685&amp;mlon=45.8267&amp;zoom=12#map=12/35.3685/45.8267","Maplink1")</f>
        <v>Maplink1</v>
      </c>
      <c r="AV3357" s="14" t="str">
        <f>HYPERLINK("https://www.google.iq/maps/search/+35.3685,45.8267/@35.3685,45.8267,14z?hl=en","Maplink2")</f>
        <v>Maplink2</v>
      </c>
      <c r="AW3357" s="14" t="str">
        <f>HYPERLINK("http://www.bing.com/maps/?lvl=14&amp;sty=h&amp;cp=35.3685~45.8267&amp;sp=point.35.3685_45.8267_Saraw village","Maplink3")</f>
        <v>Maplink3</v>
      </c>
    </row>
    <row r="3358" spans="1:49" ht="15" customHeight="1" x14ac:dyDescent="0.25">
      <c r="A3358" s="21">
        <v>22994</v>
      </c>
      <c r="B3358" s="22" t="s">
        <v>24</v>
      </c>
      <c r="C3358" s="22" t="s">
        <v>6407</v>
      </c>
      <c r="D3358" s="22" t="s">
        <v>6469</v>
      </c>
      <c r="E3358" s="22" t="s">
        <v>6470</v>
      </c>
      <c r="F3358" s="22">
        <v>35.173200000000001</v>
      </c>
      <c r="G3358" s="22">
        <v>45.989669999999997</v>
      </c>
      <c r="H3358" s="21" t="s">
        <v>6283</v>
      </c>
      <c r="I3358" s="21" t="s">
        <v>6410</v>
      </c>
      <c r="J3358" s="21" t="s">
        <v>6471</v>
      </c>
      <c r="K3358" s="24">
        <v>18</v>
      </c>
      <c r="L3358" s="24">
        <v>108</v>
      </c>
      <c r="M3358" s="23">
        <v>10</v>
      </c>
      <c r="N3358" s="23"/>
      <c r="O3358" s="23">
        <v>3</v>
      </c>
      <c r="P3358" s="23"/>
      <c r="Q3358" s="23"/>
      <c r="R3358" s="23">
        <v>5</v>
      </c>
      <c r="S3358" s="23"/>
      <c r="T3358" s="23"/>
      <c r="U3358" s="23"/>
      <c r="V3358" s="23"/>
      <c r="W3358" s="23"/>
      <c r="X3358" s="23"/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18</v>
      </c>
      <c r="AL3358" s="23"/>
      <c r="AM3358" s="23"/>
      <c r="AN3358" s="23"/>
      <c r="AO3358" s="23">
        <v>4</v>
      </c>
      <c r="AP3358" s="23">
        <v>2</v>
      </c>
      <c r="AQ3358" s="23">
        <v>5</v>
      </c>
      <c r="AR3358" s="23"/>
      <c r="AS3358" s="23">
        <v>7</v>
      </c>
      <c r="AT3358" s="23"/>
      <c r="AU3358" s="14" t="str">
        <f>HYPERLINK("http://www.openstreetmap.org/?mlat=35.353&amp;mlon=45.8581&amp;zoom=12#map=12/35.353/45.8581","Maplink1")</f>
        <v>Maplink1</v>
      </c>
      <c r="AV3358" s="14" t="str">
        <f>HYPERLINK("https://www.google.iq/maps/search/+35.353,45.8581/@35.353,45.8581,14z?hl=en","Maplink2")</f>
        <v>Maplink2</v>
      </c>
      <c r="AW3358" s="14" t="str">
        <f>HYPERLINK("http://www.bing.com/maps/?lvl=14&amp;sty=h&amp;cp=35.353~45.8581&amp;sp=point.35.353_45.8581_Sarray","Maplink3")</f>
        <v>Maplink3</v>
      </c>
    </row>
    <row r="3359" spans="1:49" ht="15" customHeight="1" x14ac:dyDescent="0.25">
      <c r="A3359" s="21">
        <v>21858</v>
      </c>
      <c r="B3359" s="22" t="s">
        <v>24</v>
      </c>
      <c r="C3359" s="22" t="s">
        <v>6407</v>
      </c>
      <c r="D3359" s="22" t="s">
        <v>2967</v>
      </c>
      <c r="E3359" s="22" t="s">
        <v>2968</v>
      </c>
      <c r="F3359" s="22">
        <v>35.175420000000003</v>
      </c>
      <c r="G3359" s="22">
        <v>45.99709</v>
      </c>
      <c r="H3359" s="21" t="s">
        <v>6283</v>
      </c>
      <c r="I3359" s="21" t="s">
        <v>6410</v>
      </c>
      <c r="J3359" s="21" t="s">
        <v>6472</v>
      </c>
      <c r="K3359" s="24">
        <v>29</v>
      </c>
      <c r="L3359" s="24">
        <v>174</v>
      </c>
      <c r="M3359" s="23">
        <v>20</v>
      </c>
      <c r="N3359" s="23"/>
      <c r="O3359" s="23">
        <v>2</v>
      </c>
      <c r="P3359" s="23"/>
      <c r="Q3359" s="23"/>
      <c r="R3359" s="23">
        <v>5</v>
      </c>
      <c r="S3359" s="23"/>
      <c r="T3359" s="23"/>
      <c r="U3359" s="23"/>
      <c r="V3359" s="23"/>
      <c r="W3359" s="23"/>
      <c r="X3359" s="23"/>
      <c r="Y3359" s="23"/>
      <c r="Z3359" s="23"/>
      <c r="AA3359" s="23">
        <v>2</v>
      </c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29</v>
      </c>
      <c r="AL3359" s="23"/>
      <c r="AM3359" s="23"/>
      <c r="AN3359" s="23"/>
      <c r="AO3359" s="23">
        <v>2</v>
      </c>
      <c r="AP3359" s="23">
        <v>11</v>
      </c>
      <c r="AQ3359" s="23"/>
      <c r="AR3359" s="23">
        <v>4</v>
      </c>
      <c r="AS3359" s="23">
        <v>12</v>
      </c>
      <c r="AT3359" s="23"/>
      <c r="AU3359" s="14" t="str">
        <f>HYPERLINK("http://www.openstreetmap.org/?mlat=35.3597&amp;mlon=45.849&amp;zoom=12#map=12/35.3597/45.849","Maplink1")</f>
        <v>Maplink1</v>
      </c>
      <c r="AV3359" s="14" t="str">
        <f>HYPERLINK("https://www.google.iq/maps/search/+35.3597,45.849/@35.3597,45.849,14z?hl=en","Maplink2")</f>
        <v>Maplink2</v>
      </c>
      <c r="AW3359" s="14" t="str">
        <f>HYPERLINK("http://www.bing.com/maps/?lvl=14&amp;sty=h&amp;cp=35.3597~45.849&amp;sp=point.35.3597_45.849_Shahidan","Maplink3")</f>
        <v>Maplink3</v>
      </c>
    </row>
    <row r="3360" spans="1:49" ht="15" customHeight="1" x14ac:dyDescent="0.25">
      <c r="A3360" s="21">
        <v>25080</v>
      </c>
      <c r="B3360" s="22" t="s">
        <v>24</v>
      </c>
      <c r="C3360" s="22" t="s">
        <v>6407</v>
      </c>
      <c r="D3360" s="22" t="s">
        <v>9154</v>
      </c>
      <c r="E3360" s="22" t="s">
        <v>6435</v>
      </c>
      <c r="F3360" s="22">
        <v>35.327539999999999</v>
      </c>
      <c r="G3360" s="22">
        <v>45.694070000000004</v>
      </c>
      <c r="H3360" s="21" t="s">
        <v>6283</v>
      </c>
      <c r="I3360" s="21" t="s">
        <v>6410</v>
      </c>
      <c r="J3360" s="21"/>
      <c r="K3360" s="24">
        <v>91</v>
      </c>
      <c r="L3360" s="24">
        <v>546</v>
      </c>
      <c r="M3360" s="23">
        <v>80</v>
      </c>
      <c r="N3360" s="23"/>
      <c r="O3360" s="23">
        <v>9</v>
      </c>
      <c r="P3360" s="23"/>
      <c r="Q3360" s="23"/>
      <c r="R3360" s="23">
        <v>2</v>
      </c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91</v>
      </c>
      <c r="AL3360" s="23"/>
      <c r="AM3360" s="23"/>
      <c r="AN3360" s="23"/>
      <c r="AO3360" s="23">
        <v>21</v>
      </c>
      <c r="AP3360" s="23">
        <v>15</v>
      </c>
      <c r="AQ3360" s="23"/>
      <c r="AR3360" s="23">
        <v>30</v>
      </c>
      <c r="AS3360" s="23">
        <v>24</v>
      </c>
      <c r="AT3360" s="23">
        <v>1</v>
      </c>
      <c r="AU3360" s="14" t="str">
        <f>HYPERLINK("http://www.openstreetmap.org/?mlat=35.3275&amp;mlon=45.6941&amp;zoom=12#map=12/35.3275/45.6941","Maplink1")</f>
        <v>Maplink1</v>
      </c>
      <c r="AV3360" s="14" t="str">
        <f>HYPERLINK("https://www.google.iq/maps/search/+35.3275,45.6941/@35.3275,45.6941,14z?hl=en","Maplink2")</f>
        <v>Maplink2</v>
      </c>
      <c r="AW3360" s="14" t="str">
        <f>HYPERLINK("http://www.bing.com/maps/?lvl=14&amp;sty=h&amp;cp=35.3275~45.6941&amp;sp=point.35.3275_45.6941_Halabjay Taza-Sharstani","Maplink3")</f>
        <v>Maplink3</v>
      </c>
    </row>
    <row r="3361" spans="1:49" ht="15" customHeight="1" x14ac:dyDescent="0.25">
      <c r="A3361" s="21">
        <v>23077</v>
      </c>
      <c r="B3361" s="22" t="s">
        <v>24</v>
      </c>
      <c r="C3361" s="22" t="s">
        <v>6407</v>
      </c>
      <c r="D3361" s="22" t="s">
        <v>6352</v>
      </c>
      <c r="E3361" s="22" t="s">
        <v>3690</v>
      </c>
      <c r="F3361" s="22">
        <v>35.31344</v>
      </c>
      <c r="G3361" s="22">
        <v>45.692729999999997</v>
      </c>
      <c r="H3361" s="21" t="s">
        <v>6283</v>
      </c>
      <c r="I3361" s="21" t="s">
        <v>6410</v>
      </c>
      <c r="J3361" s="21" t="s">
        <v>6473</v>
      </c>
      <c r="K3361" s="24">
        <v>56</v>
      </c>
      <c r="L3361" s="24">
        <v>336</v>
      </c>
      <c r="M3361" s="23">
        <v>48</v>
      </c>
      <c r="N3361" s="23"/>
      <c r="O3361" s="23">
        <v>4</v>
      </c>
      <c r="P3361" s="23"/>
      <c r="Q3361" s="23"/>
      <c r="R3361" s="23">
        <v>4</v>
      </c>
      <c r="S3361" s="23"/>
      <c r="T3361" s="23"/>
      <c r="U3361" s="23"/>
      <c r="V3361" s="23"/>
      <c r="W3361" s="23"/>
      <c r="X3361" s="23"/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56</v>
      </c>
      <c r="AL3361" s="23"/>
      <c r="AM3361" s="23"/>
      <c r="AN3361" s="23"/>
      <c r="AO3361" s="23">
        <v>23</v>
      </c>
      <c r="AP3361" s="23">
        <v>5</v>
      </c>
      <c r="AQ3361" s="23"/>
      <c r="AR3361" s="23">
        <v>11</v>
      </c>
      <c r="AS3361" s="23">
        <v>16</v>
      </c>
      <c r="AT3361" s="23">
        <v>1</v>
      </c>
      <c r="AU3361" s="14" t="str">
        <f>HYPERLINK("http://www.openstreetmap.org/?mlat=35.3134&amp;mlon=45.6927&amp;zoom=12#map=12/35.3134/45.6927","Maplink1")</f>
        <v>Maplink1</v>
      </c>
      <c r="AV3361" s="14" t="str">
        <f>HYPERLINK("https://www.google.iq/maps/search/+35.3134,45.6927/@35.3134,45.6927,14z?hl=en","Maplink2")</f>
        <v>Maplink2</v>
      </c>
      <c r="AW3361" s="14" t="str">
        <f>HYPERLINK("http://www.bing.com/maps/?lvl=14&amp;sty=h&amp;cp=35.3134~45.6927&amp;sp=point.35.3134_45.6927_Shara Wane","Maplink3")</f>
        <v>Maplink3</v>
      </c>
    </row>
    <row r="3362" spans="1:49" ht="15" customHeight="1" x14ac:dyDescent="0.25">
      <c r="A3362" s="21">
        <v>21857</v>
      </c>
      <c r="B3362" s="22" t="s">
        <v>24</v>
      </c>
      <c r="C3362" s="22" t="s">
        <v>6407</v>
      </c>
      <c r="D3362" s="22" t="s">
        <v>6352</v>
      </c>
      <c r="E3362" s="22" t="s">
        <v>3690</v>
      </c>
      <c r="F3362" s="22">
        <v>35.166989999999998</v>
      </c>
      <c r="G3362" s="22">
        <v>45.985439999999997</v>
      </c>
      <c r="H3362" s="21" t="s">
        <v>6283</v>
      </c>
      <c r="I3362" s="21" t="s">
        <v>6410</v>
      </c>
      <c r="J3362" s="21" t="s">
        <v>6434</v>
      </c>
      <c r="K3362" s="24">
        <v>39</v>
      </c>
      <c r="L3362" s="24">
        <v>234</v>
      </c>
      <c r="M3362" s="23">
        <v>23</v>
      </c>
      <c r="N3362" s="23">
        <v>1</v>
      </c>
      <c r="O3362" s="23">
        <v>5</v>
      </c>
      <c r="P3362" s="23"/>
      <c r="Q3362" s="23"/>
      <c r="R3362" s="23">
        <v>5</v>
      </c>
      <c r="S3362" s="23"/>
      <c r="T3362" s="23"/>
      <c r="U3362" s="23"/>
      <c r="V3362" s="23"/>
      <c r="W3362" s="23"/>
      <c r="X3362" s="23"/>
      <c r="Y3362" s="23">
        <v>2</v>
      </c>
      <c r="Z3362" s="23"/>
      <c r="AA3362" s="23">
        <v>3</v>
      </c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39</v>
      </c>
      <c r="AL3362" s="23"/>
      <c r="AM3362" s="23"/>
      <c r="AN3362" s="23"/>
      <c r="AO3362" s="23">
        <v>6</v>
      </c>
      <c r="AP3362" s="23">
        <v>18</v>
      </c>
      <c r="AQ3362" s="23"/>
      <c r="AR3362" s="23">
        <v>7</v>
      </c>
      <c r="AS3362" s="23">
        <v>6</v>
      </c>
      <c r="AT3362" s="23">
        <v>2</v>
      </c>
      <c r="AU3362" s="14" t="str">
        <f>HYPERLINK("http://www.openstreetmap.org/?mlat=35.2272&amp;mlon=46.113&amp;zoom=12#map=12/35.2272/46.113","Maplink1")</f>
        <v>Maplink1</v>
      </c>
      <c r="AV3362" s="14" t="str">
        <f>HYPERLINK("https://www.google.iq/maps/search/+35.2272,46.113/@35.2272,46.113,14z?hl=en","Maplink2")</f>
        <v>Maplink2</v>
      </c>
      <c r="AW3362" s="14" t="str">
        <f>HYPERLINK("http://www.bing.com/maps/?lvl=14&amp;sty=h&amp;cp=35.2272~46.113&amp;sp=point.35.2272_46.113_Halabja-Sharawani","Maplink3")</f>
        <v>Maplink3</v>
      </c>
    </row>
    <row r="3363" spans="1:49" ht="15" customHeight="1" x14ac:dyDescent="0.25">
      <c r="A3363" s="21">
        <v>22995</v>
      </c>
      <c r="B3363" s="22" t="s">
        <v>24</v>
      </c>
      <c r="C3363" s="22" t="s">
        <v>6407</v>
      </c>
      <c r="D3363" s="22" t="s">
        <v>6476</v>
      </c>
      <c r="E3363" s="22" t="s">
        <v>5293</v>
      </c>
      <c r="F3363" s="22">
        <v>35.363549999999996</v>
      </c>
      <c r="G3363" s="22">
        <v>45.868639999999999</v>
      </c>
      <c r="H3363" s="21" t="s">
        <v>6283</v>
      </c>
      <c r="I3363" s="21" t="s">
        <v>6410</v>
      </c>
      <c r="J3363" s="21" t="s">
        <v>6477</v>
      </c>
      <c r="K3363" s="24">
        <v>59</v>
      </c>
      <c r="L3363" s="24">
        <v>354</v>
      </c>
      <c r="M3363" s="23">
        <v>45</v>
      </c>
      <c r="N3363" s="23">
        <v>1</v>
      </c>
      <c r="O3363" s="23">
        <v>4</v>
      </c>
      <c r="P3363" s="23"/>
      <c r="Q3363" s="23"/>
      <c r="R3363" s="23"/>
      <c r="S3363" s="23"/>
      <c r="T3363" s="23"/>
      <c r="U3363" s="23"/>
      <c r="V3363" s="23"/>
      <c r="W3363" s="23"/>
      <c r="X3363" s="23"/>
      <c r="Y3363" s="23">
        <v>9</v>
      </c>
      <c r="Z3363" s="23"/>
      <c r="AA3363" s="23"/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59</v>
      </c>
      <c r="AL3363" s="23"/>
      <c r="AM3363" s="23"/>
      <c r="AN3363" s="23"/>
      <c r="AO3363" s="23">
        <v>16</v>
      </c>
      <c r="AP3363" s="23">
        <v>14</v>
      </c>
      <c r="AQ3363" s="23">
        <v>9</v>
      </c>
      <c r="AR3363" s="23">
        <v>18</v>
      </c>
      <c r="AS3363" s="23"/>
      <c r="AT3363" s="23">
        <v>2</v>
      </c>
      <c r="AU3363" s="14" t="str">
        <f>HYPERLINK("http://www.openstreetmap.org/?mlat=35.3635&amp;mlon=45.8686&amp;zoom=12#map=12/35.3635/45.8686","Maplink1")</f>
        <v>Maplink1</v>
      </c>
      <c r="AV3363" s="14" t="str">
        <f>HYPERLINK("https://www.google.iq/maps/search/+35.3635,45.8686/@35.3635,45.8686,14z?hl=en","Maplink2")</f>
        <v>Maplink2</v>
      </c>
      <c r="AW3363" s="14" t="str">
        <f>HYPERLINK("http://www.bing.com/maps/?lvl=14&amp;sty=h&amp;cp=35.3635~45.8686&amp;sp=point.35.3635_45.8686_Shikhan","Maplink3")</f>
        <v>Maplink3</v>
      </c>
    </row>
    <row r="3364" spans="1:49" ht="15" customHeight="1" x14ac:dyDescent="0.25">
      <c r="A3364" s="21">
        <v>6209</v>
      </c>
      <c r="B3364" s="22" t="s">
        <v>24</v>
      </c>
      <c r="C3364" s="22" t="s">
        <v>6407</v>
      </c>
      <c r="D3364" s="22" t="s">
        <v>3457</v>
      </c>
      <c r="E3364" s="22" t="s">
        <v>3458</v>
      </c>
      <c r="F3364" s="22">
        <v>35.254300000000001</v>
      </c>
      <c r="G3364" s="22">
        <v>45.938699999999997</v>
      </c>
      <c r="H3364" s="21" t="s">
        <v>6283</v>
      </c>
      <c r="I3364" s="21" t="s">
        <v>6410</v>
      </c>
      <c r="J3364" s="21" t="s">
        <v>6478</v>
      </c>
      <c r="K3364" s="24">
        <v>143</v>
      </c>
      <c r="L3364" s="24">
        <v>858</v>
      </c>
      <c r="M3364" s="23">
        <v>22</v>
      </c>
      <c r="N3364" s="23">
        <v>16</v>
      </c>
      <c r="O3364" s="23">
        <v>36</v>
      </c>
      <c r="P3364" s="23"/>
      <c r="Q3364" s="23"/>
      <c r="R3364" s="23">
        <v>51</v>
      </c>
      <c r="S3364" s="23"/>
      <c r="T3364" s="23"/>
      <c r="U3364" s="23"/>
      <c r="V3364" s="23"/>
      <c r="W3364" s="23"/>
      <c r="X3364" s="23"/>
      <c r="Y3364" s="23"/>
      <c r="Z3364" s="23"/>
      <c r="AA3364" s="23">
        <v>18</v>
      </c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143</v>
      </c>
      <c r="AL3364" s="23"/>
      <c r="AM3364" s="23"/>
      <c r="AN3364" s="23"/>
      <c r="AO3364" s="23">
        <v>31</v>
      </c>
      <c r="AP3364" s="23">
        <v>32</v>
      </c>
      <c r="AQ3364" s="23">
        <v>18</v>
      </c>
      <c r="AR3364" s="23">
        <v>28</v>
      </c>
      <c r="AS3364" s="23">
        <v>33</v>
      </c>
      <c r="AT3364" s="23">
        <v>1</v>
      </c>
      <c r="AU3364" s="14" t="str">
        <f>HYPERLINK("http://www.openstreetmap.org/?mlat=35.2543&amp;mlon=45.9387&amp;zoom=12#map=12/35.2543/45.9387","Maplink1")</f>
        <v>Maplink1</v>
      </c>
      <c r="AV3364" s="14" t="str">
        <f>HYPERLINK("https://www.google.iq/maps/search/+35.2543,45.9387/@35.2543,45.9387,14z?hl=en","Maplink2")</f>
        <v>Maplink2</v>
      </c>
      <c r="AW3364" s="14" t="str">
        <f>HYPERLINK("http://www.bing.com/maps/?lvl=14&amp;sty=h&amp;cp=35.2543~45.9387&amp;sp=point.35.2543_45.9387_Sirwan","Maplink3")</f>
        <v>Maplink3</v>
      </c>
    </row>
    <row r="3365" spans="1:49" ht="15" customHeight="1" x14ac:dyDescent="0.25">
      <c r="A3365" s="21">
        <v>23079</v>
      </c>
      <c r="B3365" s="22" t="s">
        <v>24</v>
      </c>
      <c r="C3365" s="22" t="s">
        <v>6407</v>
      </c>
      <c r="D3365" s="22" t="s">
        <v>6479</v>
      </c>
      <c r="E3365" s="22" t="s">
        <v>6480</v>
      </c>
      <c r="F3365" s="22">
        <v>35.320729999999998</v>
      </c>
      <c r="G3365" s="22">
        <v>45.698340000000002</v>
      </c>
      <c r="H3365" s="21" t="s">
        <v>6283</v>
      </c>
      <c r="I3365" s="21" t="s">
        <v>6410</v>
      </c>
      <c r="J3365" s="21" t="s">
        <v>6481</v>
      </c>
      <c r="K3365" s="24">
        <v>84</v>
      </c>
      <c r="L3365" s="24">
        <v>504</v>
      </c>
      <c r="M3365" s="23">
        <v>76</v>
      </c>
      <c r="N3365" s="23"/>
      <c r="O3365" s="23">
        <v>5</v>
      </c>
      <c r="P3365" s="23"/>
      <c r="Q3365" s="23"/>
      <c r="R3365" s="23">
        <v>3</v>
      </c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84</v>
      </c>
      <c r="AL3365" s="23"/>
      <c r="AM3365" s="23"/>
      <c r="AN3365" s="23"/>
      <c r="AO3365" s="23">
        <v>19</v>
      </c>
      <c r="AP3365" s="23">
        <v>11</v>
      </c>
      <c r="AQ3365" s="23"/>
      <c r="AR3365" s="23">
        <v>22</v>
      </c>
      <c r="AS3365" s="23">
        <v>29</v>
      </c>
      <c r="AT3365" s="23">
        <v>3</v>
      </c>
      <c r="AU3365" s="14" t="str">
        <f>HYPERLINK("http://www.openstreetmap.org/?mlat=35.3207&amp;mlon=45.6983&amp;zoom=12#map=12/35.3207/45.6983","Maplink1")</f>
        <v>Maplink1</v>
      </c>
      <c r="AV3365" s="14" t="str">
        <f>HYPERLINK("https://www.google.iq/maps/search/+35.3207,45.6983/@35.3207,45.6983,14z?hl=en","Maplink2")</f>
        <v>Maplink2</v>
      </c>
      <c r="AW3365" s="14" t="str">
        <f>HYPERLINK("http://www.bing.com/maps/?lvl=14&amp;sty=h&amp;cp=35.3207~45.6983&amp;sp=point.35.3207_45.6983_Soreen","Maplink3")</f>
        <v>Maplink3</v>
      </c>
    </row>
    <row r="3366" spans="1:49" ht="15" customHeight="1" x14ac:dyDescent="0.25">
      <c r="A3366" s="21">
        <v>24891</v>
      </c>
      <c r="B3366" s="22" t="s">
        <v>24</v>
      </c>
      <c r="C3366" s="22" t="s">
        <v>6482</v>
      </c>
      <c r="D3366" s="22" t="s">
        <v>2828</v>
      </c>
      <c r="E3366" s="22" t="s">
        <v>3728</v>
      </c>
      <c r="F3366" s="22">
        <v>34.627459999999999</v>
      </c>
      <c r="G3366" s="22">
        <v>45.333849999999998</v>
      </c>
      <c r="H3366" s="21" t="s">
        <v>6283</v>
      </c>
      <c r="I3366" s="21" t="s">
        <v>6483</v>
      </c>
      <c r="J3366" s="21"/>
      <c r="K3366" s="24">
        <v>62</v>
      </c>
      <c r="L3366" s="24">
        <v>372</v>
      </c>
      <c r="M3366" s="23">
        <v>29</v>
      </c>
      <c r="N3366" s="23"/>
      <c r="O3366" s="23"/>
      <c r="P3366" s="23"/>
      <c r="Q3366" s="23"/>
      <c r="R3366" s="23">
        <v>33</v>
      </c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62</v>
      </c>
      <c r="AL3366" s="23"/>
      <c r="AM3366" s="23"/>
      <c r="AN3366" s="23"/>
      <c r="AO3366" s="23">
        <v>8</v>
      </c>
      <c r="AP3366" s="23">
        <v>35</v>
      </c>
      <c r="AQ3366" s="23">
        <v>4</v>
      </c>
      <c r="AR3366" s="23">
        <v>6</v>
      </c>
      <c r="AS3366" s="23">
        <v>6</v>
      </c>
      <c r="AT3366" s="23">
        <v>3</v>
      </c>
      <c r="AU3366" s="14" t="str">
        <f>HYPERLINK("http://www.openstreetmap.org/?mlat=34.6275&amp;mlon=45.3338&amp;zoom=12#map=12/34.6275/45.3338","Maplink1")</f>
        <v>Maplink1</v>
      </c>
      <c r="AV3366" s="14" t="str">
        <f>HYPERLINK("https://www.google.iq/maps/search/+34.6275,45.3338/@34.6275,45.3338,14z?hl=en","Maplink2")</f>
        <v>Maplink2</v>
      </c>
      <c r="AW3366" s="14" t="str">
        <f>HYPERLINK("http://www.bing.com/maps/?lvl=14&amp;sty=h&amp;cp=34.6275~45.3338&amp;sp=point.34.6275_45.3338_Azadi","Maplink3")</f>
        <v>Maplink3</v>
      </c>
    </row>
    <row r="3367" spans="1:49" ht="15" customHeight="1" x14ac:dyDescent="0.25">
      <c r="A3367" s="21">
        <v>24886</v>
      </c>
      <c r="B3367" s="22" t="s">
        <v>24</v>
      </c>
      <c r="C3367" s="22" t="s">
        <v>6482</v>
      </c>
      <c r="D3367" s="22" t="s">
        <v>6484</v>
      </c>
      <c r="E3367" s="22" t="s">
        <v>6485</v>
      </c>
      <c r="F3367" s="22">
        <v>34.544269999999997</v>
      </c>
      <c r="G3367" s="22">
        <v>45.239800000000002</v>
      </c>
      <c r="H3367" s="21" t="s">
        <v>6283</v>
      </c>
      <c r="I3367" s="21" t="s">
        <v>6483</v>
      </c>
      <c r="J3367" s="21"/>
      <c r="K3367" s="24">
        <v>56</v>
      </c>
      <c r="L3367" s="24">
        <v>336</v>
      </c>
      <c r="M3367" s="23"/>
      <c r="N3367" s="23"/>
      <c r="O3367" s="23"/>
      <c r="P3367" s="23"/>
      <c r="Q3367" s="23"/>
      <c r="R3367" s="23">
        <v>56</v>
      </c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56</v>
      </c>
      <c r="AL3367" s="23"/>
      <c r="AM3367" s="23"/>
      <c r="AN3367" s="23"/>
      <c r="AO3367" s="23"/>
      <c r="AP3367" s="23">
        <v>49</v>
      </c>
      <c r="AQ3367" s="23"/>
      <c r="AR3367" s="23">
        <v>7</v>
      </c>
      <c r="AS3367" s="23"/>
      <c r="AT3367" s="23"/>
      <c r="AU3367" s="14" t="str">
        <f>HYPERLINK("http://www.openstreetmap.org/?mlat=34.5484&amp;mlon=45.2467&amp;zoom=12#map=12/34.5484/45.2467","Maplink1")</f>
        <v>Maplink1</v>
      </c>
      <c r="AV3367" s="14" t="str">
        <f>HYPERLINK("https://www.google.iq/maps/search/+34.5484,45.2467/@34.5484,45.2467,14z?hl=en","Maplink2")</f>
        <v>Maplink2</v>
      </c>
      <c r="AW3367" s="14" t="str">
        <f>HYPERLINK("http://www.bing.com/maps/?lvl=14&amp;sty=h&amp;cp=34.5484~45.2467&amp;sp=point.34.5484_45.2467_Ban Asiaw","Maplink3")</f>
        <v>Maplink3</v>
      </c>
    </row>
    <row r="3368" spans="1:49" ht="15" customHeight="1" x14ac:dyDescent="0.25">
      <c r="A3368" s="21">
        <v>3939</v>
      </c>
      <c r="B3368" s="22" t="s">
        <v>24</v>
      </c>
      <c r="C3368" s="22" t="s">
        <v>6482</v>
      </c>
      <c r="D3368" s="22" t="s">
        <v>6486</v>
      </c>
      <c r="E3368" s="22" t="s">
        <v>6487</v>
      </c>
      <c r="F3368" s="22">
        <v>34.641559999999998</v>
      </c>
      <c r="G3368" s="22">
        <v>45.347549999999998</v>
      </c>
      <c r="H3368" s="21" t="s">
        <v>6283</v>
      </c>
      <c r="I3368" s="21" t="s">
        <v>6483</v>
      </c>
      <c r="J3368" s="21" t="s">
        <v>6488</v>
      </c>
      <c r="K3368" s="24">
        <v>46</v>
      </c>
      <c r="L3368" s="24">
        <v>276</v>
      </c>
      <c r="M3368" s="23">
        <v>23</v>
      </c>
      <c r="N3368" s="23"/>
      <c r="O3368" s="23"/>
      <c r="P3368" s="23"/>
      <c r="Q3368" s="23"/>
      <c r="R3368" s="23">
        <v>23</v>
      </c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>
        <v>46</v>
      </c>
      <c r="AL3368" s="23"/>
      <c r="AM3368" s="23"/>
      <c r="AN3368" s="23"/>
      <c r="AO3368" s="23">
        <v>4</v>
      </c>
      <c r="AP3368" s="23">
        <v>23</v>
      </c>
      <c r="AQ3368" s="23">
        <v>4</v>
      </c>
      <c r="AR3368" s="23">
        <v>7</v>
      </c>
      <c r="AS3368" s="23">
        <v>8</v>
      </c>
      <c r="AT3368" s="23"/>
      <c r="AU3368" s="14" t="str">
        <f>HYPERLINK("http://www.openstreetmap.org/?mlat=34.6416&amp;mlon=45.3475&amp;zoom=12#map=12/34.6416/45.3475","Maplink1")</f>
        <v>Maplink1</v>
      </c>
      <c r="AV3368" s="14" t="str">
        <f>HYPERLINK("https://www.google.iq/maps/search/+34.6416,45.3475/@34.6416,45.3475,14z?hl=en","Maplink2")</f>
        <v>Maplink2</v>
      </c>
      <c r="AW3368" s="14" t="str">
        <f>HYPERLINK("http://www.bing.com/maps/?lvl=14&amp;sty=h&amp;cp=34.6416~45.3475&amp;sp=point.34.6416_45.3475_Barda Sur","Maplink3")</f>
        <v>Maplink3</v>
      </c>
    </row>
    <row r="3369" spans="1:49" ht="15" customHeight="1" x14ac:dyDescent="0.25">
      <c r="A3369" s="21">
        <v>23768</v>
      </c>
      <c r="B3369" s="22" t="s">
        <v>24</v>
      </c>
      <c r="C3369" s="22" t="s">
        <v>6482</v>
      </c>
      <c r="D3369" s="22" t="s">
        <v>6489</v>
      </c>
      <c r="E3369" s="22" t="s">
        <v>6490</v>
      </c>
      <c r="F3369" s="22">
        <v>34.614080000000001</v>
      </c>
      <c r="G3369" s="22">
        <v>45.315620000000003</v>
      </c>
      <c r="H3369" s="21" t="s">
        <v>6283</v>
      </c>
      <c r="I3369" s="21" t="s">
        <v>6483</v>
      </c>
      <c r="J3369" s="21" t="s">
        <v>6491</v>
      </c>
      <c r="K3369" s="24">
        <v>149</v>
      </c>
      <c r="L3369" s="24">
        <v>894</v>
      </c>
      <c r="M3369" s="23">
        <v>80</v>
      </c>
      <c r="N3369" s="23"/>
      <c r="O3369" s="23"/>
      <c r="P3369" s="23"/>
      <c r="Q3369" s="23"/>
      <c r="R3369" s="23">
        <v>69</v>
      </c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>
        <v>149</v>
      </c>
      <c r="AL3369" s="23"/>
      <c r="AM3369" s="23"/>
      <c r="AN3369" s="23"/>
      <c r="AO3369" s="23">
        <v>43</v>
      </c>
      <c r="AP3369" s="23"/>
      <c r="AQ3369" s="23"/>
      <c r="AR3369" s="23">
        <v>92</v>
      </c>
      <c r="AS3369" s="23">
        <v>14</v>
      </c>
      <c r="AT3369" s="23"/>
      <c r="AU3369" s="14" t="str">
        <f>HYPERLINK("http://www.openstreetmap.org/?mlat=34.6141&amp;mlon=45.3156&amp;zoom=12#map=12/34.6141/45.3156","Maplink1")</f>
        <v>Maplink1</v>
      </c>
      <c r="AV3369" s="14" t="str">
        <f>HYPERLINK("https://www.google.iq/maps/search/+34.6141,45.3156/@34.6141,45.3156,14z?hl=en","Maplink2")</f>
        <v>Maplink2</v>
      </c>
      <c r="AW3369" s="14" t="str">
        <f>HYPERLINK("http://www.bing.com/maps/?lvl=14&amp;sty=h&amp;cp=34.6141~45.3156&amp;sp=point.34.6141_45.3156_Bingrd","Maplink3")</f>
        <v>Maplink3</v>
      </c>
    </row>
    <row r="3370" spans="1:49" ht="15" customHeight="1" x14ac:dyDescent="0.25">
      <c r="A3370" s="21">
        <v>6285</v>
      </c>
      <c r="B3370" s="22" t="s">
        <v>24</v>
      </c>
      <c r="C3370" s="22" t="s">
        <v>6482</v>
      </c>
      <c r="D3370" s="22" t="s">
        <v>6367</v>
      </c>
      <c r="E3370" s="22" t="s">
        <v>6368</v>
      </c>
      <c r="F3370" s="22">
        <v>34.793999999999997</v>
      </c>
      <c r="G3370" s="22">
        <v>45.191079000000002</v>
      </c>
      <c r="H3370" s="21" t="s">
        <v>6283</v>
      </c>
      <c r="I3370" s="21" t="s">
        <v>6483</v>
      </c>
      <c r="J3370" s="21" t="s">
        <v>6492</v>
      </c>
      <c r="K3370" s="24">
        <v>154</v>
      </c>
      <c r="L3370" s="24">
        <v>924</v>
      </c>
      <c r="M3370" s="23">
        <v>54</v>
      </c>
      <c r="N3370" s="23"/>
      <c r="O3370" s="23"/>
      <c r="P3370" s="23"/>
      <c r="Q3370" s="23"/>
      <c r="R3370" s="23">
        <v>100</v>
      </c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>
        <v>154</v>
      </c>
      <c r="AL3370" s="23"/>
      <c r="AM3370" s="23"/>
      <c r="AN3370" s="23"/>
      <c r="AO3370" s="23">
        <v>2</v>
      </c>
      <c r="AP3370" s="23">
        <v>52</v>
      </c>
      <c r="AQ3370" s="23"/>
      <c r="AR3370" s="23">
        <v>71</v>
      </c>
      <c r="AS3370" s="23">
        <v>27</v>
      </c>
      <c r="AT3370" s="23">
        <v>2</v>
      </c>
      <c r="AU3370" s="14" t="str">
        <f>HYPERLINK("http://www.openstreetmap.org/?mlat=34.794&amp;mlon=45.1911&amp;zoom=12#map=12/34.794/45.1911","Maplink1")</f>
        <v>Maplink1</v>
      </c>
      <c r="AV3370" s="14" t="str">
        <f>HYPERLINK("https://www.google.iq/maps/search/+34.794,45.1911/@34.794,45.1911,14z?hl=en","Maplink2")</f>
        <v>Maplink2</v>
      </c>
      <c r="AW3370" s="14" t="str">
        <f>HYPERLINK("http://www.bing.com/maps/?lvl=14&amp;sty=h&amp;cp=34.794~45.1911&amp;sp=point.34.794_45.1911_Farmanbaran","Maplink3")</f>
        <v>Maplink3</v>
      </c>
    </row>
    <row r="3371" spans="1:49" ht="15" customHeight="1" x14ac:dyDescent="0.25">
      <c r="A3371" s="21">
        <v>23767</v>
      </c>
      <c r="B3371" s="22" t="s">
        <v>24</v>
      </c>
      <c r="C3371" s="22" t="s">
        <v>6482</v>
      </c>
      <c r="D3371" s="22" t="s">
        <v>6493</v>
      </c>
      <c r="E3371" s="22" t="s">
        <v>6494</v>
      </c>
      <c r="F3371" s="22">
        <v>34.62885</v>
      </c>
      <c r="G3371" s="22">
        <v>45.338459999999998</v>
      </c>
      <c r="H3371" s="21" t="s">
        <v>6283</v>
      </c>
      <c r="I3371" s="21" t="s">
        <v>6483</v>
      </c>
      <c r="J3371" s="21" t="s">
        <v>6495</v>
      </c>
      <c r="K3371" s="24">
        <v>42</v>
      </c>
      <c r="L3371" s="24">
        <v>252</v>
      </c>
      <c r="M3371" s="23">
        <v>23</v>
      </c>
      <c r="N3371" s="23"/>
      <c r="O3371" s="23"/>
      <c r="P3371" s="23"/>
      <c r="Q3371" s="23"/>
      <c r="R3371" s="23">
        <v>19</v>
      </c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42</v>
      </c>
      <c r="AL3371" s="23"/>
      <c r="AM3371" s="23"/>
      <c r="AN3371" s="23"/>
      <c r="AO3371" s="23">
        <v>17</v>
      </c>
      <c r="AP3371" s="23">
        <v>13</v>
      </c>
      <c r="AQ3371" s="23">
        <v>4</v>
      </c>
      <c r="AR3371" s="23">
        <v>3</v>
      </c>
      <c r="AS3371" s="23">
        <v>5</v>
      </c>
      <c r="AT3371" s="23"/>
      <c r="AU3371" s="14" t="str">
        <f>HYPERLINK("http://www.openstreetmap.org/?mlat=34.6289&amp;mlon=45.3385&amp;zoom=12#map=12/34.6289/45.3385","Maplink1")</f>
        <v>Maplink1</v>
      </c>
      <c r="AV3371" s="14" t="str">
        <f>HYPERLINK("https://www.google.iq/maps/search/+34.6289,45.3385/@34.6289,45.3385,14z?hl=en","Maplink2")</f>
        <v>Maplink2</v>
      </c>
      <c r="AW3371" s="14" t="str">
        <f>HYPERLINK("http://www.bing.com/maps/?lvl=14&amp;sty=h&amp;cp=34.6289~45.3385&amp;sp=point.34.6289_45.3385_Gazino","Maplink3")</f>
        <v>Maplink3</v>
      </c>
    </row>
    <row r="3372" spans="1:49" ht="15" customHeight="1" x14ac:dyDescent="0.25">
      <c r="A3372" s="21">
        <v>5995</v>
      </c>
      <c r="B3372" s="22" t="s">
        <v>24</v>
      </c>
      <c r="C3372" s="22" t="s">
        <v>6482</v>
      </c>
      <c r="D3372" s="22" t="s">
        <v>6496</v>
      </c>
      <c r="E3372" s="22" t="s">
        <v>6497</v>
      </c>
      <c r="F3372" s="22">
        <v>34.58728</v>
      </c>
      <c r="G3372" s="22">
        <v>45.292310000000001</v>
      </c>
      <c r="H3372" s="21" t="s">
        <v>6283</v>
      </c>
      <c r="I3372" s="21" t="s">
        <v>6483</v>
      </c>
      <c r="J3372" s="21" t="s">
        <v>6498</v>
      </c>
      <c r="K3372" s="24">
        <v>43</v>
      </c>
      <c r="L3372" s="24">
        <v>258</v>
      </c>
      <c r="M3372" s="23">
        <v>9</v>
      </c>
      <c r="N3372" s="23"/>
      <c r="O3372" s="23"/>
      <c r="P3372" s="23"/>
      <c r="Q3372" s="23"/>
      <c r="R3372" s="23">
        <v>32</v>
      </c>
      <c r="S3372" s="23"/>
      <c r="T3372" s="23"/>
      <c r="U3372" s="23"/>
      <c r="V3372" s="23"/>
      <c r="W3372" s="23"/>
      <c r="X3372" s="23"/>
      <c r="Y3372" s="23"/>
      <c r="Z3372" s="23"/>
      <c r="AA3372" s="23">
        <v>2</v>
      </c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43</v>
      </c>
      <c r="AL3372" s="23"/>
      <c r="AM3372" s="23"/>
      <c r="AN3372" s="23"/>
      <c r="AO3372" s="23">
        <v>2</v>
      </c>
      <c r="AP3372" s="23">
        <v>22</v>
      </c>
      <c r="AQ3372" s="23">
        <v>8</v>
      </c>
      <c r="AR3372" s="23">
        <v>4</v>
      </c>
      <c r="AS3372" s="23">
        <v>7</v>
      </c>
      <c r="AT3372" s="23"/>
      <c r="AU3372" s="14" t="str">
        <f>HYPERLINK("http://www.openstreetmap.org/?mlat=34.58&amp;mlon=45.29&amp;zoom=12#map=12/34.58/45.29","Maplink1")</f>
        <v>Maplink1</v>
      </c>
      <c r="AV3372" s="14" t="str">
        <f>HYPERLINK("https://www.google.iq/maps/search/+34.58,45.29/@34.58,45.29,14z?hl=en","Maplink2")</f>
        <v>Maplink2</v>
      </c>
      <c r="AW3372" s="14" t="str">
        <f>HYPERLINK("http://www.bing.com/maps/?lvl=14&amp;sty=h&amp;cp=34.58~45.29&amp;sp=point.34.58_45.29_Grda Gozina","Maplink3")</f>
        <v>Maplink3</v>
      </c>
    </row>
    <row r="3373" spans="1:49" ht="15" customHeight="1" x14ac:dyDescent="0.25">
      <c r="A3373" s="21">
        <v>24892</v>
      </c>
      <c r="B3373" s="22" t="s">
        <v>24</v>
      </c>
      <c r="C3373" s="22" t="s">
        <v>6482</v>
      </c>
      <c r="D3373" s="22" t="s">
        <v>6499</v>
      </c>
      <c r="E3373" s="22" t="s">
        <v>6500</v>
      </c>
      <c r="F3373" s="22">
        <v>34.616750000000003</v>
      </c>
      <c r="G3373" s="22">
        <v>45.309669999999997</v>
      </c>
      <c r="H3373" s="21" t="s">
        <v>6283</v>
      </c>
      <c r="I3373" s="21" t="s">
        <v>6483</v>
      </c>
      <c r="J3373" s="21"/>
      <c r="K3373" s="24">
        <v>52</v>
      </c>
      <c r="L3373" s="24">
        <v>312</v>
      </c>
      <c r="M3373" s="23">
        <v>8</v>
      </c>
      <c r="N3373" s="23"/>
      <c r="O3373" s="23"/>
      <c r="P3373" s="23"/>
      <c r="Q3373" s="23"/>
      <c r="R3373" s="23">
        <v>44</v>
      </c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52</v>
      </c>
      <c r="AL3373" s="23"/>
      <c r="AM3373" s="23"/>
      <c r="AN3373" s="23"/>
      <c r="AO3373" s="23"/>
      <c r="AP3373" s="23">
        <v>47</v>
      </c>
      <c r="AQ3373" s="23"/>
      <c r="AR3373" s="23">
        <v>5</v>
      </c>
      <c r="AS3373" s="23"/>
      <c r="AT3373" s="23"/>
      <c r="AU3373" s="14" t="str">
        <f>HYPERLINK("http://www.openstreetmap.org/?mlat=34.6168&amp;mlon=45.3097&amp;zoom=12#map=12/34.6168/45.3097","Maplink1")</f>
        <v>Maplink1</v>
      </c>
      <c r="AV3373" s="14" t="str">
        <f>HYPERLINK("https://www.google.iq/maps/search/+34.6168,45.3097/@34.6168,45.3097,14z?hl=en","Maplink2")</f>
        <v>Maplink2</v>
      </c>
      <c r="AW3373" s="14" t="str">
        <f>HYPERLINK("http://www.bing.com/maps/?lvl=14&amp;sty=h&amp;cp=34.6168~45.3097&amp;sp=point.34.6168_45.3097_Hamren","Maplink3")</f>
        <v>Maplink3</v>
      </c>
    </row>
    <row r="3374" spans="1:49" ht="15" customHeight="1" x14ac:dyDescent="0.25">
      <c r="A3374" s="21">
        <v>6286</v>
      </c>
      <c r="B3374" s="22" t="s">
        <v>24</v>
      </c>
      <c r="C3374" s="22" t="s">
        <v>6482</v>
      </c>
      <c r="D3374" s="22" t="s">
        <v>6501</v>
      </c>
      <c r="E3374" s="22" t="s">
        <v>6502</v>
      </c>
      <c r="F3374" s="22">
        <v>34.793999999999997</v>
      </c>
      <c r="G3374" s="22">
        <v>45.301200999999999</v>
      </c>
      <c r="H3374" s="21" t="s">
        <v>6283</v>
      </c>
      <c r="I3374" s="21" t="s">
        <v>6483</v>
      </c>
      <c r="J3374" s="21" t="s">
        <v>6503</v>
      </c>
      <c r="K3374" s="24">
        <v>166</v>
      </c>
      <c r="L3374" s="24">
        <v>996</v>
      </c>
      <c r="M3374" s="23">
        <v>33</v>
      </c>
      <c r="N3374" s="23"/>
      <c r="O3374" s="23"/>
      <c r="P3374" s="23"/>
      <c r="Q3374" s="23"/>
      <c r="R3374" s="23">
        <v>126</v>
      </c>
      <c r="S3374" s="23"/>
      <c r="T3374" s="23"/>
      <c r="U3374" s="23"/>
      <c r="V3374" s="23"/>
      <c r="W3374" s="23"/>
      <c r="X3374" s="23"/>
      <c r="Y3374" s="23">
        <v>7</v>
      </c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>
        <v>166</v>
      </c>
      <c r="AL3374" s="23"/>
      <c r="AM3374" s="23"/>
      <c r="AN3374" s="23"/>
      <c r="AO3374" s="23">
        <v>21</v>
      </c>
      <c r="AP3374" s="23">
        <v>68</v>
      </c>
      <c r="AQ3374" s="23">
        <v>50</v>
      </c>
      <c r="AR3374" s="23">
        <v>18</v>
      </c>
      <c r="AS3374" s="23">
        <v>9</v>
      </c>
      <c r="AT3374" s="23"/>
      <c r="AU3374" s="14" t="str">
        <f>HYPERLINK("http://www.openstreetmap.org/?mlat=34.794&amp;mlon=45.3012&amp;zoom=12#map=12/34.794/45.3012","Maplink1")</f>
        <v>Maplink1</v>
      </c>
      <c r="AV3374" s="14" t="str">
        <f>HYPERLINK("https://www.google.iq/maps/search/+34.794,45.3012/@34.794,45.3012,14z?hl=en","Maplink2")</f>
        <v>Maplink2</v>
      </c>
      <c r="AW3374" s="14" t="str">
        <f>HYPERLINK("http://www.bing.com/maps/?lvl=14&amp;sty=h&amp;cp=34.794~45.3012&amp;sp=point.34.794_45.3012_Kalar Kon","Maplink3")</f>
        <v>Maplink3</v>
      </c>
    </row>
    <row r="3375" spans="1:49" ht="15" customHeight="1" x14ac:dyDescent="0.25">
      <c r="A3375" s="21">
        <v>24887</v>
      </c>
      <c r="B3375" s="22" t="s">
        <v>24</v>
      </c>
      <c r="C3375" s="22" t="s">
        <v>6482</v>
      </c>
      <c r="D3375" s="22" t="s">
        <v>6505</v>
      </c>
      <c r="E3375" s="22" t="s">
        <v>9155</v>
      </c>
      <c r="F3375" s="22">
        <v>34.65587</v>
      </c>
      <c r="G3375" s="22">
        <v>45.238900000000001</v>
      </c>
      <c r="H3375" s="21" t="s">
        <v>6283</v>
      </c>
      <c r="I3375" s="21" t="s">
        <v>6483</v>
      </c>
      <c r="J3375" s="21"/>
      <c r="K3375" s="24">
        <v>840</v>
      </c>
      <c r="L3375" s="24">
        <v>5040</v>
      </c>
      <c r="M3375" s="23">
        <v>102</v>
      </c>
      <c r="N3375" s="23">
        <v>170</v>
      </c>
      <c r="O3375" s="23">
        <v>24</v>
      </c>
      <c r="P3375" s="23"/>
      <c r="Q3375" s="23"/>
      <c r="R3375" s="23">
        <v>509</v>
      </c>
      <c r="S3375" s="23"/>
      <c r="T3375" s="23"/>
      <c r="U3375" s="23"/>
      <c r="V3375" s="23"/>
      <c r="W3375" s="23"/>
      <c r="X3375" s="23"/>
      <c r="Y3375" s="23">
        <v>5</v>
      </c>
      <c r="Z3375" s="23"/>
      <c r="AA3375" s="23">
        <v>30</v>
      </c>
      <c r="AB3375" s="23"/>
      <c r="AC3375" s="23"/>
      <c r="AD3375" s="23"/>
      <c r="AE3375" s="23"/>
      <c r="AF3375" s="23"/>
      <c r="AG3375" s="23"/>
      <c r="AH3375" s="23"/>
      <c r="AI3375" s="23">
        <v>21</v>
      </c>
      <c r="AJ3375" s="23"/>
      <c r="AK3375" s="23">
        <v>819</v>
      </c>
      <c r="AL3375" s="23"/>
      <c r="AM3375" s="23"/>
      <c r="AN3375" s="23"/>
      <c r="AO3375" s="23">
        <v>18</v>
      </c>
      <c r="AP3375" s="23">
        <v>369</v>
      </c>
      <c r="AQ3375" s="23">
        <v>331</v>
      </c>
      <c r="AR3375" s="23">
        <v>79</v>
      </c>
      <c r="AS3375" s="23">
        <v>39</v>
      </c>
      <c r="AT3375" s="23">
        <v>4</v>
      </c>
      <c r="AU3375" s="14" t="str">
        <f>HYPERLINK("http://www.openstreetmap.org/?mlat=34.6559&amp;mlon=45.2389&amp;zoom=12#map=12/34.6559/45.2389","Maplink1")</f>
        <v>Maplink1</v>
      </c>
      <c r="AV3375" s="14" t="str">
        <f>HYPERLINK("https://www.google.iq/maps/search/+34.6559,45.2389/@34.6559,45.2389,14z?hl=en","Maplink2")</f>
        <v>Maplink2</v>
      </c>
      <c r="AW3375" s="14" t="str">
        <f>HYPERLINK("http://www.bing.com/maps/?lvl=14&amp;sty=h&amp;cp=34.6559~45.2389&amp;sp=point.34.6559_45.2389_Kalar-Rizgari","Maplink3")</f>
        <v>Maplink3</v>
      </c>
    </row>
    <row r="3376" spans="1:49" ht="15" customHeight="1" x14ac:dyDescent="0.25">
      <c r="A3376" s="21">
        <v>24893</v>
      </c>
      <c r="B3376" s="22" t="s">
        <v>24</v>
      </c>
      <c r="C3376" s="22" t="s">
        <v>6482</v>
      </c>
      <c r="D3376" s="22" t="s">
        <v>9156</v>
      </c>
      <c r="E3376" s="22" t="s">
        <v>6507</v>
      </c>
      <c r="F3376" s="22">
        <v>34.636710000000001</v>
      </c>
      <c r="G3376" s="22">
        <v>45.315100000000001</v>
      </c>
      <c r="H3376" s="21" t="s">
        <v>6283</v>
      </c>
      <c r="I3376" s="21" t="s">
        <v>6483</v>
      </c>
      <c r="J3376" s="21"/>
      <c r="K3376" s="24">
        <v>95</v>
      </c>
      <c r="L3376" s="24">
        <v>570</v>
      </c>
      <c r="M3376" s="23">
        <v>17</v>
      </c>
      <c r="N3376" s="23"/>
      <c r="O3376" s="23">
        <v>5</v>
      </c>
      <c r="P3376" s="23"/>
      <c r="Q3376" s="23"/>
      <c r="R3376" s="23">
        <v>73</v>
      </c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95</v>
      </c>
      <c r="AL3376" s="23"/>
      <c r="AM3376" s="23"/>
      <c r="AN3376" s="23"/>
      <c r="AO3376" s="23">
        <v>5</v>
      </c>
      <c r="AP3376" s="23">
        <v>81</v>
      </c>
      <c r="AQ3376" s="23"/>
      <c r="AR3376" s="23">
        <v>2</v>
      </c>
      <c r="AS3376" s="23">
        <v>7</v>
      </c>
      <c r="AT3376" s="23"/>
      <c r="AU3376" s="14" t="str">
        <f>HYPERLINK("http://www.openstreetmap.org/?mlat=34.6367&amp;mlon=45.3151&amp;zoom=12#map=12/34.6367/45.3151","Maplink1")</f>
        <v>Maplink1</v>
      </c>
      <c r="AV3376" s="14" t="str">
        <f>HYPERLINK("https://www.google.iq/maps/search/+34.6367,45.3151/@34.6367,45.3151,14z?hl=en","Maplink2")</f>
        <v>Maplink2</v>
      </c>
      <c r="AW3376" s="14" t="str">
        <f>HYPERLINK("http://www.bing.com/maps/?lvl=14&amp;sty=h&amp;cp=34.6367~45.3151&amp;sp=point.34.6367_45.3151_Kalari Nawa","Maplink3")</f>
        <v>Maplink3</v>
      </c>
    </row>
    <row r="3377" spans="1:49" ht="15" customHeight="1" x14ac:dyDescent="0.25">
      <c r="A3377" s="21">
        <v>3903</v>
      </c>
      <c r="B3377" s="22" t="s">
        <v>24</v>
      </c>
      <c r="C3377" s="22" t="s">
        <v>6482</v>
      </c>
      <c r="D3377" s="22" t="s">
        <v>6508</v>
      </c>
      <c r="E3377" s="22" t="s">
        <v>6509</v>
      </c>
      <c r="F3377" s="22">
        <v>34.467529999999996</v>
      </c>
      <c r="G3377" s="22">
        <v>45.165329999999997</v>
      </c>
      <c r="H3377" s="21" t="s">
        <v>6283</v>
      </c>
      <c r="I3377" s="21" t="s">
        <v>6483</v>
      </c>
      <c r="J3377" s="21" t="s">
        <v>6510</v>
      </c>
      <c r="K3377" s="24">
        <v>342</v>
      </c>
      <c r="L3377" s="24">
        <v>2052</v>
      </c>
      <c r="M3377" s="23">
        <v>1</v>
      </c>
      <c r="N3377" s="23"/>
      <c r="O3377" s="23">
        <v>3</v>
      </c>
      <c r="P3377" s="23"/>
      <c r="Q3377" s="23"/>
      <c r="R3377" s="23">
        <v>338</v>
      </c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>
        <v>335</v>
      </c>
      <c r="AL3377" s="23">
        <v>7</v>
      </c>
      <c r="AM3377" s="23"/>
      <c r="AN3377" s="23"/>
      <c r="AO3377" s="23">
        <v>132</v>
      </c>
      <c r="AP3377" s="23">
        <v>131</v>
      </c>
      <c r="AQ3377" s="23">
        <v>38</v>
      </c>
      <c r="AR3377" s="23">
        <v>19</v>
      </c>
      <c r="AS3377" s="23"/>
      <c r="AT3377" s="23">
        <v>22</v>
      </c>
      <c r="AU3377" s="14" t="str">
        <f>HYPERLINK("http://www.openstreetmap.org/?mlat=34.3643&amp;mlon=45.1681&amp;zoom=12#map=12/34.3643/45.1681","Maplink1")</f>
        <v>Maplink1</v>
      </c>
      <c r="AV3377" s="14" t="str">
        <f>HYPERLINK("https://www.google.iq/maps/search/+34.3643,45.1681/@34.3643,45.1681,14z?hl=en","Maplink2")</f>
        <v>Maplink2</v>
      </c>
      <c r="AW3377" s="14" t="str">
        <f>HYPERLINK("http://www.bing.com/maps/?lvl=14&amp;sty=h&amp;cp=34.3643~45.1681&amp;sp=point.34.3643_45.1681_Kulajo","Maplink3")</f>
        <v>Maplink3</v>
      </c>
    </row>
    <row r="3378" spans="1:49" ht="15" customHeight="1" x14ac:dyDescent="0.25">
      <c r="A3378" s="21">
        <v>5976</v>
      </c>
      <c r="B3378" s="22" t="s">
        <v>24</v>
      </c>
      <c r="C3378" s="22" t="s">
        <v>6482</v>
      </c>
      <c r="D3378" s="22" t="s">
        <v>6511</v>
      </c>
      <c r="E3378" s="22" t="s">
        <v>6512</v>
      </c>
      <c r="F3378" s="22">
        <v>34.824669999999998</v>
      </c>
      <c r="G3378" s="22">
        <v>45.507570000000001</v>
      </c>
      <c r="H3378" s="21" t="s">
        <v>6283</v>
      </c>
      <c r="I3378" s="21" t="s">
        <v>6483</v>
      </c>
      <c r="J3378" s="21" t="s">
        <v>6513</v>
      </c>
      <c r="K3378" s="24">
        <v>64</v>
      </c>
      <c r="L3378" s="24">
        <v>384</v>
      </c>
      <c r="M3378" s="23">
        <v>3</v>
      </c>
      <c r="N3378" s="23"/>
      <c r="O3378" s="23">
        <v>2</v>
      </c>
      <c r="P3378" s="23"/>
      <c r="Q3378" s="23"/>
      <c r="R3378" s="23">
        <v>59</v>
      </c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64</v>
      </c>
      <c r="AL3378" s="23"/>
      <c r="AM3378" s="23"/>
      <c r="AN3378" s="23"/>
      <c r="AO3378" s="23">
        <v>3</v>
      </c>
      <c r="AP3378" s="23">
        <v>10</v>
      </c>
      <c r="AQ3378" s="23">
        <v>21</v>
      </c>
      <c r="AR3378" s="23">
        <v>15</v>
      </c>
      <c r="AS3378" s="23">
        <v>15</v>
      </c>
      <c r="AT3378" s="23"/>
      <c r="AU3378" s="14" t="str">
        <f>HYPERLINK("http://www.openstreetmap.org/?mlat=34.93&amp;mlon=45.59&amp;zoom=12#map=12/34.93/45.59","Maplink1")</f>
        <v>Maplink1</v>
      </c>
      <c r="AV3378" s="14" t="str">
        <f>HYPERLINK("https://www.google.iq/maps/search/+34.93,45.59/@34.93,45.59,14z?hl=en","Maplink2")</f>
        <v>Maplink2</v>
      </c>
      <c r="AW3378" s="14" t="str">
        <f>HYPERLINK("http://www.bing.com/maps/?lvl=14&amp;sty=h&amp;cp=34.93~45.59&amp;sp=point.34.93_45.59_Pebaz","Maplink3")</f>
        <v>Maplink3</v>
      </c>
    </row>
    <row r="3379" spans="1:49" ht="15" customHeight="1" x14ac:dyDescent="0.25">
      <c r="A3379" s="21">
        <v>21983</v>
      </c>
      <c r="B3379" s="22" t="s">
        <v>24</v>
      </c>
      <c r="C3379" s="22" t="s">
        <v>6482</v>
      </c>
      <c r="D3379" s="22" t="s">
        <v>9157</v>
      </c>
      <c r="E3379" s="22" t="s">
        <v>3492</v>
      </c>
      <c r="F3379" s="22">
        <v>34.659444440000001</v>
      </c>
      <c r="G3379" s="22">
        <v>45.245277780000002</v>
      </c>
      <c r="H3379" s="21" t="s">
        <v>6283</v>
      </c>
      <c r="I3379" s="21" t="s">
        <v>6483</v>
      </c>
      <c r="J3379" s="21" t="s">
        <v>6504</v>
      </c>
      <c r="K3379" s="24">
        <v>93</v>
      </c>
      <c r="L3379" s="24">
        <v>558</v>
      </c>
      <c r="M3379" s="23">
        <v>32</v>
      </c>
      <c r="N3379" s="23"/>
      <c r="O3379" s="23"/>
      <c r="P3379" s="23"/>
      <c r="Q3379" s="23"/>
      <c r="R3379" s="23">
        <v>61</v>
      </c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>
        <v>93</v>
      </c>
      <c r="AL3379" s="23"/>
      <c r="AM3379" s="23"/>
      <c r="AN3379" s="23"/>
      <c r="AO3379" s="23">
        <v>4</v>
      </c>
      <c r="AP3379" s="23">
        <v>49</v>
      </c>
      <c r="AQ3379" s="23"/>
      <c r="AR3379" s="23">
        <v>36</v>
      </c>
      <c r="AS3379" s="23">
        <v>4</v>
      </c>
      <c r="AT3379" s="23"/>
      <c r="AU3379" s="14" t="str">
        <f>HYPERLINK("http://www.openstreetmap.org/?mlat=34.6594&amp;mlon=45.2453&amp;zoom=12#map=12/34.6594/45.2453","Maplink1")</f>
        <v>Maplink1</v>
      </c>
      <c r="AV3379" s="14" t="str">
        <f>HYPERLINK("https://www.google.iq/maps/search/+34.6594,45.2453/@34.6594,45.2453,14z?hl=en","Maplink2")</f>
        <v>Maplink2</v>
      </c>
      <c r="AW3379" s="14" t="str">
        <f>HYPERLINK("http://www.bing.com/maps/?lvl=14&amp;sty=h&amp;cp=34.6594~45.2453&amp;sp=point.34.6594_45.2453_Kalar-Raparin","Maplink3")</f>
        <v>Maplink3</v>
      </c>
    </row>
    <row r="3380" spans="1:49" ht="15" customHeight="1" x14ac:dyDescent="0.25">
      <c r="A3380" s="21">
        <v>23928</v>
      </c>
      <c r="B3380" s="22" t="s">
        <v>24</v>
      </c>
      <c r="C3380" s="22" t="s">
        <v>6482</v>
      </c>
      <c r="D3380" s="22" t="s">
        <v>2967</v>
      </c>
      <c r="E3380" s="22" t="s">
        <v>2968</v>
      </c>
      <c r="F3380" s="22">
        <v>34.673819999999999</v>
      </c>
      <c r="G3380" s="22">
        <v>45.396729999999998</v>
      </c>
      <c r="H3380" s="21" t="s">
        <v>6283</v>
      </c>
      <c r="I3380" s="21" t="s">
        <v>6483</v>
      </c>
      <c r="J3380" s="21" t="s">
        <v>6506</v>
      </c>
      <c r="K3380" s="24">
        <v>436</v>
      </c>
      <c r="L3380" s="24">
        <v>2616</v>
      </c>
      <c r="M3380" s="23">
        <v>60</v>
      </c>
      <c r="N3380" s="23"/>
      <c r="O3380" s="23">
        <v>19</v>
      </c>
      <c r="P3380" s="23"/>
      <c r="Q3380" s="23"/>
      <c r="R3380" s="23">
        <v>357</v>
      </c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>
        <v>436</v>
      </c>
      <c r="AL3380" s="23"/>
      <c r="AM3380" s="23"/>
      <c r="AN3380" s="23"/>
      <c r="AO3380" s="23">
        <v>40</v>
      </c>
      <c r="AP3380" s="23">
        <v>372</v>
      </c>
      <c r="AQ3380" s="23"/>
      <c r="AR3380" s="23">
        <v>15</v>
      </c>
      <c r="AS3380" s="23">
        <v>9</v>
      </c>
      <c r="AT3380" s="23"/>
      <c r="AU3380" s="14" t="str">
        <f>HYPERLINK("http://www.openstreetmap.org/?mlat=34.6738&amp;mlon=45.3967&amp;zoom=12#map=12/34.6738/45.3967","Maplink1")</f>
        <v>Maplink1</v>
      </c>
      <c r="AV3380" s="14" t="str">
        <f>HYPERLINK("https://www.google.iq/maps/search/+34.6738,45.3967/@34.6738,45.3967,14z?hl=en","Maplink2")</f>
        <v>Maplink2</v>
      </c>
      <c r="AW3380" s="14" t="str">
        <f>HYPERLINK("http://www.bing.com/maps/?lvl=14&amp;sty=h&amp;cp=34.6738~45.3967&amp;sp=point.34.6738_45.3967_Kalar-Shahidan","Maplink3")</f>
        <v>Maplink3</v>
      </c>
    </row>
    <row r="3381" spans="1:49" ht="15" customHeight="1" x14ac:dyDescent="0.25">
      <c r="A3381" s="21">
        <v>24962</v>
      </c>
      <c r="B3381" s="22" t="s">
        <v>24</v>
      </c>
      <c r="C3381" s="22" t="s">
        <v>6482</v>
      </c>
      <c r="D3381" s="22" t="s">
        <v>6514</v>
      </c>
      <c r="E3381" s="22" t="s">
        <v>3690</v>
      </c>
      <c r="F3381" s="22">
        <v>34.626179999999998</v>
      </c>
      <c r="G3381" s="22">
        <v>45.325360000000003</v>
      </c>
      <c r="H3381" s="21" t="s">
        <v>6283</v>
      </c>
      <c r="I3381" s="21" t="s">
        <v>6483</v>
      </c>
      <c r="J3381" s="21"/>
      <c r="K3381" s="24">
        <v>145</v>
      </c>
      <c r="L3381" s="24">
        <v>870</v>
      </c>
      <c r="M3381" s="23">
        <v>48</v>
      </c>
      <c r="N3381" s="23"/>
      <c r="O3381" s="23">
        <v>6</v>
      </c>
      <c r="P3381" s="23"/>
      <c r="Q3381" s="23"/>
      <c r="R3381" s="23">
        <v>89</v>
      </c>
      <c r="S3381" s="23"/>
      <c r="T3381" s="23"/>
      <c r="U3381" s="23"/>
      <c r="V3381" s="23"/>
      <c r="W3381" s="23"/>
      <c r="X3381" s="23"/>
      <c r="Y3381" s="23"/>
      <c r="Z3381" s="23"/>
      <c r="AA3381" s="23">
        <v>2</v>
      </c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145</v>
      </c>
      <c r="AL3381" s="23"/>
      <c r="AM3381" s="23"/>
      <c r="AN3381" s="23"/>
      <c r="AO3381" s="23">
        <v>28</v>
      </c>
      <c r="AP3381" s="23">
        <v>99</v>
      </c>
      <c r="AQ3381" s="23">
        <v>3</v>
      </c>
      <c r="AR3381" s="23">
        <v>10</v>
      </c>
      <c r="AS3381" s="23">
        <v>5</v>
      </c>
      <c r="AT3381" s="23"/>
      <c r="AU3381" s="14" t="str">
        <f>HYPERLINK("http://www.openstreetmap.org/?mlat=34.6262&amp;mlon=45.3254&amp;zoom=12#map=12/34.6262/45.3254","Maplink1")</f>
        <v>Maplink1</v>
      </c>
      <c r="AV3381" s="14" t="str">
        <f>HYPERLINK("https://www.google.iq/maps/search/+34.6262,45.3254/@34.6262,45.3254,14z?hl=en","Maplink2")</f>
        <v>Maplink2</v>
      </c>
      <c r="AW3381" s="14" t="str">
        <f>HYPERLINK("http://www.bing.com/maps/?lvl=14&amp;sty=h&amp;cp=34.6262~45.3254&amp;sp=point.34.6262_45.3254_Sharawani","Maplink3")</f>
        <v>Maplink3</v>
      </c>
    </row>
    <row r="3382" spans="1:49" ht="15" customHeight="1" x14ac:dyDescent="0.25">
      <c r="A3382" s="21">
        <v>6000</v>
      </c>
      <c r="B3382" s="22" t="s">
        <v>24</v>
      </c>
      <c r="C3382" s="22" t="s">
        <v>6482</v>
      </c>
      <c r="D3382" s="22" t="s">
        <v>6515</v>
      </c>
      <c r="E3382" s="22" t="s">
        <v>6516</v>
      </c>
      <c r="F3382" s="22">
        <v>34.552149999999997</v>
      </c>
      <c r="G3382" s="22">
        <v>45.249139999999997</v>
      </c>
      <c r="H3382" s="21" t="s">
        <v>6283</v>
      </c>
      <c r="I3382" s="21" t="s">
        <v>6483</v>
      </c>
      <c r="J3382" s="21" t="s">
        <v>6517</v>
      </c>
      <c r="K3382" s="24">
        <v>116</v>
      </c>
      <c r="L3382" s="24">
        <v>696</v>
      </c>
      <c r="M3382" s="23">
        <v>5</v>
      </c>
      <c r="N3382" s="23"/>
      <c r="O3382" s="23"/>
      <c r="P3382" s="23"/>
      <c r="Q3382" s="23"/>
      <c r="R3382" s="23">
        <v>111</v>
      </c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116</v>
      </c>
      <c r="AL3382" s="23"/>
      <c r="AM3382" s="23"/>
      <c r="AN3382" s="23"/>
      <c r="AO3382" s="23">
        <v>15</v>
      </c>
      <c r="AP3382" s="23">
        <v>38</v>
      </c>
      <c r="AQ3382" s="23">
        <v>37</v>
      </c>
      <c r="AR3382" s="23">
        <v>19</v>
      </c>
      <c r="AS3382" s="23"/>
      <c r="AT3382" s="23">
        <v>7</v>
      </c>
      <c r="AU3382" s="14" t="str">
        <f>HYPERLINK("http://www.openstreetmap.org/?mlat=34.53&amp;mlon=45.23&amp;zoom=12#map=12/34.53/45.23","Maplink1")</f>
        <v>Maplink1</v>
      </c>
      <c r="AV3382" s="14" t="str">
        <f>HYPERLINK("https://www.google.iq/maps/search/+34.53,45.23/@34.53,45.23,14z?hl=en","Maplink2")</f>
        <v>Maplink2</v>
      </c>
      <c r="AW3382" s="14" t="str">
        <f>HYPERLINK("http://www.bing.com/maps/?lvl=14&amp;sty=h&amp;cp=34.53~45.23&amp;sp=point.34.53_45.23_Shaykh Lankar","Maplink3")</f>
        <v>Maplink3</v>
      </c>
    </row>
    <row r="3383" spans="1:49" ht="15" customHeight="1" x14ac:dyDescent="0.25">
      <c r="A3383" s="21">
        <v>23769</v>
      </c>
      <c r="B3383" s="22" t="s">
        <v>24</v>
      </c>
      <c r="C3383" s="22" t="s">
        <v>6482</v>
      </c>
      <c r="D3383" s="22" t="s">
        <v>6518</v>
      </c>
      <c r="E3383" s="22" t="s">
        <v>6519</v>
      </c>
      <c r="F3383" s="22">
        <v>34.612279999999998</v>
      </c>
      <c r="G3383" s="22">
        <v>45.321809999999999</v>
      </c>
      <c r="H3383" s="21" t="s">
        <v>6283</v>
      </c>
      <c r="I3383" s="21" t="s">
        <v>6483</v>
      </c>
      <c r="J3383" s="21" t="s">
        <v>6520</v>
      </c>
      <c r="K3383" s="24">
        <v>33</v>
      </c>
      <c r="L3383" s="24">
        <v>198</v>
      </c>
      <c r="M3383" s="23">
        <v>5</v>
      </c>
      <c r="N3383" s="23"/>
      <c r="O3383" s="23"/>
      <c r="P3383" s="23"/>
      <c r="Q3383" s="23"/>
      <c r="R3383" s="23">
        <v>28</v>
      </c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33</v>
      </c>
      <c r="AL3383" s="23"/>
      <c r="AM3383" s="23"/>
      <c r="AN3383" s="23"/>
      <c r="AO3383" s="23">
        <v>5</v>
      </c>
      <c r="AP3383" s="23">
        <v>20</v>
      </c>
      <c r="AQ3383" s="23"/>
      <c r="AR3383" s="23">
        <v>8</v>
      </c>
      <c r="AS3383" s="23"/>
      <c r="AT3383" s="23"/>
      <c r="AU3383" s="14" t="str">
        <f>HYPERLINK("http://www.openstreetmap.org/?mlat=34.6123&amp;mlon=45.3218&amp;zoom=12#map=12/34.6123/45.3218","Maplink1")</f>
        <v>Maplink1</v>
      </c>
      <c r="AV3383" s="14" t="str">
        <f>HYPERLINK("https://www.google.iq/maps/search/+34.6123,45.3218/@34.6123,45.3218,14z?hl=en","Maplink2")</f>
        <v>Maplink2</v>
      </c>
      <c r="AW3383" s="14" t="str">
        <f>HYPERLINK("http://www.bing.com/maps/?lvl=14&amp;sty=h&amp;cp=34.6123~45.3218&amp;sp=point.34.6123_45.3218_Sherwana","Maplink3")</f>
        <v>Maplink3</v>
      </c>
    </row>
    <row r="3384" spans="1:49" ht="15" customHeight="1" x14ac:dyDescent="0.25">
      <c r="A3384" s="21">
        <v>24890</v>
      </c>
      <c r="B3384" s="22" t="s">
        <v>24</v>
      </c>
      <c r="C3384" s="22" t="s">
        <v>6482</v>
      </c>
      <c r="D3384" s="22" t="s">
        <v>3457</v>
      </c>
      <c r="E3384" s="22" t="s">
        <v>3458</v>
      </c>
      <c r="F3384" s="22">
        <v>34.621479999999998</v>
      </c>
      <c r="G3384" s="22">
        <v>45.329659999999997</v>
      </c>
      <c r="H3384" s="21" t="s">
        <v>6283</v>
      </c>
      <c r="I3384" s="21" t="s">
        <v>6483</v>
      </c>
      <c r="J3384" s="21"/>
      <c r="K3384" s="24">
        <v>140</v>
      </c>
      <c r="L3384" s="24">
        <v>840</v>
      </c>
      <c r="M3384" s="23">
        <v>19</v>
      </c>
      <c r="N3384" s="23"/>
      <c r="O3384" s="23">
        <v>6</v>
      </c>
      <c r="P3384" s="23"/>
      <c r="Q3384" s="23"/>
      <c r="R3384" s="23">
        <v>115</v>
      </c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140</v>
      </c>
      <c r="AL3384" s="23"/>
      <c r="AM3384" s="23"/>
      <c r="AN3384" s="23"/>
      <c r="AO3384" s="23">
        <v>5</v>
      </c>
      <c r="AP3384" s="23">
        <v>121</v>
      </c>
      <c r="AQ3384" s="23"/>
      <c r="AR3384" s="23">
        <v>9</v>
      </c>
      <c r="AS3384" s="23">
        <v>5</v>
      </c>
      <c r="AT3384" s="23"/>
      <c r="AU3384" s="14" t="str">
        <f>HYPERLINK("http://www.openstreetmap.org/?mlat=34.6215&amp;mlon=45.3297&amp;zoom=12#map=12/34.6215/45.3297","Maplink1")</f>
        <v>Maplink1</v>
      </c>
      <c r="AV3384" s="14" t="str">
        <f>HYPERLINK("https://www.google.iq/maps/search/+34.6215,45.3297/@34.6215,45.3297,14z?hl=en","Maplink2")</f>
        <v>Maplink2</v>
      </c>
      <c r="AW3384" s="14" t="str">
        <f>HYPERLINK("http://www.bing.com/maps/?lvl=14&amp;sty=h&amp;cp=34.6215~45.3297&amp;sp=point.34.6215_45.3297_Sirawan","Maplink3")</f>
        <v>Maplink3</v>
      </c>
    </row>
    <row r="3385" spans="1:49" ht="15" customHeight="1" x14ac:dyDescent="0.25">
      <c r="A3385" s="21">
        <v>26072</v>
      </c>
      <c r="B3385" s="22" t="s">
        <v>24</v>
      </c>
      <c r="C3385" s="22" t="s">
        <v>6482</v>
      </c>
      <c r="D3385" s="22" t="s">
        <v>7389</v>
      </c>
      <c r="E3385" s="22" t="s">
        <v>6521</v>
      </c>
      <c r="F3385" s="22">
        <v>34.70552</v>
      </c>
      <c r="G3385" s="22">
        <v>45.448610000000002</v>
      </c>
      <c r="H3385" s="21" t="s">
        <v>6283</v>
      </c>
      <c r="I3385" s="21" t="s">
        <v>6483</v>
      </c>
      <c r="J3385" s="21"/>
      <c r="K3385" s="24">
        <v>418</v>
      </c>
      <c r="L3385" s="24">
        <v>2508</v>
      </c>
      <c r="M3385" s="23">
        <v>276</v>
      </c>
      <c r="N3385" s="23">
        <v>109</v>
      </c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>
        <v>33</v>
      </c>
      <c r="AB3385" s="23"/>
      <c r="AC3385" s="23"/>
      <c r="AD3385" s="23"/>
      <c r="AE3385" s="23">
        <v>418</v>
      </c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>
        <v>25</v>
      </c>
      <c r="AP3385" s="23">
        <v>133</v>
      </c>
      <c r="AQ3385" s="23">
        <v>50</v>
      </c>
      <c r="AR3385" s="23">
        <v>109</v>
      </c>
      <c r="AS3385" s="23">
        <v>71</v>
      </c>
      <c r="AT3385" s="23">
        <v>30</v>
      </c>
      <c r="AU3385" s="14" t="str">
        <f>HYPERLINK("http://www.openstreetmap.org/?mlat=34.6945&amp;mlon=45.4298&amp;zoom=12#map=12/34.6945/45.4298","Maplink1")</f>
        <v>Maplink1</v>
      </c>
      <c r="AV3385" s="14" t="str">
        <f>HYPERLINK("https://www.google.iq/maps/search/+34.6945,45.4298/@34.6945,45.4298,14z?hl=en","Maplink2")</f>
        <v>Maplink2</v>
      </c>
      <c r="AW3385" s="14" t="str">
        <f>HYPERLINK("http://www.bing.com/maps/?lvl=14&amp;sty=h&amp;cp=34.6945~45.4298&amp;sp=point.34.6945_45.4298_Taza Dea Camp","Maplink3")</f>
        <v>Maplink3</v>
      </c>
    </row>
    <row r="3386" spans="1:49" ht="15" customHeight="1" x14ac:dyDescent="0.25">
      <c r="A3386" s="21">
        <v>22454</v>
      </c>
      <c r="B3386" s="22" t="s">
        <v>24</v>
      </c>
      <c r="C3386" s="22" t="s">
        <v>6522</v>
      </c>
      <c r="D3386" s="22" t="s">
        <v>6523</v>
      </c>
      <c r="E3386" s="22" t="s">
        <v>6524</v>
      </c>
      <c r="F3386" s="22">
        <v>35.615830000000003</v>
      </c>
      <c r="G3386" s="22">
        <v>45.952489999999997</v>
      </c>
      <c r="H3386" s="21" t="s">
        <v>6283</v>
      </c>
      <c r="I3386" s="21" t="s">
        <v>6525</v>
      </c>
      <c r="J3386" s="21" t="s">
        <v>6526</v>
      </c>
      <c r="K3386" s="24">
        <v>5</v>
      </c>
      <c r="L3386" s="24">
        <v>30</v>
      </c>
      <c r="M3386" s="23">
        <v>2</v>
      </c>
      <c r="N3386" s="23"/>
      <c r="O3386" s="23"/>
      <c r="P3386" s="23"/>
      <c r="Q3386" s="23"/>
      <c r="R3386" s="23">
        <v>2</v>
      </c>
      <c r="S3386" s="23"/>
      <c r="T3386" s="23"/>
      <c r="U3386" s="23"/>
      <c r="V3386" s="23"/>
      <c r="W3386" s="23"/>
      <c r="X3386" s="23"/>
      <c r="Y3386" s="23">
        <v>1</v>
      </c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5</v>
      </c>
      <c r="AL3386" s="23"/>
      <c r="AM3386" s="23"/>
      <c r="AN3386" s="23"/>
      <c r="AO3386" s="23"/>
      <c r="AP3386" s="23"/>
      <c r="AQ3386" s="23">
        <v>3</v>
      </c>
      <c r="AR3386" s="23"/>
      <c r="AS3386" s="23">
        <v>2</v>
      </c>
      <c r="AT3386" s="23"/>
      <c r="AU3386" s="14" t="str">
        <f>HYPERLINK("http://www.openstreetmap.org/?mlat=35.6156&amp;mlon=45.9514&amp;zoom=12#map=12/35.6156/45.9514","Maplink1")</f>
        <v>Maplink1</v>
      </c>
      <c r="AV3386" s="14" t="str">
        <f>HYPERLINK("https://www.google.iq/maps/search/+35.6156,45.9514/@35.6156,45.9514,14z?hl=en","Maplink2")</f>
        <v>Maplink2</v>
      </c>
      <c r="AW3386" s="14" t="str">
        <f>HYPERLINK("http://www.bing.com/maps/?lvl=14&amp;sty=h&amp;cp=35.6156~45.9514&amp;sp=point.35.6156_45.9514_Alyasafra","Maplink3")</f>
        <v>Maplink3</v>
      </c>
    </row>
    <row r="3387" spans="1:49" ht="15" customHeight="1" x14ac:dyDescent="0.25">
      <c r="A3387" s="21">
        <v>22459</v>
      </c>
      <c r="B3387" s="22" t="s">
        <v>24</v>
      </c>
      <c r="C3387" s="22" t="s">
        <v>6522</v>
      </c>
      <c r="D3387" s="22" t="s">
        <v>3611</v>
      </c>
      <c r="E3387" s="22" t="s">
        <v>3485</v>
      </c>
      <c r="F3387" s="22">
        <v>35.618580000000001</v>
      </c>
      <c r="G3387" s="22">
        <v>45.951079999999997</v>
      </c>
      <c r="H3387" s="21" t="s">
        <v>6283</v>
      </c>
      <c r="I3387" s="21" t="s">
        <v>6525</v>
      </c>
      <c r="J3387" s="21" t="s">
        <v>6527</v>
      </c>
      <c r="K3387" s="24">
        <v>7</v>
      </c>
      <c r="L3387" s="24">
        <v>42</v>
      </c>
      <c r="M3387" s="23">
        <v>2</v>
      </c>
      <c r="N3387" s="23"/>
      <c r="O3387" s="23">
        <v>3</v>
      </c>
      <c r="P3387" s="23"/>
      <c r="Q3387" s="23"/>
      <c r="R3387" s="23">
        <v>2</v>
      </c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7</v>
      </c>
      <c r="AL3387" s="23"/>
      <c r="AM3387" s="23"/>
      <c r="AN3387" s="23"/>
      <c r="AO3387" s="23">
        <v>1</v>
      </c>
      <c r="AP3387" s="23"/>
      <c r="AQ3387" s="23">
        <v>2</v>
      </c>
      <c r="AR3387" s="23">
        <v>2</v>
      </c>
      <c r="AS3387" s="23">
        <v>2</v>
      </c>
      <c r="AT3387" s="23"/>
      <c r="AU3387" s="14" t="str">
        <f>HYPERLINK("http://www.openstreetmap.org/?mlat=35.6228&amp;mlon=45.9524&amp;zoom=12#map=12/35.6228/45.9524","Maplink1")</f>
        <v>Maplink1</v>
      </c>
      <c r="AV3387" s="14" t="str">
        <f>HYPERLINK("https://www.google.iq/maps/search/+35.6228,45.9524/@35.6228,45.9524,14z?hl=en","Maplink2")</f>
        <v>Maplink2</v>
      </c>
      <c r="AW3387" s="14" t="str">
        <f>HYPERLINK("http://www.bing.com/maps/?lvl=14&amp;sty=h&amp;cp=35.6228~45.9524&amp;sp=point.35.6228_45.9524_Mamostayan","Maplink3")</f>
        <v>Maplink3</v>
      </c>
    </row>
    <row r="3388" spans="1:49" ht="15" customHeight="1" x14ac:dyDescent="0.25">
      <c r="A3388" s="21">
        <v>22591</v>
      </c>
      <c r="B3388" s="22" t="s">
        <v>24</v>
      </c>
      <c r="C3388" s="22" t="s">
        <v>6522</v>
      </c>
      <c r="D3388" s="22" t="s">
        <v>3670</v>
      </c>
      <c r="E3388" s="22" t="s">
        <v>3147</v>
      </c>
      <c r="F3388" s="22">
        <v>35.628579999999999</v>
      </c>
      <c r="G3388" s="22">
        <v>45.938389999999998</v>
      </c>
      <c r="H3388" s="21" t="s">
        <v>6283</v>
      </c>
      <c r="I3388" s="21" t="s">
        <v>6525</v>
      </c>
      <c r="J3388" s="21" t="s">
        <v>6528</v>
      </c>
      <c r="K3388" s="24">
        <v>7</v>
      </c>
      <c r="L3388" s="24">
        <v>42</v>
      </c>
      <c r="M3388" s="23">
        <v>3</v>
      </c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>
        <v>4</v>
      </c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>
        <v>7</v>
      </c>
      <c r="AL3388" s="23"/>
      <c r="AM3388" s="23"/>
      <c r="AN3388" s="23"/>
      <c r="AO3388" s="23"/>
      <c r="AP3388" s="23">
        <v>3</v>
      </c>
      <c r="AQ3388" s="23"/>
      <c r="AR3388" s="23">
        <v>2</v>
      </c>
      <c r="AS3388" s="23">
        <v>2</v>
      </c>
      <c r="AT3388" s="23"/>
      <c r="AU3388" s="14" t="str">
        <f>HYPERLINK("http://www.openstreetmap.org/?mlat=35.631&amp;mlon=45.934&amp;zoom=12#map=12/35.631/45.934","Maplink1")</f>
        <v>Maplink1</v>
      </c>
      <c r="AV3388" s="14" t="str">
        <f>HYPERLINK("https://www.google.iq/maps/search/+35.631,45.934/@35.631,45.934,14z?hl=en","Maplink2")</f>
        <v>Maplink2</v>
      </c>
      <c r="AW3388" s="14" t="str">
        <f>HYPERLINK("http://www.bing.com/maps/?lvl=14&amp;sty=h&amp;cp=35.631~45.934&amp;sp=point.35.631_45.934_Rzgari","Maplink3")</f>
        <v>Maplink3</v>
      </c>
    </row>
    <row r="3389" spans="1:49" ht="15" customHeight="1" x14ac:dyDescent="0.25">
      <c r="A3389" s="21">
        <v>24669</v>
      </c>
      <c r="B3389" s="22" t="s">
        <v>24</v>
      </c>
      <c r="C3389" s="22" t="s">
        <v>6529</v>
      </c>
      <c r="D3389" s="22" t="s">
        <v>6530</v>
      </c>
      <c r="E3389" s="22" t="s">
        <v>6531</v>
      </c>
      <c r="F3389" s="22">
        <v>36.186880000000002</v>
      </c>
      <c r="G3389" s="22">
        <v>45.124450000000003</v>
      </c>
      <c r="H3389" s="21" t="s">
        <v>6283</v>
      </c>
      <c r="I3389" s="21" t="s">
        <v>6532</v>
      </c>
      <c r="J3389" s="21"/>
      <c r="K3389" s="24">
        <v>85</v>
      </c>
      <c r="L3389" s="24">
        <v>510</v>
      </c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>
        <v>85</v>
      </c>
      <c r="Z3389" s="23"/>
      <c r="AA3389" s="23"/>
      <c r="AB3389" s="23"/>
      <c r="AC3389" s="23"/>
      <c r="AD3389" s="23"/>
      <c r="AE3389" s="23"/>
      <c r="AF3389" s="23"/>
      <c r="AG3389" s="23"/>
      <c r="AH3389" s="23">
        <v>25</v>
      </c>
      <c r="AI3389" s="23"/>
      <c r="AJ3389" s="23"/>
      <c r="AK3389" s="23"/>
      <c r="AL3389" s="23"/>
      <c r="AM3389" s="23">
        <v>60</v>
      </c>
      <c r="AN3389" s="23"/>
      <c r="AO3389" s="23"/>
      <c r="AP3389" s="23"/>
      <c r="AQ3389" s="23">
        <v>85</v>
      </c>
      <c r="AR3389" s="23"/>
      <c r="AS3389" s="23"/>
      <c r="AT3389" s="23"/>
      <c r="AU3389" s="14" t="str">
        <f>HYPERLINK("http://www.openstreetmap.org/?mlat=36.1869&amp;mlon=45.1245&amp;zoom=12#map=12/36.1869/45.1245","Maplink1")</f>
        <v>Maplink1</v>
      </c>
      <c r="AV3389" s="14" t="str">
        <f>HYPERLINK("https://www.google.iq/maps/search/+36.1869,45.1245/@36.1869,45.1245,14z?hl=en","Maplink2")</f>
        <v>Maplink2</v>
      </c>
      <c r="AW3389" s="14" t="str">
        <f>HYPERLINK("http://www.bing.com/maps/?lvl=14&amp;sty=h&amp;cp=36.1869~45.1245&amp;sp=point.36.1869_45.1245_Ashty-Qaladiza","Maplink3")</f>
        <v>Maplink3</v>
      </c>
    </row>
    <row r="3390" spans="1:49" ht="15" customHeight="1" x14ac:dyDescent="0.25">
      <c r="A3390" s="21">
        <v>24492</v>
      </c>
      <c r="B3390" s="22" t="s">
        <v>24</v>
      </c>
      <c r="C3390" s="22" t="s">
        <v>6529</v>
      </c>
      <c r="D3390" s="22" t="s">
        <v>6533</v>
      </c>
      <c r="E3390" s="22" t="s">
        <v>8119</v>
      </c>
      <c r="F3390" s="22">
        <v>36.183990000000001</v>
      </c>
      <c r="G3390" s="22">
        <v>45.120249999999999</v>
      </c>
      <c r="H3390" s="21" t="s">
        <v>6283</v>
      </c>
      <c r="I3390" s="21" t="s">
        <v>6532</v>
      </c>
      <c r="J3390" s="21"/>
      <c r="K3390" s="24">
        <v>103</v>
      </c>
      <c r="L3390" s="24">
        <v>618</v>
      </c>
      <c r="M3390" s="23">
        <v>28</v>
      </c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>
        <v>30</v>
      </c>
      <c r="Z3390" s="23"/>
      <c r="AA3390" s="23">
        <v>45</v>
      </c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103</v>
      </c>
      <c r="AL3390" s="23"/>
      <c r="AM3390" s="23"/>
      <c r="AN3390" s="23"/>
      <c r="AO3390" s="23">
        <v>16</v>
      </c>
      <c r="AP3390" s="23"/>
      <c r="AQ3390" s="23">
        <v>30</v>
      </c>
      <c r="AR3390" s="23">
        <v>45</v>
      </c>
      <c r="AS3390" s="23">
        <v>12</v>
      </c>
      <c r="AT3390" s="23"/>
      <c r="AU3390" s="14" t="str">
        <f>HYPERLINK("http://www.openstreetmap.org/?mlat=36.184&amp;mlon=45.1202&amp;zoom=12#map=12/36.184/45.1202","Maplink1")</f>
        <v>Maplink1</v>
      </c>
      <c r="AV3390" s="14" t="str">
        <f>HYPERLINK("https://www.google.iq/maps/search/+36.184,45.1202/@36.184,45.1202,14z?hl=en","Maplink2")</f>
        <v>Maplink2</v>
      </c>
      <c r="AW3390" s="14" t="str">
        <f>HYPERLINK("http://www.bing.com/maps/?lvl=14&amp;sty=h&amp;cp=36.184~45.1202&amp;sp=point.36.184_45.1202_Khanaqa-Qaladiza","Maplink3")</f>
        <v>Maplink3</v>
      </c>
    </row>
    <row r="3391" spans="1:49" ht="15" customHeight="1" x14ac:dyDescent="0.25">
      <c r="A3391" s="21">
        <v>6124</v>
      </c>
      <c r="B3391" s="22" t="s">
        <v>24</v>
      </c>
      <c r="C3391" s="22" t="s">
        <v>6529</v>
      </c>
      <c r="D3391" s="22" t="s">
        <v>6534</v>
      </c>
      <c r="E3391" s="22" t="s">
        <v>6535</v>
      </c>
      <c r="F3391" s="22">
        <v>36.245480000000001</v>
      </c>
      <c r="G3391" s="22">
        <v>45.004899999999999</v>
      </c>
      <c r="H3391" s="21" t="s">
        <v>6283</v>
      </c>
      <c r="I3391" s="21" t="s">
        <v>6532</v>
      </c>
      <c r="J3391" s="21" t="s">
        <v>6536</v>
      </c>
      <c r="K3391" s="24">
        <v>102</v>
      </c>
      <c r="L3391" s="24">
        <v>612</v>
      </c>
      <c r="M3391" s="23">
        <v>80</v>
      </c>
      <c r="N3391" s="23"/>
      <c r="O3391" s="23">
        <v>9</v>
      </c>
      <c r="P3391" s="23"/>
      <c r="Q3391" s="23"/>
      <c r="R3391" s="23"/>
      <c r="S3391" s="23"/>
      <c r="T3391" s="23"/>
      <c r="U3391" s="23"/>
      <c r="V3391" s="23"/>
      <c r="W3391" s="23"/>
      <c r="X3391" s="23"/>
      <c r="Y3391" s="23">
        <v>6</v>
      </c>
      <c r="Z3391" s="23"/>
      <c r="AA3391" s="23">
        <v>7</v>
      </c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102</v>
      </c>
      <c r="AL3391" s="23"/>
      <c r="AM3391" s="23"/>
      <c r="AN3391" s="23"/>
      <c r="AO3391" s="23">
        <v>17</v>
      </c>
      <c r="AP3391" s="23">
        <v>23</v>
      </c>
      <c r="AQ3391" s="23">
        <v>8</v>
      </c>
      <c r="AR3391" s="23">
        <v>18</v>
      </c>
      <c r="AS3391" s="23">
        <v>30</v>
      </c>
      <c r="AT3391" s="23">
        <v>6</v>
      </c>
      <c r="AU3391" s="14" t="str">
        <f>HYPERLINK("http://www.openstreetmap.org/?mlat=36.44&amp;mlon=45.01&amp;zoom=12#map=12/36.44/45.01","Maplink1")</f>
        <v>Maplink1</v>
      </c>
      <c r="AV3391" s="14" t="str">
        <f>HYPERLINK("https://www.google.iq/maps/search/+36.44,45.01/@36.44,45.01,14z?hl=en","Maplink2")</f>
        <v>Maplink2</v>
      </c>
      <c r="AW3391" s="14" t="str">
        <f>HYPERLINK("http://www.bing.com/maps/?lvl=14&amp;sty=h&amp;cp=36.44~45.01&amp;sp=point.36.44_45.01_Sangasar","Maplink3")</f>
        <v>Maplink3</v>
      </c>
    </row>
    <row r="3392" spans="1:49" ht="15" customHeight="1" x14ac:dyDescent="0.25">
      <c r="A3392" s="21">
        <v>25522</v>
      </c>
      <c r="B3392" s="22" t="s">
        <v>24</v>
      </c>
      <c r="C3392" s="22" t="s">
        <v>6537</v>
      </c>
      <c r="D3392" s="22" t="s">
        <v>6542</v>
      </c>
      <c r="E3392" s="22" t="s">
        <v>6543</v>
      </c>
      <c r="F3392" s="22">
        <v>36.263109999999998</v>
      </c>
      <c r="G3392" s="22">
        <v>44.88091</v>
      </c>
      <c r="H3392" s="21" t="s">
        <v>6283</v>
      </c>
      <c r="I3392" s="21" t="s">
        <v>6539</v>
      </c>
      <c r="J3392" s="21"/>
      <c r="K3392" s="24">
        <v>42</v>
      </c>
      <c r="L3392" s="24">
        <v>252</v>
      </c>
      <c r="M3392" s="23">
        <v>34</v>
      </c>
      <c r="N3392" s="23"/>
      <c r="O3392" s="23"/>
      <c r="P3392" s="23"/>
      <c r="Q3392" s="23"/>
      <c r="R3392" s="23">
        <v>1</v>
      </c>
      <c r="S3392" s="23"/>
      <c r="T3392" s="23"/>
      <c r="U3392" s="23"/>
      <c r="V3392" s="23"/>
      <c r="W3392" s="23"/>
      <c r="X3392" s="23"/>
      <c r="Y3392" s="23">
        <v>3</v>
      </c>
      <c r="Z3392" s="23"/>
      <c r="AA3392" s="23">
        <v>4</v>
      </c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42</v>
      </c>
      <c r="AL3392" s="23"/>
      <c r="AM3392" s="23"/>
      <c r="AN3392" s="23"/>
      <c r="AO3392" s="23"/>
      <c r="AP3392" s="23"/>
      <c r="AQ3392" s="23">
        <v>4</v>
      </c>
      <c r="AR3392" s="23">
        <v>27</v>
      </c>
      <c r="AS3392" s="23">
        <v>10</v>
      </c>
      <c r="AT3392" s="23">
        <v>1</v>
      </c>
      <c r="AU3392" s="14" t="str">
        <f>HYPERLINK("http://www.openstreetmap.org/?mlat=36.2631&amp;mlon=44.8809&amp;zoom=12#map=12/36.2631/44.8809","Maplink1")</f>
        <v>Maplink1</v>
      </c>
      <c r="AV3392" s="14" t="str">
        <f>HYPERLINK("https://www.google.iq/maps/search/+36.2631,44.8809/@36.2631,44.8809,14z?hl=en","Maplink2")</f>
        <v>Maplink2</v>
      </c>
      <c r="AW3392" s="14" t="str">
        <f>HYPERLINK("http://www.bing.com/maps/?lvl=14&amp;sty=h&amp;cp=36.2631~44.8809&amp;sp=point.36.2631_44.8809_Kewa Rash","Maplink3")</f>
        <v>Maplink3</v>
      </c>
    </row>
    <row r="3393" spans="1:49" ht="15" customHeight="1" x14ac:dyDescent="0.25">
      <c r="A3393" s="21">
        <v>25298</v>
      </c>
      <c r="B3393" s="22" t="s">
        <v>24</v>
      </c>
      <c r="C3393" s="22" t="s">
        <v>6537</v>
      </c>
      <c r="D3393" s="22" t="s">
        <v>9158</v>
      </c>
      <c r="E3393" s="22" t="s">
        <v>6538</v>
      </c>
      <c r="F3393" s="22">
        <v>36.227130000000002</v>
      </c>
      <c r="G3393" s="22">
        <v>44.847709999999999</v>
      </c>
      <c r="H3393" s="21" t="s">
        <v>6283</v>
      </c>
      <c r="I3393" s="21" t="s">
        <v>6539</v>
      </c>
      <c r="J3393" s="21"/>
      <c r="K3393" s="24">
        <v>361</v>
      </c>
      <c r="L3393" s="24">
        <v>2166</v>
      </c>
      <c r="M3393" s="23">
        <v>205</v>
      </c>
      <c r="N3393" s="23"/>
      <c r="O3393" s="23">
        <v>7</v>
      </c>
      <c r="P3393" s="23"/>
      <c r="Q3393" s="23"/>
      <c r="R3393" s="23">
        <v>9</v>
      </c>
      <c r="S3393" s="23"/>
      <c r="T3393" s="23"/>
      <c r="U3393" s="23"/>
      <c r="V3393" s="23"/>
      <c r="W3393" s="23"/>
      <c r="X3393" s="23"/>
      <c r="Y3393" s="23">
        <v>130</v>
      </c>
      <c r="Z3393" s="23"/>
      <c r="AA3393" s="23">
        <v>10</v>
      </c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361</v>
      </c>
      <c r="AL3393" s="23"/>
      <c r="AM3393" s="23"/>
      <c r="AN3393" s="23"/>
      <c r="AO3393" s="23">
        <v>28</v>
      </c>
      <c r="AP3393" s="23">
        <v>115</v>
      </c>
      <c r="AQ3393" s="23">
        <v>60</v>
      </c>
      <c r="AR3393" s="23">
        <v>69</v>
      </c>
      <c r="AS3393" s="23">
        <v>89</v>
      </c>
      <c r="AT3393" s="23"/>
      <c r="AU3393" s="14" t="str">
        <f>HYPERLINK("http://www.openstreetmap.org/?mlat=36.2271&amp;mlon=44.8477&amp;zoom=12#map=12/36.2271/44.8477","Maplink1")</f>
        <v>Maplink1</v>
      </c>
      <c r="AV3393" s="14" t="str">
        <f>HYPERLINK("https://www.google.iq/maps/search/+36.2271,44.8477/@36.2271,44.8477,14z?hl=en","Maplink2")</f>
        <v>Maplink2</v>
      </c>
      <c r="AW3393" s="14" t="str">
        <f>HYPERLINK("http://www.bing.com/maps/?lvl=14&amp;sty=h&amp;cp=36.2271~44.8477&amp;sp=point.36.2271_44.8477_Chwarqurna-Kolin City","Maplink3")</f>
        <v>Maplink3</v>
      </c>
    </row>
    <row r="3394" spans="1:49" ht="15" customHeight="1" x14ac:dyDescent="0.25">
      <c r="A3394" s="21">
        <v>24814</v>
      </c>
      <c r="B3394" s="22" t="s">
        <v>24</v>
      </c>
      <c r="C3394" s="22" t="s">
        <v>6537</v>
      </c>
      <c r="D3394" s="22" t="s">
        <v>3611</v>
      </c>
      <c r="E3394" s="22" t="s">
        <v>3485</v>
      </c>
      <c r="F3394" s="22">
        <v>36.208030000000001</v>
      </c>
      <c r="G3394" s="22">
        <v>44.826689999999999</v>
      </c>
      <c r="H3394" s="21" t="s">
        <v>6283</v>
      </c>
      <c r="I3394" s="21" t="s">
        <v>6539</v>
      </c>
      <c r="J3394" s="21"/>
      <c r="K3394" s="24">
        <v>33</v>
      </c>
      <c r="L3394" s="24">
        <v>198</v>
      </c>
      <c r="M3394" s="23">
        <v>24</v>
      </c>
      <c r="N3394" s="23"/>
      <c r="O3394" s="23">
        <v>3</v>
      </c>
      <c r="P3394" s="23"/>
      <c r="Q3394" s="23"/>
      <c r="R3394" s="23"/>
      <c r="S3394" s="23"/>
      <c r="T3394" s="23"/>
      <c r="U3394" s="23"/>
      <c r="V3394" s="23"/>
      <c r="W3394" s="23"/>
      <c r="X3394" s="23"/>
      <c r="Y3394" s="23">
        <v>6</v>
      </c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33</v>
      </c>
      <c r="AL3394" s="23"/>
      <c r="AM3394" s="23"/>
      <c r="AN3394" s="23"/>
      <c r="AO3394" s="23"/>
      <c r="AP3394" s="23">
        <v>22</v>
      </c>
      <c r="AQ3394" s="23"/>
      <c r="AR3394" s="23">
        <v>4</v>
      </c>
      <c r="AS3394" s="23">
        <v>7</v>
      </c>
      <c r="AT3394" s="23"/>
      <c r="AU3394" s="14" t="str">
        <f>HYPERLINK("http://www.openstreetmap.org/?mlat=36.208&amp;mlon=44.8267&amp;zoom=12#map=12/36.208/44.8267","Maplink1")</f>
        <v>Maplink1</v>
      </c>
      <c r="AV3394" s="14" t="str">
        <f>HYPERLINK("https://www.google.iq/maps/search/+36.208,44.8267/@36.208,44.8267,14z?hl=en","Maplink2")</f>
        <v>Maplink2</v>
      </c>
      <c r="AW3394" s="14" t="str">
        <f>HYPERLINK("http://www.bing.com/maps/?lvl=14&amp;sty=h&amp;cp=36.208~44.8267&amp;sp=point.36.208_44.8267_Mamostayan","Maplink3")</f>
        <v>Maplink3</v>
      </c>
    </row>
    <row r="3395" spans="1:49" ht="15" customHeight="1" x14ac:dyDescent="0.25">
      <c r="A3395" s="21">
        <v>24101</v>
      </c>
      <c r="B3395" s="22" t="s">
        <v>24</v>
      </c>
      <c r="C3395" s="22" t="s">
        <v>6537</v>
      </c>
      <c r="D3395" s="22" t="s">
        <v>4509</v>
      </c>
      <c r="E3395" s="22" t="s">
        <v>3487</v>
      </c>
      <c r="F3395" s="22">
        <v>36.265659999999997</v>
      </c>
      <c r="G3395" s="22">
        <v>44.878390000000003</v>
      </c>
      <c r="H3395" s="21" t="s">
        <v>6283</v>
      </c>
      <c r="I3395" s="21" t="s">
        <v>6539</v>
      </c>
      <c r="J3395" s="21" t="s">
        <v>6544</v>
      </c>
      <c r="K3395" s="24">
        <v>50</v>
      </c>
      <c r="L3395" s="24">
        <v>300</v>
      </c>
      <c r="M3395" s="23">
        <v>36</v>
      </c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>
        <v>12</v>
      </c>
      <c r="Z3395" s="23"/>
      <c r="AA3395" s="23">
        <v>2</v>
      </c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50</v>
      </c>
      <c r="AL3395" s="23"/>
      <c r="AM3395" s="23"/>
      <c r="AN3395" s="23"/>
      <c r="AO3395" s="23">
        <v>10</v>
      </c>
      <c r="AP3395" s="23">
        <v>2</v>
      </c>
      <c r="AQ3395" s="23">
        <v>10</v>
      </c>
      <c r="AR3395" s="23">
        <v>10</v>
      </c>
      <c r="AS3395" s="23">
        <v>18</v>
      </c>
      <c r="AT3395" s="23"/>
      <c r="AU3395" s="14" t="str">
        <f>HYPERLINK("http://www.openstreetmap.org/?mlat=36.2657&amp;mlon=44.8784&amp;zoom=12#map=12/36.2657/44.8784","Maplink1")</f>
        <v>Maplink1</v>
      </c>
      <c r="AV3395" s="14" t="str">
        <f>HYPERLINK("https://www.google.iq/maps/search/+36.2657,44.8784/@36.2657,44.8784,14z?hl=en","Maplink2")</f>
        <v>Maplink2</v>
      </c>
      <c r="AW3395" s="14" t="str">
        <f>HYPERLINK("http://www.bing.com/maps/?lvl=14&amp;sty=h&amp;cp=36.2657~44.8784&amp;sp=point.36.2657_44.8784_Nawroz","Maplink3")</f>
        <v>Maplink3</v>
      </c>
    </row>
    <row r="3396" spans="1:49" ht="15" customHeight="1" x14ac:dyDescent="0.25">
      <c r="A3396" s="21">
        <v>24897</v>
      </c>
      <c r="B3396" s="22" t="s">
        <v>24</v>
      </c>
      <c r="C3396" s="22" t="s">
        <v>6537</v>
      </c>
      <c r="D3396" s="22" t="s">
        <v>6545</v>
      </c>
      <c r="E3396" s="22" t="s">
        <v>6382</v>
      </c>
      <c r="F3396" s="22">
        <v>36.22587</v>
      </c>
      <c r="G3396" s="22">
        <v>44.799579999999999</v>
      </c>
      <c r="H3396" s="21" t="s">
        <v>6283</v>
      </c>
      <c r="I3396" s="21" t="s">
        <v>6539</v>
      </c>
      <c r="J3396" s="21"/>
      <c r="K3396" s="24">
        <v>18</v>
      </c>
      <c r="L3396" s="24">
        <v>108</v>
      </c>
      <c r="M3396" s="23">
        <v>18</v>
      </c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18</v>
      </c>
      <c r="AL3396" s="23"/>
      <c r="AM3396" s="23"/>
      <c r="AN3396" s="23"/>
      <c r="AO3396" s="23">
        <v>6</v>
      </c>
      <c r="AP3396" s="23"/>
      <c r="AQ3396" s="23"/>
      <c r="AR3396" s="23">
        <v>4</v>
      </c>
      <c r="AS3396" s="23">
        <v>8</v>
      </c>
      <c r="AT3396" s="23"/>
      <c r="AU3396" s="14" t="str">
        <f>HYPERLINK("http://www.openstreetmap.org/?mlat=36.2259&amp;mlon=44.7996&amp;zoom=12#map=12/36.2259/44.7996","Maplink1")</f>
        <v>Maplink1</v>
      </c>
      <c r="AV3396" s="14" t="str">
        <f>HYPERLINK("https://www.google.iq/maps/search/+36.2259,44.7996/@36.2259,44.7996,14z?hl=en","Maplink2")</f>
        <v>Maplink2</v>
      </c>
      <c r="AW3396" s="14" t="str">
        <f>HYPERLINK("http://www.bing.com/maps/?lvl=14&amp;sty=h&amp;cp=36.2259~44.7996&amp;sp=point.36.2259_44.7996_Peshawa","Maplink3")</f>
        <v>Maplink3</v>
      </c>
    </row>
    <row r="3397" spans="1:49" ht="15" customHeight="1" x14ac:dyDescent="0.25">
      <c r="A3397" s="21">
        <v>4201</v>
      </c>
      <c r="B3397" s="22" t="s">
        <v>24</v>
      </c>
      <c r="C3397" s="22" t="s">
        <v>6537</v>
      </c>
      <c r="D3397" s="22" t="s">
        <v>3745</v>
      </c>
      <c r="E3397" s="22" t="s">
        <v>3746</v>
      </c>
      <c r="F3397" s="22">
        <v>36.253830000000001</v>
      </c>
      <c r="G3397" s="22">
        <v>44.886139999999997</v>
      </c>
      <c r="H3397" s="21" t="s">
        <v>6283</v>
      </c>
      <c r="I3397" s="21" t="s">
        <v>6539</v>
      </c>
      <c r="J3397" s="21" t="s">
        <v>6546</v>
      </c>
      <c r="K3397" s="24">
        <v>40</v>
      </c>
      <c r="L3397" s="24">
        <v>240</v>
      </c>
      <c r="M3397" s="23">
        <v>26</v>
      </c>
      <c r="N3397" s="23"/>
      <c r="O3397" s="23">
        <v>5</v>
      </c>
      <c r="P3397" s="23"/>
      <c r="Q3397" s="23"/>
      <c r="R3397" s="23"/>
      <c r="S3397" s="23"/>
      <c r="T3397" s="23"/>
      <c r="U3397" s="23"/>
      <c r="V3397" s="23"/>
      <c r="W3397" s="23"/>
      <c r="X3397" s="23"/>
      <c r="Y3397" s="23">
        <v>9</v>
      </c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40</v>
      </c>
      <c r="AL3397" s="23"/>
      <c r="AM3397" s="23"/>
      <c r="AN3397" s="23"/>
      <c r="AO3397" s="23">
        <v>4</v>
      </c>
      <c r="AP3397" s="23"/>
      <c r="AQ3397" s="23">
        <v>24</v>
      </c>
      <c r="AR3397" s="23"/>
      <c r="AS3397" s="23">
        <v>6</v>
      </c>
      <c r="AT3397" s="23">
        <v>6</v>
      </c>
      <c r="AU3397" s="14" t="str">
        <f>HYPERLINK("http://www.openstreetmap.org/?mlat=36.39&amp;mlon=44.77&amp;zoom=12#map=12/36.39/44.77","Maplink1")</f>
        <v>Maplink1</v>
      </c>
      <c r="AV3397" s="14" t="str">
        <f>HYPERLINK("https://www.google.iq/maps/search/+36.39,44.77/@36.39,44.77,14z?hl=en","Maplink2")</f>
        <v>Maplink2</v>
      </c>
      <c r="AW3397" s="14" t="str">
        <f>HYPERLINK("http://www.bing.com/maps/?lvl=14&amp;sty=h&amp;cp=36.39~44.77&amp;sp=point.36.39_44.77_Qalat","Maplink3")</f>
        <v>Maplink3</v>
      </c>
    </row>
    <row r="3398" spans="1:49" ht="15" customHeight="1" x14ac:dyDescent="0.25">
      <c r="A3398" s="21">
        <v>25296</v>
      </c>
      <c r="B3398" s="22" t="s">
        <v>24</v>
      </c>
      <c r="C3398" s="22" t="s">
        <v>6537</v>
      </c>
      <c r="D3398" s="22" t="s">
        <v>9159</v>
      </c>
      <c r="E3398" s="22" t="s">
        <v>6540</v>
      </c>
      <c r="F3398" s="22">
        <v>36.206510000000002</v>
      </c>
      <c r="G3398" s="22">
        <v>44.833599999999997</v>
      </c>
      <c r="H3398" s="21" t="s">
        <v>6283</v>
      </c>
      <c r="I3398" s="21" t="s">
        <v>6539</v>
      </c>
      <c r="J3398" s="21"/>
      <c r="K3398" s="24">
        <v>63</v>
      </c>
      <c r="L3398" s="24">
        <v>378</v>
      </c>
      <c r="M3398" s="23">
        <v>29</v>
      </c>
      <c r="N3398" s="23"/>
      <c r="O3398" s="23">
        <v>4</v>
      </c>
      <c r="P3398" s="23"/>
      <c r="Q3398" s="23"/>
      <c r="R3398" s="23">
        <v>5</v>
      </c>
      <c r="S3398" s="23"/>
      <c r="T3398" s="23"/>
      <c r="U3398" s="23"/>
      <c r="V3398" s="23"/>
      <c r="W3398" s="23"/>
      <c r="X3398" s="23"/>
      <c r="Y3398" s="23">
        <v>21</v>
      </c>
      <c r="Z3398" s="23"/>
      <c r="AA3398" s="23">
        <v>4</v>
      </c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63</v>
      </c>
      <c r="AL3398" s="23"/>
      <c r="AM3398" s="23"/>
      <c r="AN3398" s="23"/>
      <c r="AO3398" s="23">
        <v>5</v>
      </c>
      <c r="AP3398" s="23"/>
      <c r="AQ3398" s="23">
        <v>21</v>
      </c>
      <c r="AR3398" s="23"/>
      <c r="AS3398" s="23">
        <v>32</v>
      </c>
      <c r="AT3398" s="23">
        <v>5</v>
      </c>
      <c r="AU3398" s="14" t="str">
        <f>HYPERLINK("http://www.openstreetmap.org/?mlat=36.2065&amp;mlon=44.8336&amp;zoom=12#map=12/36.2065/44.8336","Maplink1")</f>
        <v>Maplink1</v>
      </c>
      <c r="AV3398" s="14" t="str">
        <f>HYPERLINK("https://www.google.iq/maps/search/+36.2065,44.8336/@36.2065,44.8336,14z?hl=en","Maplink2")</f>
        <v>Maplink2</v>
      </c>
      <c r="AW3398" s="14" t="str">
        <f>HYPERLINK("http://www.bing.com/maps/?lvl=14&amp;sty=h&amp;cp=36.2065~44.8336&amp;sp=point.36.2065_44.8336_Chwarqurna-Qandil","Maplink3")</f>
        <v>Maplink3</v>
      </c>
    </row>
    <row r="3399" spans="1:49" ht="15" customHeight="1" x14ac:dyDescent="0.25">
      <c r="A3399" s="21">
        <v>24100</v>
      </c>
      <c r="B3399" s="22" t="s">
        <v>24</v>
      </c>
      <c r="C3399" s="22" t="s">
        <v>6537</v>
      </c>
      <c r="D3399" s="22" t="s">
        <v>6547</v>
      </c>
      <c r="E3399" s="22" t="s">
        <v>6548</v>
      </c>
      <c r="F3399" s="22">
        <v>36.258679999999998</v>
      </c>
      <c r="G3399" s="22">
        <v>44.88317</v>
      </c>
      <c r="H3399" s="21" t="s">
        <v>6283</v>
      </c>
      <c r="I3399" s="21" t="s">
        <v>6539</v>
      </c>
      <c r="J3399" s="21" t="s">
        <v>6549</v>
      </c>
      <c r="K3399" s="24">
        <v>23</v>
      </c>
      <c r="L3399" s="24">
        <v>138</v>
      </c>
      <c r="M3399" s="23">
        <v>17</v>
      </c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>
        <v>6</v>
      </c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23</v>
      </c>
      <c r="AL3399" s="23"/>
      <c r="AM3399" s="23"/>
      <c r="AN3399" s="23"/>
      <c r="AO3399" s="23">
        <v>10</v>
      </c>
      <c r="AP3399" s="23"/>
      <c r="AQ3399" s="23">
        <v>6</v>
      </c>
      <c r="AR3399" s="23"/>
      <c r="AS3399" s="23">
        <v>7</v>
      </c>
      <c r="AT3399" s="23"/>
      <c r="AU3399" s="14" t="str">
        <f>HYPERLINK("http://www.openstreetmap.org/?mlat=36.2587&amp;mlon=44.8832&amp;zoom=12#map=12/36.2587/44.8832","Maplink1")</f>
        <v>Maplink1</v>
      </c>
      <c r="AV3399" s="14" t="str">
        <f>HYPERLINK("https://www.google.iq/maps/search/+36.2587,44.8832/@36.2587,44.8832,14z?hl=en","Maplink2")</f>
        <v>Maplink2</v>
      </c>
      <c r="AW3399" s="14" t="str">
        <f>HYPERLINK("http://www.bing.com/maps/?lvl=14&amp;sty=h&amp;cp=36.2587~44.8832&amp;sp=point.36.2587_44.8832_Qula","Maplink3")</f>
        <v>Maplink3</v>
      </c>
    </row>
    <row r="3400" spans="1:49" ht="15" customHeight="1" x14ac:dyDescent="0.25">
      <c r="A3400" s="21">
        <v>25293</v>
      </c>
      <c r="B3400" s="22" t="s">
        <v>24</v>
      </c>
      <c r="C3400" s="22" t="s">
        <v>6537</v>
      </c>
      <c r="D3400" s="22" t="s">
        <v>9160</v>
      </c>
      <c r="E3400" s="22" t="s">
        <v>3492</v>
      </c>
      <c r="F3400" s="22">
        <v>36.205120000000001</v>
      </c>
      <c r="G3400" s="22">
        <v>44.822299999999998</v>
      </c>
      <c r="H3400" s="21" t="s">
        <v>6283</v>
      </c>
      <c r="I3400" s="21" t="s">
        <v>6539</v>
      </c>
      <c r="J3400" s="21"/>
      <c r="K3400" s="24">
        <v>39</v>
      </c>
      <c r="L3400" s="24">
        <v>234</v>
      </c>
      <c r="M3400" s="23">
        <v>24</v>
      </c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>
        <v>15</v>
      </c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39</v>
      </c>
      <c r="AL3400" s="23"/>
      <c r="AM3400" s="23"/>
      <c r="AN3400" s="23"/>
      <c r="AO3400" s="23">
        <v>4</v>
      </c>
      <c r="AP3400" s="23"/>
      <c r="AQ3400" s="23">
        <v>15</v>
      </c>
      <c r="AR3400" s="23">
        <v>4</v>
      </c>
      <c r="AS3400" s="23">
        <v>16</v>
      </c>
      <c r="AT3400" s="23"/>
      <c r="AU3400" s="14" t="str">
        <f>HYPERLINK("http://www.openstreetmap.org/?mlat=36.2051&amp;mlon=44.8223&amp;zoom=12#map=12/36.2051/44.8223","Maplink1")</f>
        <v>Maplink1</v>
      </c>
      <c r="AV3400" s="14" t="str">
        <f>HYPERLINK("https://www.google.iq/maps/search/+36.2051,44.8223/@36.2051,44.8223,14z?hl=en","Maplink2")</f>
        <v>Maplink2</v>
      </c>
      <c r="AW3400" s="14" t="str">
        <f>HYPERLINK("http://www.bing.com/maps/?lvl=14&amp;sty=h&amp;cp=36.2051~44.8223&amp;sp=point.36.2051_44.8223_Chwarqurna-Raparin","Maplink3")</f>
        <v>Maplink3</v>
      </c>
    </row>
    <row r="3401" spans="1:49" ht="15" customHeight="1" x14ac:dyDescent="0.25">
      <c r="A3401" s="21">
        <v>25294</v>
      </c>
      <c r="B3401" s="22" t="s">
        <v>24</v>
      </c>
      <c r="C3401" s="22" t="s">
        <v>6537</v>
      </c>
      <c r="D3401" s="22" t="s">
        <v>9153</v>
      </c>
      <c r="E3401" s="22" t="s">
        <v>3147</v>
      </c>
      <c r="F3401" s="22">
        <v>36.204599999999999</v>
      </c>
      <c r="G3401" s="22">
        <v>44.824669999999998</v>
      </c>
      <c r="H3401" s="21" t="s">
        <v>6283</v>
      </c>
      <c r="I3401" s="21" t="s">
        <v>6539</v>
      </c>
      <c r="J3401" s="21"/>
      <c r="K3401" s="24">
        <v>27</v>
      </c>
      <c r="L3401" s="24">
        <v>162</v>
      </c>
      <c r="M3401" s="23">
        <v>15</v>
      </c>
      <c r="N3401" s="23"/>
      <c r="O3401" s="23">
        <v>5</v>
      </c>
      <c r="P3401" s="23"/>
      <c r="Q3401" s="23"/>
      <c r="R3401" s="23">
        <v>7</v>
      </c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>
        <v>27</v>
      </c>
      <c r="AL3401" s="23"/>
      <c r="AM3401" s="23"/>
      <c r="AN3401" s="23"/>
      <c r="AO3401" s="23"/>
      <c r="AP3401" s="23">
        <v>6</v>
      </c>
      <c r="AQ3401" s="23">
        <v>4</v>
      </c>
      <c r="AR3401" s="23">
        <v>9</v>
      </c>
      <c r="AS3401" s="23">
        <v>6</v>
      </c>
      <c r="AT3401" s="23">
        <v>2</v>
      </c>
      <c r="AU3401" s="14" t="str">
        <f>HYPERLINK("http://www.openstreetmap.org/?mlat=36.2046&amp;mlon=44.8247&amp;zoom=12#map=12/36.2046/44.8247","Maplink1")</f>
        <v>Maplink1</v>
      </c>
      <c r="AV3401" s="14" t="str">
        <f>HYPERLINK("https://www.google.iq/maps/search/+36.2046,44.8247/@36.2046,44.8247,14z?hl=en","Maplink2")</f>
        <v>Maplink2</v>
      </c>
      <c r="AW3401" s="14" t="str">
        <f>HYPERLINK("http://www.bing.com/maps/?lvl=14&amp;sty=h&amp;cp=36.2046~44.8247&amp;sp=point.36.2046_44.8247_Chwarqurna-Rzgari","Maplink3")</f>
        <v>Maplink3</v>
      </c>
    </row>
    <row r="3402" spans="1:49" ht="15" customHeight="1" x14ac:dyDescent="0.25">
      <c r="A3402" s="21">
        <v>25521</v>
      </c>
      <c r="B3402" s="22" t="s">
        <v>24</v>
      </c>
      <c r="C3402" s="22" t="s">
        <v>6537</v>
      </c>
      <c r="D3402" s="22" t="s">
        <v>6550</v>
      </c>
      <c r="E3402" s="22" t="s">
        <v>6551</v>
      </c>
      <c r="F3402" s="22">
        <v>36.258279999999999</v>
      </c>
      <c r="G3402" s="22">
        <v>44.89902</v>
      </c>
      <c r="H3402" s="21" t="s">
        <v>6283</v>
      </c>
      <c r="I3402" s="21" t="s">
        <v>6539</v>
      </c>
      <c r="J3402" s="21"/>
      <c r="K3402" s="24">
        <v>10</v>
      </c>
      <c r="L3402" s="24">
        <v>60</v>
      </c>
      <c r="M3402" s="23">
        <v>2</v>
      </c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>
        <v>8</v>
      </c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10</v>
      </c>
      <c r="AL3402" s="23"/>
      <c r="AM3402" s="23"/>
      <c r="AN3402" s="23"/>
      <c r="AO3402" s="23"/>
      <c r="AP3402" s="23"/>
      <c r="AQ3402" s="23">
        <v>8</v>
      </c>
      <c r="AR3402" s="23">
        <v>2</v>
      </c>
      <c r="AS3402" s="23"/>
      <c r="AT3402" s="23"/>
      <c r="AU3402" s="14" t="str">
        <f>HYPERLINK("http://www.openstreetmap.org/?mlat=36.2583&amp;mlon=44.899&amp;zoom=12#map=12/36.2583/44.899","Maplink1")</f>
        <v>Maplink1</v>
      </c>
      <c r="AV3402" s="14" t="str">
        <f>HYPERLINK("https://www.google.iq/maps/search/+36.2583,44.899/@36.2583,44.899,14z?hl=en","Maplink2")</f>
        <v>Maplink2</v>
      </c>
      <c r="AW3402" s="14" t="str">
        <f>HYPERLINK("http://www.bing.com/maps/?lvl=14&amp;sty=h&amp;cp=36.2583~44.899&amp;sp=point.36.2583_44.899_Rozh City","Maplink3")</f>
        <v>Maplink3</v>
      </c>
    </row>
    <row r="3403" spans="1:49" ht="15" customHeight="1" x14ac:dyDescent="0.25">
      <c r="A3403" s="21">
        <v>25297</v>
      </c>
      <c r="B3403" s="22" t="s">
        <v>24</v>
      </c>
      <c r="C3403" s="22" t="s">
        <v>6537</v>
      </c>
      <c r="D3403" s="22" t="s">
        <v>9161</v>
      </c>
      <c r="E3403" s="22" t="s">
        <v>6541</v>
      </c>
      <c r="F3403" s="22">
        <v>36.217410000000001</v>
      </c>
      <c r="G3403" s="22">
        <v>44.836440000000003</v>
      </c>
      <c r="H3403" s="21" t="s">
        <v>6283</v>
      </c>
      <c r="I3403" s="21" t="s">
        <v>6539</v>
      </c>
      <c r="J3403" s="21"/>
      <c r="K3403" s="24">
        <v>26</v>
      </c>
      <c r="L3403" s="24">
        <v>156</v>
      </c>
      <c r="M3403" s="23">
        <v>2</v>
      </c>
      <c r="N3403" s="23"/>
      <c r="O3403" s="23"/>
      <c r="P3403" s="23"/>
      <c r="Q3403" s="23"/>
      <c r="R3403" s="23">
        <v>4</v>
      </c>
      <c r="S3403" s="23"/>
      <c r="T3403" s="23"/>
      <c r="U3403" s="23"/>
      <c r="V3403" s="23"/>
      <c r="W3403" s="23"/>
      <c r="X3403" s="23"/>
      <c r="Y3403" s="23">
        <v>14</v>
      </c>
      <c r="Z3403" s="23"/>
      <c r="AA3403" s="23">
        <v>6</v>
      </c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26</v>
      </c>
      <c r="AL3403" s="23"/>
      <c r="AM3403" s="23"/>
      <c r="AN3403" s="23"/>
      <c r="AO3403" s="23"/>
      <c r="AP3403" s="23">
        <v>12</v>
      </c>
      <c r="AQ3403" s="23">
        <v>12</v>
      </c>
      <c r="AR3403" s="23"/>
      <c r="AS3403" s="23">
        <v>2</v>
      </c>
      <c r="AT3403" s="23"/>
      <c r="AU3403" s="14" t="str">
        <f>HYPERLINK("http://www.openstreetmap.org/?mlat=36.2174&amp;mlon=44.8364&amp;zoom=12#map=12/36.2174/44.8364","Maplink1")</f>
        <v>Maplink1</v>
      </c>
      <c r="AV3403" s="14" t="str">
        <f>HYPERLINK("https://www.google.iq/maps/search/+36.2174,44.8364/@36.2174,44.8364,14z?hl=en","Maplink2")</f>
        <v>Maplink2</v>
      </c>
      <c r="AW3403" s="14" t="str">
        <f>HYPERLINK("http://www.bing.com/maps/?lvl=14&amp;sty=h&amp;cp=36.2174~44.8364&amp;sp=point.36.2174_44.8364_Chwarqurna-Rozh halat","Maplink3")</f>
        <v>Maplink3</v>
      </c>
    </row>
    <row r="3404" spans="1:49" ht="15" customHeight="1" x14ac:dyDescent="0.25">
      <c r="A3404" s="21">
        <v>25574</v>
      </c>
      <c r="B3404" s="22" t="s">
        <v>24</v>
      </c>
      <c r="C3404" s="22" t="s">
        <v>6537</v>
      </c>
      <c r="D3404" s="22" t="s">
        <v>2967</v>
      </c>
      <c r="E3404" s="22" t="s">
        <v>2968</v>
      </c>
      <c r="F3404" s="22">
        <v>36.261980000000001</v>
      </c>
      <c r="G3404" s="22">
        <v>44.884880000000003</v>
      </c>
      <c r="H3404" s="21" t="s">
        <v>6283</v>
      </c>
      <c r="I3404" s="21" t="s">
        <v>6539</v>
      </c>
      <c r="J3404" s="21"/>
      <c r="K3404" s="24">
        <v>41</v>
      </c>
      <c r="L3404" s="24">
        <v>246</v>
      </c>
      <c r="M3404" s="23">
        <v>41</v>
      </c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41</v>
      </c>
      <c r="AL3404" s="23"/>
      <c r="AM3404" s="23"/>
      <c r="AN3404" s="23"/>
      <c r="AO3404" s="23">
        <v>8</v>
      </c>
      <c r="AP3404" s="23">
        <v>10</v>
      </c>
      <c r="AQ3404" s="23"/>
      <c r="AR3404" s="23">
        <v>15</v>
      </c>
      <c r="AS3404" s="23">
        <v>8</v>
      </c>
      <c r="AT3404" s="23"/>
      <c r="AU3404" s="14" t="str">
        <f>HYPERLINK("http://www.openstreetmap.org/?mlat=36.262&amp;mlon=44.8849&amp;zoom=12#map=12/36.262/44.8849","Maplink1")</f>
        <v>Maplink1</v>
      </c>
      <c r="AV3404" s="14" t="str">
        <f>HYPERLINK("https://www.google.iq/maps/search/+36.262,44.8849/@36.262,44.8849,14z?hl=en","Maplink2")</f>
        <v>Maplink2</v>
      </c>
      <c r="AW3404" s="14" t="str">
        <f>HYPERLINK("http://www.bing.com/maps/?lvl=14&amp;sty=h&amp;cp=36.262~44.8849&amp;sp=point.36.262_44.8849_Shahidan","Maplink3")</f>
        <v>Maplink3</v>
      </c>
    </row>
    <row r="3405" spans="1:49" ht="15" customHeight="1" x14ac:dyDescent="0.25">
      <c r="A3405" s="21">
        <v>24895</v>
      </c>
      <c r="B3405" s="22" t="s">
        <v>24</v>
      </c>
      <c r="C3405" s="22" t="s">
        <v>6537</v>
      </c>
      <c r="D3405" s="22" t="s">
        <v>6552</v>
      </c>
      <c r="E3405" s="22" t="s">
        <v>6553</v>
      </c>
      <c r="F3405" s="22">
        <v>36.240369999999999</v>
      </c>
      <c r="G3405" s="22">
        <v>44.771149999999999</v>
      </c>
      <c r="H3405" s="21" t="s">
        <v>6283</v>
      </c>
      <c r="I3405" s="21" t="s">
        <v>6539</v>
      </c>
      <c r="J3405" s="21"/>
      <c r="K3405" s="24">
        <v>31</v>
      </c>
      <c r="L3405" s="24">
        <v>186</v>
      </c>
      <c r="M3405" s="23">
        <v>25</v>
      </c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>
        <v>6</v>
      </c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31</v>
      </c>
      <c r="AL3405" s="23"/>
      <c r="AM3405" s="23"/>
      <c r="AN3405" s="23"/>
      <c r="AO3405" s="23">
        <v>7</v>
      </c>
      <c r="AP3405" s="23">
        <v>16</v>
      </c>
      <c r="AQ3405" s="23"/>
      <c r="AR3405" s="23">
        <v>5</v>
      </c>
      <c r="AS3405" s="23">
        <v>3</v>
      </c>
      <c r="AT3405" s="23"/>
      <c r="AU3405" s="14" t="str">
        <f>HYPERLINK("http://www.openstreetmap.org/?mlat=36.2404&amp;mlon=44.7711&amp;zoom=12#map=12/36.2404/44.7711","Maplink1")</f>
        <v>Maplink1</v>
      </c>
      <c r="AV3405" s="14" t="str">
        <f>HYPERLINK("https://www.google.iq/maps/search/+36.2404,44.7711/@36.2404,44.7711,14z?hl=en","Maplink2")</f>
        <v>Maplink2</v>
      </c>
      <c r="AW3405" s="14" t="str">
        <f>HYPERLINK("http://www.bing.com/maps/?lvl=14&amp;sty=h&amp;cp=36.2404~44.7711&amp;sp=point.36.2404_44.7711_Shishar","Maplink3")</f>
        <v>Maplink3</v>
      </c>
    </row>
    <row r="3406" spans="1:49" ht="15" customHeight="1" x14ac:dyDescent="0.25">
      <c r="A3406" s="21">
        <v>24896</v>
      </c>
      <c r="B3406" s="22" t="s">
        <v>24</v>
      </c>
      <c r="C3406" s="22" t="s">
        <v>6537</v>
      </c>
      <c r="D3406" s="22" t="s">
        <v>6554</v>
      </c>
      <c r="E3406" s="22" t="s">
        <v>9162</v>
      </c>
      <c r="F3406" s="22">
        <v>36.232419999999998</v>
      </c>
      <c r="G3406" s="22">
        <v>44.802390000000003</v>
      </c>
      <c r="H3406" s="21" t="s">
        <v>6283</v>
      </c>
      <c r="I3406" s="21" t="s">
        <v>6539</v>
      </c>
      <c r="J3406" s="21"/>
      <c r="K3406" s="24">
        <v>25</v>
      </c>
      <c r="L3406" s="24">
        <v>150</v>
      </c>
      <c r="M3406" s="23">
        <v>21</v>
      </c>
      <c r="N3406" s="23"/>
      <c r="O3406" s="23">
        <v>3</v>
      </c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>
        <v>1</v>
      </c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25</v>
      </c>
      <c r="AL3406" s="23"/>
      <c r="AM3406" s="23"/>
      <c r="AN3406" s="23"/>
      <c r="AO3406" s="23">
        <v>10</v>
      </c>
      <c r="AP3406" s="23">
        <v>12</v>
      </c>
      <c r="AQ3406" s="23"/>
      <c r="AR3406" s="23">
        <v>3</v>
      </c>
      <c r="AS3406" s="23"/>
      <c r="AT3406" s="23"/>
      <c r="AU3406" s="14" t="str">
        <f>HYPERLINK("http://www.openstreetmap.org/?mlat=36.2324&amp;mlon=44.8024&amp;zoom=12#map=12/36.2324/44.8024","Maplink1")</f>
        <v>Maplink1</v>
      </c>
      <c r="AV3406" s="14" t="str">
        <f>HYPERLINK("https://www.google.iq/maps/search/+36.2324,44.8024/@36.2324,44.8024,14z?hl=en","Maplink2")</f>
        <v>Maplink2</v>
      </c>
      <c r="AW3406" s="14" t="str">
        <f>HYPERLINK("http://www.bing.com/maps/?lvl=14&amp;sty=h&amp;cp=36.2324~44.8024&amp;sp=point.36.2324_44.8024_Tekoshar","Maplink3")</f>
        <v>Maplink3</v>
      </c>
    </row>
    <row r="3407" spans="1:49" ht="15" customHeight="1" x14ac:dyDescent="0.25">
      <c r="A3407" s="21">
        <v>25295</v>
      </c>
      <c r="B3407" s="22" t="s">
        <v>24</v>
      </c>
      <c r="C3407" s="22" t="s">
        <v>6537</v>
      </c>
      <c r="D3407" s="22" t="s">
        <v>6555</v>
      </c>
      <c r="E3407" s="22" t="s">
        <v>6556</v>
      </c>
      <c r="F3407" s="22">
        <v>36.204210000000003</v>
      </c>
      <c r="G3407" s="22">
        <v>44.82694</v>
      </c>
      <c r="H3407" s="21" t="s">
        <v>6283</v>
      </c>
      <c r="I3407" s="21" t="s">
        <v>6539</v>
      </c>
      <c r="J3407" s="21"/>
      <c r="K3407" s="24">
        <v>32</v>
      </c>
      <c r="L3407" s="24">
        <v>192</v>
      </c>
      <c r="M3407" s="23">
        <v>18</v>
      </c>
      <c r="N3407" s="23"/>
      <c r="O3407" s="23">
        <v>14</v>
      </c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32</v>
      </c>
      <c r="AL3407" s="23"/>
      <c r="AM3407" s="23"/>
      <c r="AN3407" s="23"/>
      <c r="AO3407" s="23">
        <v>8</v>
      </c>
      <c r="AP3407" s="23">
        <v>15</v>
      </c>
      <c r="AQ3407" s="23">
        <v>7</v>
      </c>
      <c r="AR3407" s="23"/>
      <c r="AS3407" s="23"/>
      <c r="AT3407" s="23">
        <v>2</v>
      </c>
      <c r="AU3407" s="14" t="str">
        <f>HYPERLINK("http://www.openstreetmap.org/?mlat=36.2042&amp;mlon=44.8269&amp;zoom=12#map=12/36.2042/44.8269","Maplink1")</f>
        <v>Maplink1</v>
      </c>
      <c r="AV3407" s="14" t="str">
        <f>HYPERLINK("https://www.google.iq/maps/search/+36.2042,44.8269/@36.2042,44.8269,14z?hl=en","Maplink2")</f>
        <v>Maplink2</v>
      </c>
      <c r="AW3407" s="14" t="str">
        <f>HYPERLINK("http://www.bing.com/maps/?lvl=14&amp;sty=h&amp;cp=36.2042~44.8269&amp;sp=point.36.2042_44.8269_Yakiati","Maplink3")</f>
        <v>Maplink3</v>
      </c>
    </row>
    <row r="3408" spans="1:49" ht="15" customHeight="1" x14ac:dyDescent="0.25">
      <c r="A3408" s="21">
        <v>4307</v>
      </c>
      <c r="B3408" s="22" t="s">
        <v>24</v>
      </c>
      <c r="C3408" s="22" t="s">
        <v>6557</v>
      </c>
      <c r="D3408" s="22" t="s">
        <v>6559</v>
      </c>
      <c r="E3408" s="22" t="s">
        <v>6560</v>
      </c>
      <c r="F3408" s="22">
        <v>35.798070000000003</v>
      </c>
      <c r="G3408" s="22">
        <v>45.352339999999998</v>
      </c>
      <c r="H3408" s="21" t="s">
        <v>6283</v>
      </c>
      <c r="I3408" s="21" t="s">
        <v>6558</v>
      </c>
      <c r="J3408" s="21" t="s">
        <v>6561</v>
      </c>
      <c r="K3408" s="24">
        <v>8</v>
      </c>
      <c r="L3408" s="24">
        <v>48</v>
      </c>
      <c r="M3408" s="23"/>
      <c r="N3408" s="23">
        <v>1</v>
      </c>
      <c r="O3408" s="23">
        <v>1</v>
      </c>
      <c r="P3408" s="23"/>
      <c r="Q3408" s="23"/>
      <c r="R3408" s="23">
        <v>3</v>
      </c>
      <c r="S3408" s="23"/>
      <c r="T3408" s="23"/>
      <c r="U3408" s="23"/>
      <c r="V3408" s="23"/>
      <c r="W3408" s="23"/>
      <c r="X3408" s="23"/>
      <c r="Y3408" s="23">
        <v>3</v>
      </c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>
        <v>3</v>
      </c>
      <c r="AJ3408" s="23"/>
      <c r="AK3408" s="23">
        <v>5</v>
      </c>
      <c r="AL3408" s="23"/>
      <c r="AM3408" s="23"/>
      <c r="AN3408" s="23"/>
      <c r="AO3408" s="23"/>
      <c r="AP3408" s="23">
        <v>4</v>
      </c>
      <c r="AQ3408" s="23">
        <v>4</v>
      </c>
      <c r="AR3408" s="23"/>
      <c r="AS3408" s="23"/>
      <c r="AT3408" s="23"/>
      <c r="AU3408" s="14" t="str">
        <f>HYPERLINK("http://www.openstreetmap.org/?mlat=35.8047&amp;mlon=45.3474&amp;zoom=12#map=12/35.8047/45.3474","Maplink1")</f>
        <v>Maplink1</v>
      </c>
      <c r="AV3408" s="14" t="str">
        <f>HYPERLINK("https://www.google.iq/maps/search/+35.8047,45.3474/@35.8047,45.3474,14z?hl=en","Maplink2")</f>
        <v>Maplink2</v>
      </c>
      <c r="AW3408" s="14" t="str">
        <f>HYPERLINK("http://www.bing.com/maps/?lvl=14&amp;sty=h&amp;cp=35.8047~45.3474&amp;sp=point.35.8047_45.3474_Gapilon","Maplink3")</f>
        <v>Maplink3</v>
      </c>
    </row>
    <row r="3409" spans="1:49" ht="15" customHeight="1" x14ac:dyDescent="0.25">
      <c r="A3409" s="21">
        <v>4239</v>
      </c>
      <c r="B3409" s="22" t="s">
        <v>24</v>
      </c>
      <c r="C3409" s="22" t="s">
        <v>6557</v>
      </c>
      <c r="D3409" s="22" t="s">
        <v>6562</v>
      </c>
      <c r="E3409" s="22" t="s">
        <v>6563</v>
      </c>
      <c r="F3409" s="22">
        <v>35.635640000000002</v>
      </c>
      <c r="G3409" s="22">
        <v>45.516240000000003</v>
      </c>
      <c r="H3409" s="21" t="s">
        <v>6283</v>
      </c>
      <c r="I3409" s="21" t="s">
        <v>6558</v>
      </c>
      <c r="J3409" s="21" t="s">
        <v>6564</v>
      </c>
      <c r="K3409" s="24">
        <v>85</v>
      </c>
      <c r="L3409" s="24">
        <v>510</v>
      </c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>
        <v>85</v>
      </c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>
        <v>15</v>
      </c>
      <c r="AJ3409" s="23">
        <v>26</v>
      </c>
      <c r="AK3409" s="23">
        <v>35</v>
      </c>
      <c r="AL3409" s="23"/>
      <c r="AM3409" s="23">
        <v>9</v>
      </c>
      <c r="AN3409" s="23"/>
      <c r="AO3409" s="23"/>
      <c r="AP3409" s="23"/>
      <c r="AQ3409" s="23">
        <v>85</v>
      </c>
      <c r="AR3409" s="23"/>
      <c r="AS3409" s="23"/>
      <c r="AT3409" s="23"/>
      <c r="AU3409" s="14" t="str">
        <f>HYPERLINK("http://www.openstreetmap.org/?mlat=35.63&amp;mlon=45.51&amp;zoom=12#map=12/35.63/45.51","Maplink1")</f>
        <v>Maplink1</v>
      </c>
      <c r="AV3409" s="14" t="str">
        <f>HYPERLINK("https://www.google.iq/maps/search/+35.63,45.51/@35.63,45.51,14z?hl=en","Maplink2")</f>
        <v>Maplink2</v>
      </c>
      <c r="AW3409" s="14" t="str">
        <f>HYPERLINK("http://www.bing.com/maps/?lvl=14&amp;sty=h&amp;cp=35.63~45.51&amp;sp=point.35.63_45.51_Sitak","Maplink3")</f>
        <v>Maplink3</v>
      </c>
    </row>
    <row r="3410" spans="1:49" ht="15" customHeight="1" x14ac:dyDescent="0.25">
      <c r="A3410" s="21">
        <v>4233</v>
      </c>
      <c r="B3410" s="22" t="s">
        <v>24</v>
      </c>
      <c r="C3410" s="22" t="s">
        <v>6557</v>
      </c>
      <c r="D3410" s="22" t="s">
        <v>6565</v>
      </c>
      <c r="E3410" s="22" t="s">
        <v>6566</v>
      </c>
      <c r="F3410" s="22">
        <v>35.67501</v>
      </c>
      <c r="G3410" s="22">
        <v>45.529690000000002</v>
      </c>
      <c r="H3410" s="21" t="s">
        <v>6283</v>
      </c>
      <c r="I3410" s="21" t="s">
        <v>6558</v>
      </c>
      <c r="J3410" s="21" t="s">
        <v>6567</v>
      </c>
      <c r="K3410" s="24">
        <v>22</v>
      </c>
      <c r="L3410" s="24">
        <v>132</v>
      </c>
      <c r="M3410" s="23"/>
      <c r="N3410" s="23"/>
      <c r="O3410" s="23">
        <v>2</v>
      </c>
      <c r="P3410" s="23"/>
      <c r="Q3410" s="23"/>
      <c r="R3410" s="23"/>
      <c r="S3410" s="23"/>
      <c r="T3410" s="23"/>
      <c r="U3410" s="23"/>
      <c r="V3410" s="23"/>
      <c r="W3410" s="23"/>
      <c r="X3410" s="23"/>
      <c r="Y3410" s="23">
        <v>20</v>
      </c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>
        <v>10</v>
      </c>
      <c r="AJ3410" s="23"/>
      <c r="AK3410" s="23">
        <v>12</v>
      </c>
      <c r="AL3410" s="23"/>
      <c r="AM3410" s="23"/>
      <c r="AN3410" s="23"/>
      <c r="AO3410" s="23"/>
      <c r="AP3410" s="23"/>
      <c r="AQ3410" s="23">
        <v>20</v>
      </c>
      <c r="AR3410" s="23"/>
      <c r="AS3410" s="23"/>
      <c r="AT3410" s="23">
        <v>2</v>
      </c>
      <c r="AU3410" s="14" t="str">
        <f>HYPERLINK("http://www.openstreetmap.org/?mlat=35.67&amp;mlon=45.52&amp;zoom=12#map=12/35.67/45.52","Maplink1")</f>
        <v>Maplink1</v>
      </c>
      <c r="AV3410" s="14" t="str">
        <f>HYPERLINK("https://www.google.iq/maps/search/+35.67,45.52/@35.67,45.52,14z?hl=en","Maplink2")</f>
        <v>Maplink2</v>
      </c>
      <c r="AW3410" s="14" t="str">
        <f>HYPERLINK("http://www.bing.com/maps/?lvl=14&amp;sty=h&amp;cp=35.67~45.52&amp;sp=point.35.67_45.52_Tagaran","Maplink3")</f>
        <v>Maplink3</v>
      </c>
    </row>
    <row r="3411" spans="1:49" ht="15" customHeight="1" x14ac:dyDescent="0.25">
      <c r="A3411" s="21">
        <v>23716</v>
      </c>
      <c r="B3411" s="22" t="s">
        <v>24</v>
      </c>
      <c r="C3411" s="22" t="s">
        <v>6568</v>
      </c>
      <c r="D3411" s="22" t="s">
        <v>6569</v>
      </c>
      <c r="E3411" s="22" t="s">
        <v>6570</v>
      </c>
      <c r="F3411" s="22">
        <v>35.55077</v>
      </c>
      <c r="G3411" s="22">
        <v>45.411859999999997</v>
      </c>
      <c r="H3411" s="21" t="s">
        <v>6283</v>
      </c>
      <c r="I3411" s="21" t="s">
        <v>6571</v>
      </c>
      <c r="J3411" s="21" t="s">
        <v>6572</v>
      </c>
      <c r="K3411" s="24">
        <v>76</v>
      </c>
      <c r="L3411" s="24">
        <v>456</v>
      </c>
      <c r="M3411" s="23">
        <v>58</v>
      </c>
      <c r="N3411" s="23"/>
      <c r="O3411" s="23">
        <v>7</v>
      </c>
      <c r="P3411" s="23"/>
      <c r="Q3411" s="23"/>
      <c r="R3411" s="23"/>
      <c r="S3411" s="23"/>
      <c r="T3411" s="23"/>
      <c r="U3411" s="23"/>
      <c r="V3411" s="23"/>
      <c r="W3411" s="23"/>
      <c r="X3411" s="23"/>
      <c r="Y3411" s="23">
        <v>8</v>
      </c>
      <c r="Z3411" s="23"/>
      <c r="AA3411" s="23">
        <v>3</v>
      </c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76</v>
      </c>
      <c r="AL3411" s="23"/>
      <c r="AM3411" s="23"/>
      <c r="AN3411" s="23"/>
      <c r="AO3411" s="23">
        <v>13</v>
      </c>
      <c r="AP3411" s="23">
        <v>16</v>
      </c>
      <c r="AQ3411" s="23">
        <v>13</v>
      </c>
      <c r="AR3411" s="23">
        <v>26</v>
      </c>
      <c r="AS3411" s="23">
        <v>4</v>
      </c>
      <c r="AT3411" s="23">
        <v>4</v>
      </c>
      <c r="AU3411" s="14" t="str">
        <f>HYPERLINK("http://www.openstreetmap.org/?mlat=35.5508&amp;mlon=45.4119&amp;zoom=12#map=12/35.5508/45.4119","Maplink1")</f>
        <v>Maplink1</v>
      </c>
      <c r="AV3411" s="14" t="str">
        <f>HYPERLINK("https://www.google.iq/maps/search/+35.5508,45.4119/@35.5508,45.4119,14z?hl=en","Maplink2")</f>
        <v>Maplink2</v>
      </c>
      <c r="AW3411" s="14" t="str">
        <f>HYPERLINK("http://www.bing.com/maps/?lvl=14&amp;sty=h&amp;cp=35.5508~45.4119&amp;sp=point.35.5508_45.4119_Ablakh","Maplink3")</f>
        <v>Maplink3</v>
      </c>
    </row>
    <row r="3412" spans="1:49" ht="15" customHeight="1" x14ac:dyDescent="0.25">
      <c r="A3412" s="21">
        <v>24119</v>
      </c>
      <c r="B3412" s="22" t="s">
        <v>24</v>
      </c>
      <c r="C3412" s="22" t="s">
        <v>6568</v>
      </c>
      <c r="D3412" s="22" t="s">
        <v>6573</v>
      </c>
      <c r="E3412" s="22" t="s">
        <v>6574</v>
      </c>
      <c r="F3412" s="22">
        <v>35.554810000000003</v>
      </c>
      <c r="G3412" s="22">
        <v>45.34939</v>
      </c>
      <c r="H3412" s="21" t="s">
        <v>6283</v>
      </c>
      <c r="I3412" s="21" t="s">
        <v>6571</v>
      </c>
      <c r="J3412" s="21" t="s">
        <v>6575</v>
      </c>
      <c r="K3412" s="24">
        <v>42</v>
      </c>
      <c r="L3412" s="24">
        <v>252</v>
      </c>
      <c r="M3412" s="23">
        <v>28</v>
      </c>
      <c r="N3412" s="23"/>
      <c r="O3412" s="23">
        <v>8</v>
      </c>
      <c r="P3412" s="23"/>
      <c r="Q3412" s="23"/>
      <c r="R3412" s="23">
        <v>4</v>
      </c>
      <c r="S3412" s="23"/>
      <c r="T3412" s="23"/>
      <c r="U3412" s="23"/>
      <c r="V3412" s="23"/>
      <c r="W3412" s="23"/>
      <c r="X3412" s="23"/>
      <c r="Y3412" s="23"/>
      <c r="Z3412" s="23"/>
      <c r="AA3412" s="23">
        <v>2</v>
      </c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42</v>
      </c>
      <c r="AL3412" s="23"/>
      <c r="AM3412" s="23"/>
      <c r="AN3412" s="23"/>
      <c r="AO3412" s="23">
        <v>9</v>
      </c>
      <c r="AP3412" s="23">
        <v>15</v>
      </c>
      <c r="AQ3412" s="23"/>
      <c r="AR3412" s="23">
        <v>10</v>
      </c>
      <c r="AS3412" s="23">
        <v>6</v>
      </c>
      <c r="AT3412" s="23">
        <v>2</v>
      </c>
      <c r="AU3412" s="14" t="str">
        <f>HYPERLINK("http://www.openstreetmap.org/?mlat=35.5548&amp;mlon=45.3494&amp;zoom=12#map=12/35.5548/45.3494","Maplink1")</f>
        <v>Maplink1</v>
      </c>
      <c r="AV3412" s="14" t="str">
        <f>HYPERLINK("https://www.google.iq/maps/search/+35.5548,45.3494/@35.5548,45.3494,14z?hl=en","Maplink2")</f>
        <v>Maplink2</v>
      </c>
      <c r="AW3412" s="14" t="str">
        <f>HYPERLINK("http://www.bing.com/maps/?lvl=14&amp;sty=h&amp;cp=35.5548~45.3494&amp;sp=point.35.5548_45.3494_Alban","Maplink3")</f>
        <v>Maplink3</v>
      </c>
    </row>
    <row r="3413" spans="1:49" ht="15" customHeight="1" x14ac:dyDescent="0.25">
      <c r="A3413" s="21">
        <v>23635</v>
      </c>
      <c r="B3413" s="22" t="s">
        <v>24</v>
      </c>
      <c r="C3413" s="22" t="s">
        <v>6568</v>
      </c>
      <c r="D3413" s="22" t="s">
        <v>6578</v>
      </c>
      <c r="E3413" s="22" t="s">
        <v>6579</v>
      </c>
      <c r="F3413" s="22">
        <v>35.558509999999998</v>
      </c>
      <c r="G3413" s="22">
        <v>45.425240000000002</v>
      </c>
      <c r="H3413" s="21" t="s">
        <v>6283</v>
      </c>
      <c r="I3413" s="21" t="s">
        <v>6571</v>
      </c>
      <c r="J3413" s="21" t="s">
        <v>6580</v>
      </c>
      <c r="K3413" s="24">
        <v>56</v>
      </c>
      <c r="L3413" s="24">
        <v>336</v>
      </c>
      <c r="M3413" s="23">
        <v>36</v>
      </c>
      <c r="N3413" s="23"/>
      <c r="O3413" s="23">
        <v>13</v>
      </c>
      <c r="P3413" s="23"/>
      <c r="Q3413" s="23"/>
      <c r="R3413" s="23"/>
      <c r="S3413" s="23"/>
      <c r="T3413" s="23"/>
      <c r="U3413" s="23"/>
      <c r="V3413" s="23"/>
      <c r="W3413" s="23"/>
      <c r="X3413" s="23"/>
      <c r="Y3413" s="23">
        <v>7</v>
      </c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56</v>
      </c>
      <c r="AL3413" s="23"/>
      <c r="AM3413" s="23"/>
      <c r="AN3413" s="23"/>
      <c r="AO3413" s="23">
        <v>14</v>
      </c>
      <c r="AP3413" s="23">
        <v>10</v>
      </c>
      <c r="AQ3413" s="23">
        <v>4</v>
      </c>
      <c r="AR3413" s="23">
        <v>12</v>
      </c>
      <c r="AS3413" s="23">
        <v>11</v>
      </c>
      <c r="AT3413" s="23">
        <v>5</v>
      </c>
      <c r="AU3413" s="14" t="str">
        <f>HYPERLINK("http://www.openstreetmap.org/?mlat=35.5585&amp;mlon=45.4252&amp;zoom=12#map=12/35.5585/45.4252","Maplink1")</f>
        <v>Maplink1</v>
      </c>
      <c r="AV3413" s="14" t="str">
        <f>HYPERLINK("https://www.google.iq/maps/search/+35.5585,45.4252/@35.5585,45.4252,14z?hl=en","Maplink2")</f>
        <v>Maplink2</v>
      </c>
      <c r="AW3413" s="14" t="str">
        <f>HYPERLINK("http://www.bing.com/maps/?lvl=14&amp;sty=h&amp;cp=35.5585~45.4252&amp;sp=point.35.5585_45.4252_Aqari","Maplink3")</f>
        <v>Maplink3</v>
      </c>
    </row>
    <row r="3414" spans="1:49" ht="15" customHeight="1" x14ac:dyDescent="0.25">
      <c r="A3414" s="21">
        <v>23692</v>
      </c>
      <c r="B3414" s="22" t="s">
        <v>24</v>
      </c>
      <c r="C3414" s="22" t="s">
        <v>6568</v>
      </c>
      <c r="D3414" s="22" t="s">
        <v>7390</v>
      </c>
      <c r="E3414" s="22" t="s">
        <v>8120</v>
      </c>
      <c r="F3414" s="22">
        <v>35.430570000000003</v>
      </c>
      <c r="G3414" s="22">
        <v>45.590690000000002</v>
      </c>
      <c r="H3414" s="21" t="s">
        <v>6283</v>
      </c>
      <c r="I3414" s="21" t="s">
        <v>6571</v>
      </c>
      <c r="J3414" s="21" t="s">
        <v>6581</v>
      </c>
      <c r="K3414" s="24">
        <v>413</v>
      </c>
      <c r="L3414" s="24">
        <v>2478</v>
      </c>
      <c r="M3414" s="23"/>
      <c r="N3414" s="23">
        <v>1</v>
      </c>
      <c r="O3414" s="23"/>
      <c r="P3414" s="23"/>
      <c r="Q3414" s="23"/>
      <c r="R3414" s="23">
        <v>3</v>
      </c>
      <c r="S3414" s="23"/>
      <c r="T3414" s="23"/>
      <c r="U3414" s="23"/>
      <c r="V3414" s="23"/>
      <c r="W3414" s="23"/>
      <c r="X3414" s="23"/>
      <c r="Y3414" s="23">
        <v>14</v>
      </c>
      <c r="Z3414" s="23"/>
      <c r="AA3414" s="23">
        <v>395</v>
      </c>
      <c r="AB3414" s="23"/>
      <c r="AC3414" s="23"/>
      <c r="AD3414" s="23"/>
      <c r="AE3414" s="23">
        <v>413</v>
      </c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>
        <v>17</v>
      </c>
      <c r="AQ3414" s="23">
        <v>1</v>
      </c>
      <c r="AR3414" s="23">
        <v>395</v>
      </c>
      <c r="AS3414" s="23"/>
      <c r="AT3414" s="23"/>
      <c r="AU3414" s="14" t="str">
        <f>HYPERLINK("http://www.openstreetmap.org/?mlat=35.4306&amp;mlon=45.5907&amp;zoom=12#map=12/35.4306/45.5907","Maplink1")</f>
        <v>Maplink1</v>
      </c>
      <c r="AV3414" s="14" t="str">
        <f>HYPERLINK("https://www.google.iq/maps/search/+35.4306,45.5907/@35.4306,45.5907,14z?hl=en","Maplink2")</f>
        <v>Maplink2</v>
      </c>
      <c r="AW3414" s="14" t="str">
        <f>HYPERLINK("http://www.bing.com/maps/?lvl=14&amp;sty=h&amp;cp=35.4306~45.5907&amp;sp=point.35.4306_45.5907_Arbat Camp","Maplink3")</f>
        <v>Maplink3</v>
      </c>
    </row>
    <row r="3415" spans="1:49" ht="15" customHeight="1" x14ac:dyDescent="0.25">
      <c r="A3415" s="21">
        <v>25289</v>
      </c>
      <c r="B3415" s="22" t="s">
        <v>24</v>
      </c>
      <c r="C3415" s="22" t="s">
        <v>6568</v>
      </c>
      <c r="D3415" s="22" t="s">
        <v>6582</v>
      </c>
      <c r="E3415" s="22" t="s">
        <v>6583</v>
      </c>
      <c r="F3415" s="22">
        <v>35.420960000000001</v>
      </c>
      <c r="G3415" s="22">
        <v>45.580190000000002</v>
      </c>
      <c r="H3415" s="21" t="s">
        <v>6283</v>
      </c>
      <c r="I3415" s="21" t="s">
        <v>6571</v>
      </c>
      <c r="J3415" s="21"/>
      <c r="K3415" s="24">
        <v>24</v>
      </c>
      <c r="L3415" s="24">
        <v>144</v>
      </c>
      <c r="M3415" s="23">
        <v>2</v>
      </c>
      <c r="N3415" s="23">
        <v>5</v>
      </c>
      <c r="O3415" s="23"/>
      <c r="P3415" s="23"/>
      <c r="Q3415" s="23"/>
      <c r="R3415" s="23">
        <v>14</v>
      </c>
      <c r="S3415" s="23"/>
      <c r="T3415" s="23"/>
      <c r="U3415" s="23"/>
      <c r="V3415" s="23"/>
      <c r="W3415" s="23"/>
      <c r="X3415" s="23"/>
      <c r="Y3415" s="23"/>
      <c r="Z3415" s="23"/>
      <c r="AA3415" s="23">
        <v>3</v>
      </c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24</v>
      </c>
      <c r="AL3415" s="23"/>
      <c r="AM3415" s="23"/>
      <c r="AN3415" s="23"/>
      <c r="AO3415" s="23"/>
      <c r="AP3415" s="23">
        <v>2</v>
      </c>
      <c r="AQ3415" s="23">
        <v>2</v>
      </c>
      <c r="AR3415" s="23">
        <v>15</v>
      </c>
      <c r="AS3415" s="23">
        <v>5</v>
      </c>
      <c r="AT3415" s="23"/>
      <c r="AU3415" s="14" t="str">
        <f>HYPERLINK("http://www.openstreetmap.org/?mlat=35.421&amp;mlon=45.5802&amp;zoom=12#map=12/35.421/45.5802","Maplink1")</f>
        <v>Maplink1</v>
      </c>
      <c r="AV3415" s="14" t="str">
        <f>HYPERLINK("https://www.google.iq/maps/search/+35.421,45.5802/@35.421,45.5802,14z?hl=en","Maplink2")</f>
        <v>Maplink2</v>
      </c>
      <c r="AW3415" s="14" t="str">
        <f>HYPERLINK("http://www.bing.com/maps/?lvl=14&amp;sty=h&amp;cp=35.421~45.5802&amp;sp=point.35.421_45.5802_Arbat-Arbat Kon","Maplink3")</f>
        <v>Maplink3</v>
      </c>
    </row>
    <row r="3416" spans="1:49" ht="15" customHeight="1" x14ac:dyDescent="0.25">
      <c r="A3416" s="21">
        <v>25291</v>
      </c>
      <c r="B3416" s="22" t="s">
        <v>24</v>
      </c>
      <c r="C3416" s="22" t="s">
        <v>6568</v>
      </c>
      <c r="D3416" s="22" t="s">
        <v>6584</v>
      </c>
      <c r="E3416" s="22" t="s">
        <v>3520</v>
      </c>
      <c r="F3416" s="22">
        <v>35.425109999999997</v>
      </c>
      <c r="G3416" s="22">
        <v>45.583770000000001</v>
      </c>
      <c r="H3416" s="21" t="s">
        <v>6283</v>
      </c>
      <c r="I3416" s="21" t="s">
        <v>6571</v>
      </c>
      <c r="J3416" s="21"/>
      <c r="K3416" s="24">
        <v>26</v>
      </c>
      <c r="L3416" s="24">
        <v>156</v>
      </c>
      <c r="M3416" s="23">
        <v>17</v>
      </c>
      <c r="N3416" s="23">
        <v>3</v>
      </c>
      <c r="O3416" s="23">
        <v>2</v>
      </c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>
        <v>4</v>
      </c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26</v>
      </c>
      <c r="AL3416" s="23"/>
      <c r="AM3416" s="23"/>
      <c r="AN3416" s="23"/>
      <c r="AO3416" s="23">
        <v>1</v>
      </c>
      <c r="AP3416" s="23">
        <v>4</v>
      </c>
      <c r="AQ3416" s="23">
        <v>3</v>
      </c>
      <c r="AR3416" s="23">
        <v>11</v>
      </c>
      <c r="AS3416" s="23">
        <v>6</v>
      </c>
      <c r="AT3416" s="23">
        <v>1</v>
      </c>
      <c r="AU3416" s="14" t="str">
        <f>HYPERLINK("http://www.openstreetmap.org/?mlat=35.4251&amp;mlon=45.5838&amp;zoom=12#map=12/35.4251/45.5838","Maplink1")</f>
        <v>Maplink1</v>
      </c>
      <c r="AV3416" s="14" t="str">
        <f>HYPERLINK("https://www.google.iq/maps/search/+35.4251,45.5838/@35.4251,45.5838,14z?hl=en","Maplink2")</f>
        <v>Maplink2</v>
      </c>
      <c r="AW3416" s="14" t="str">
        <f>HYPERLINK("http://www.bing.com/maps/?lvl=14&amp;sty=h&amp;cp=35.4251~45.5838&amp;sp=point.35.4251_45.5838_Arbat-Ashty","Maplink3")</f>
        <v>Maplink3</v>
      </c>
    </row>
    <row r="3417" spans="1:49" ht="15" customHeight="1" x14ac:dyDescent="0.25">
      <c r="A3417" s="21">
        <v>25290</v>
      </c>
      <c r="B3417" s="22" t="s">
        <v>24</v>
      </c>
      <c r="C3417" s="22" t="s">
        <v>6568</v>
      </c>
      <c r="D3417" s="22" t="s">
        <v>6585</v>
      </c>
      <c r="E3417" s="22" t="s">
        <v>3746</v>
      </c>
      <c r="F3417" s="22">
        <v>35.427059999999997</v>
      </c>
      <c r="G3417" s="22">
        <v>45.578740000000003</v>
      </c>
      <c r="H3417" s="21" t="s">
        <v>6283</v>
      </c>
      <c r="I3417" s="21" t="s">
        <v>6571</v>
      </c>
      <c r="J3417" s="21"/>
      <c r="K3417" s="24">
        <v>18</v>
      </c>
      <c r="L3417" s="24">
        <v>108</v>
      </c>
      <c r="M3417" s="23">
        <v>12</v>
      </c>
      <c r="N3417" s="23">
        <v>3</v>
      </c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/>
      <c r="Z3417" s="23"/>
      <c r="AA3417" s="23">
        <v>3</v>
      </c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18</v>
      </c>
      <c r="AL3417" s="23"/>
      <c r="AM3417" s="23"/>
      <c r="AN3417" s="23"/>
      <c r="AO3417" s="23"/>
      <c r="AP3417" s="23">
        <v>2</v>
      </c>
      <c r="AQ3417" s="23">
        <v>2</v>
      </c>
      <c r="AR3417" s="23">
        <v>10</v>
      </c>
      <c r="AS3417" s="23">
        <v>4</v>
      </c>
      <c r="AT3417" s="23"/>
      <c r="AU3417" s="14" t="str">
        <f>HYPERLINK("http://www.openstreetmap.org/?mlat=35.4271&amp;mlon=45.5787&amp;zoom=12#map=12/35.4271/45.5787","Maplink1")</f>
        <v>Maplink1</v>
      </c>
      <c r="AV3417" s="14" t="str">
        <f>HYPERLINK("https://www.google.iq/maps/search/+35.4271,45.5787/@35.4271,45.5787,14z?hl=en","Maplink2")</f>
        <v>Maplink2</v>
      </c>
      <c r="AW3417" s="14" t="str">
        <f>HYPERLINK("http://www.bing.com/maps/?lvl=14&amp;sty=h&amp;cp=35.4271~45.5787&amp;sp=point.35.4271_45.5787_Arbat-Qalat","Maplink3")</f>
        <v>Maplink3</v>
      </c>
    </row>
    <row r="3418" spans="1:49" ht="15" customHeight="1" x14ac:dyDescent="0.25">
      <c r="A3418" s="21">
        <v>25292</v>
      </c>
      <c r="B3418" s="22" t="s">
        <v>24</v>
      </c>
      <c r="C3418" s="22" t="s">
        <v>6568</v>
      </c>
      <c r="D3418" s="22" t="s">
        <v>6586</v>
      </c>
      <c r="E3418" s="22" t="s">
        <v>2968</v>
      </c>
      <c r="F3418" s="22">
        <v>35.422199999999997</v>
      </c>
      <c r="G3418" s="22">
        <v>45.579540000000001</v>
      </c>
      <c r="H3418" s="21" t="s">
        <v>6283</v>
      </c>
      <c r="I3418" s="21" t="s">
        <v>6571</v>
      </c>
      <c r="J3418" s="21"/>
      <c r="K3418" s="24">
        <v>39</v>
      </c>
      <c r="L3418" s="24">
        <v>234</v>
      </c>
      <c r="M3418" s="23">
        <v>19</v>
      </c>
      <c r="N3418" s="23">
        <v>16</v>
      </c>
      <c r="O3418" s="23">
        <v>2</v>
      </c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>
        <v>2</v>
      </c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>
        <v>39</v>
      </c>
      <c r="AL3418" s="23"/>
      <c r="AM3418" s="23"/>
      <c r="AN3418" s="23"/>
      <c r="AO3418" s="23">
        <v>2</v>
      </c>
      <c r="AP3418" s="23">
        <v>16</v>
      </c>
      <c r="AQ3418" s="23">
        <v>2</v>
      </c>
      <c r="AR3418" s="23">
        <v>10</v>
      </c>
      <c r="AS3418" s="23">
        <v>8</v>
      </c>
      <c r="AT3418" s="23">
        <v>1</v>
      </c>
      <c r="AU3418" s="14" t="str">
        <f>HYPERLINK("http://www.openstreetmap.org/?mlat=35.4222&amp;mlon=45.5795&amp;zoom=12#map=12/35.4222/45.5795","Maplink1")</f>
        <v>Maplink1</v>
      </c>
      <c r="AV3418" s="14" t="str">
        <f>HYPERLINK("https://www.google.iq/maps/search/+35.4222,45.5795/@35.4222,45.5795,14z?hl=en","Maplink2")</f>
        <v>Maplink2</v>
      </c>
      <c r="AW3418" s="14" t="str">
        <f>HYPERLINK("http://www.bing.com/maps/?lvl=14&amp;sty=h&amp;cp=35.4222~45.5795&amp;sp=point.35.4222_45.5795_Arbat-Shahidan","Maplink3")</f>
        <v>Maplink3</v>
      </c>
    </row>
    <row r="3419" spans="1:49" ht="15" customHeight="1" x14ac:dyDescent="0.25">
      <c r="A3419" s="21">
        <v>26023</v>
      </c>
      <c r="B3419" s="22" t="s">
        <v>24</v>
      </c>
      <c r="C3419" s="22" t="s">
        <v>6568</v>
      </c>
      <c r="D3419" s="22" t="s">
        <v>7391</v>
      </c>
      <c r="E3419" s="22" t="s">
        <v>8121</v>
      </c>
      <c r="F3419" s="22">
        <v>35.417619999999999</v>
      </c>
      <c r="G3419" s="22">
        <v>45.605930000000001</v>
      </c>
      <c r="H3419" s="21" t="s">
        <v>6283</v>
      </c>
      <c r="I3419" s="21" t="s">
        <v>6571</v>
      </c>
      <c r="J3419" s="21"/>
      <c r="K3419" s="24">
        <v>2806</v>
      </c>
      <c r="L3419" s="24">
        <v>16836</v>
      </c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>
        <v>336</v>
      </c>
      <c r="Z3419" s="23"/>
      <c r="AA3419" s="23">
        <v>2470</v>
      </c>
      <c r="AB3419" s="23"/>
      <c r="AC3419" s="23"/>
      <c r="AD3419" s="23"/>
      <c r="AE3419" s="23">
        <v>2806</v>
      </c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>
        <v>336</v>
      </c>
      <c r="AR3419" s="23">
        <v>2470</v>
      </c>
      <c r="AS3419" s="23"/>
      <c r="AT3419" s="23"/>
      <c r="AU3419" s="14" t="str">
        <f>HYPERLINK("http://www.openstreetmap.org/?mlat=35.4284&amp;mlon=45.5928&amp;zoom=12#map=12/35.4284/45.5928","Maplink1")</f>
        <v>Maplink1</v>
      </c>
      <c r="AV3419" s="14" t="str">
        <f>HYPERLINK("https://www.google.iq/maps/search/+35.4284,45.5928/@35.4284,45.5928,14z?hl=en","Maplink2")</f>
        <v>Maplink2</v>
      </c>
      <c r="AW3419" s="14" t="str">
        <f>HYPERLINK("http://www.bing.com/maps/?lvl=14&amp;sty=h&amp;cp=35.4284~45.5928&amp;sp=point.35.4284_45.5928_Tanjaro-Ashty Camp","Maplink3")</f>
        <v>Maplink3</v>
      </c>
    </row>
    <row r="3420" spans="1:49" ht="15" customHeight="1" x14ac:dyDescent="0.25">
      <c r="A3420" s="21">
        <v>21279</v>
      </c>
      <c r="B3420" s="22" t="s">
        <v>24</v>
      </c>
      <c r="C3420" s="22" t="s">
        <v>6568</v>
      </c>
      <c r="D3420" s="22" t="s">
        <v>3519</v>
      </c>
      <c r="E3420" s="22" t="s">
        <v>6587</v>
      </c>
      <c r="F3420" s="22">
        <v>35.562860000000001</v>
      </c>
      <c r="G3420" s="22">
        <v>45.406770000000002</v>
      </c>
      <c r="H3420" s="21" t="s">
        <v>6283</v>
      </c>
      <c r="I3420" s="21" t="s">
        <v>6571</v>
      </c>
      <c r="J3420" s="21" t="s">
        <v>6588</v>
      </c>
      <c r="K3420" s="24">
        <v>104</v>
      </c>
      <c r="L3420" s="24">
        <v>624</v>
      </c>
      <c r="M3420" s="23">
        <v>82</v>
      </c>
      <c r="N3420" s="23"/>
      <c r="O3420" s="23">
        <v>16</v>
      </c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>
        <v>6</v>
      </c>
      <c r="AB3420" s="23"/>
      <c r="AC3420" s="23"/>
      <c r="AD3420" s="23"/>
      <c r="AE3420" s="23"/>
      <c r="AF3420" s="23"/>
      <c r="AG3420" s="23">
        <v>8</v>
      </c>
      <c r="AH3420" s="23"/>
      <c r="AI3420" s="23"/>
      <c r="AJ3420" s="23"/>
      <c r="AK3420" s="23">
        <v>96</v>
      </c>
      <c r="AL3420" s="23"/>
      <c r="AM3420" s="23"/>
      <c r="AN3420" s="23"/>
      <c r="AO3420" s="23">
        <v>17</v>
      </c>
      <c r="AP3420" s="23">
        <v>16</v>
      </c>
      <c r="AQ3420" s="23">
        <v>11</v>
      </c>
      <c r="AR3420" s="23">
        <v>23</v>
      </c>
      <c r="AS3420" s="23">
        <v>28</v>
      </c>
      <c r="AT3420" s="23">
        <v>9</v>
      </c>
      <c r="AU3420" s="14" t="str">
        <f>HYPERLINK("http://www.openstreetmap.org/?mlat=35.5629&amp;mlon=45.4068&amp;zoom=12#map=12/35.5629/45.4068","Maplink1")</f>
        <v>Maplink1</v>
      </c>
      <c r="AV3420" s="14" t="str">
        <f>HYPERLINK("https://www.google.iq/maps/search/+35.5629,45.4068/@35.5629,45.4068,14z?hl=en","Maplink2")</f>
        <v>Maplink2</v>
      </c>
      <c r="AW3420" s="14" t="str">
        <f>HYPERLINK("http://www.bing.com/maps/?lvl=14&amp;sty=h&amp;cp=35.5629~45.4068&amp;sp=point.35.5629_45.4068_Ashty","Maplink3")</f>
        <v>Maplink3</v>
      </c>
    </row>
    <row r="3421" spans="1:49" ht="15" customHeight="1" x14ac:dyDescent="0.25">
      <c r="A3421" s="21">
        <v>25874</v>
      </c>
      <c r="B3421" s="22" t="s">
        <v>24</v>
      </c>
      <c r="C3421" s="22" t="s">
        <v>6568</v>
      </c>
      <c r="D3421" s="22" t="s">
        <v>6589</v>
      </c>
      <c r="E3421" s="22" t="s">
        <v>8122</v>
      </c>
      <c r="F3421" s="22">
        <v>35.583109999999998</v>
      </c>
      <c r="G3421" s="22">
        <v>45.157229999999998</v>
      </c>
      <c r="H3421" s="21" t="s">
        <v>6283</v>
      </c>
      <c r="I3421" s="21" t="s">
        <v>6571</v>
      </c>
      <c r="J3421" s="21"/>
      <c r="K3421" s="24">
        <v>41</v>
      </c>
      <c r="L3421" s="24">
        <v>246</v>
      </c>
      <c r="M3421" s="23">
        <v>23</v>
      </c>
      <c r="N3421" s="23"/>
      <c r="O3421" s="23"/>
      <c r="P3421" s="23"/>
      <c r="Q3421" s="23"/>
      <c r="R3421" s="23">
        <v>3</v>
      </c>
      <c r="S3421" s="23"/>
      <c r="T3421" s="23"/>
      <c r="U3421" s="23"/>
      <c r="V3421" s="23"/>
      <c r="W3421" s="23"/>
      <c r="X3421" s="23"/>
      <c r="Y3421" s="23">
        <v>15</v>
      </c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41</v>
      </c>
      <c r="AL3421" s="23"/>
      <c r="AM3421" s="23"/>
      <c r="AN3421" s="23"/>
      <c r="AO3421" s="23">
        <v>4</v>
      </c>
      <c r="AP3421" s="23">
        <v>3</v>
      </c>
      <c r="AQ3421" s="23">
        <v>15</v>
      </c>
      <c r="AR3421" s="23">
        <v>7</v>
      </c>
      <c r="AS3421" s="23">
        <v>12</v>
      </c>
      <c r="AT3421" s="23"/>
      <c r="AU3421" s="14" t="str">
        <f>HYPERLINK("http://www.openstreetmap.org/?mlat=35.5831&amp;mlon=45.1572&amp;zoom=12#map=12/35.5831/45.1572","Maplink1")</f>
        <v>Maplink1</v>
      </c>
      <c r="AV3421" s="14" t="str">
        <f>HYPERLINK("https://www.google.iq/maps/search/+35.5831,45.1572/@35.5831,45.1572,14z?hl=en","Maplink2")</f>
        <v>Maplink2</v>
      </c>
      <c r="AW3421" s="14" t="str">
        <f>HYPERLINK("http://www.bing.com/maps/?lvl=14&amp;sty=h&amp;cp=35.5831~45.1572&amp;sp=point.35.5831_45.1572_Ashty-Bazyan","Maplink3")</f>
        <v>Maplink3</v>
      </c>
    </row>
    <row r="3422" spans="1:49" ht="15" customHeight="1" x14ac:dyDescent="0.25">
      <c r="A3422" s="21">
        <v>5737</v>
      </c>
      <c r="B3422" s="22" t="s">
        <v>24</v>
      </c>
      <c r="C3422" s="22" t="s">
        <v>6568</v>
      </c>
      <c r="D3422" s="22" t="s">
        <v>6590</v>
      </c>
      <c r="E3422" s="22" t="s">
        <v>6591</v>
      </c>
      <c r="F3422" s="22">
        <v>35.55001</v>
      </c>
      <c r="G3422" s="22">
        <v>45.380009999999999</v>
      </c>
      <c r="H3422" s="21" t="s">
        <v>6283</v>
      </c>
      <c r="I3422" s="21" t="s">
        <v>6571</v>
      </c>
      <c r="J3422" s="21" t="s">
        <v>6592</v>
      </c>
      <c r="K3422" s="24">
        <v>169</v>
      </c>
      <c r="L3422" s="24">
        <v>1014</v>
      </c>
      <c r="M3422" s="23">
        <v>83</v>
      </c>
      <c r="N3422" s="23"/>
      <c r="O3422" s="23">
        <v>32</v>
      </c>
      <c r="P3422" s="23"/>
      <c r="Q3422" s="23"/>
      <c r="R3422" s="23">
        <v>15</v>
      </c>
      <c r="S3422" s="23"/>
      <c r="T3422" s="23"/>
      <c r="U3422" s="23"/>
      <c r="V3422" s="23"/>
      <c r="W3422" s="23"/>
      <c r="X3422" s="23"/>
      <c r="Y3422" s="23">
        <v>15</v>
      </c>
      <c r="Z3422" s="23"/>
      <c r="AA3422" s="23">
        <v>24</v>
      </c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169</v>
      </c>
      <c r="AL3422" s="23"/>
      <c r="AM3422" s="23"/>
      <c r="AN3422" s="23"/>
      <c r="AO3422" s="23">
        <v>12</v>
      </c>
      <c r="AP3422" s="23">
        <v>24</v>
      </c>
      <c r="AQ3422" s="23">
        <v>7</v>
      </c>
      <c r="AR3422" s="23">
        <v>82</v>
      </c>
      <c r="AS3422" s="23">
        <v>30</v>
      </c>
      <c r="AT3422" s="23">
        <v>14</v>
      </c>
      <c r="AU3422" s="14" t="str">
        <f>HYPERLINK("http://www.openstreetmap.org/?mlat=35.55&amp;mlon=45.38&amp;zoom=12#map=12/35.55/45.38","Maplink1")</f>
        <v>Maplink1</v>
      </c>
      <c r="AV3422" s="14" t="str">
        <f>HYPERLINK("https://www.google.iq/maps/search/+35.55,45.38/@35.55,45.38,14z?hl=en","Maplink2")</f>
        <v>Maplink2</v>
      </c>
      <c r="AW3422" s="14" t="str">
        <f>HYPERLINK("http://www.bing.com/maps/?lvl=14&amp;sty=h&amp;cp=35.55~45.38&amp;sp=point.35.55_45.38_Awbara","Maplink3")</f>
        <v>Maplink3</v>
      </c>
    </row>
    <row r="3423" spans="1:49" ht="15" customHeight="1" x14ac:dyDescent="0.25">
      <c r="A3423" s="21">
        <v>21202</v>
      </c>
      <c r="B3423" s="22" t="s">
        <v>24</v>
      </c>
      <c r="C3423" s="22" t="s">
        <v>6568</v>
      </c>
      <c r="D3423" s="22" t="s">
        <v>2828</v>
      </c>
      <c r="E3423" s="22" t="s">
        <v>6288</v>
      </c>
      <c r="F3423" s="22">
        <v>35.567630000000001</v>
      </c>
      <c r="G3423" s="22">
        <v>45.467700000000001</v>
      </c>
      <c r="H3423" s="21" t="s">
        <v>6283</v>
      </c>
      <c r="I3423" s="21" t="s">
        <v>6571</v>
      </c>
      <c r="J3423" s="21" t="s">
        <v>6593</v>
      </c>
      <c r="K3423" s="24">
        <v>154</v>
      </c>
      <c r="L3423" s="24">
        <v>924</v>
      </c>
      <c r="M3423" s="23">
        <v>115</v>
      </c>
      <c r="N3423" s="23"/>
      <c r="O3423" s="23">
        <v>14</v>
      </c>
      <c r="P3423" s="23"/>
      <c r="Q3423" s="23"/>
      <c r="R3423" s="23">
        <v>3</v>
      </c>
      <c r="S3423" s="23"/>
      <c r="T3423" s="23"/>
      <c r="U3423" s="23"/>
      <c r="V3423" s="23"/>
      <c r="W3423" s="23"/>
      <c r="X3423" s="23"/>
      <c r="Y3423" s="23">
        <v>6</v>
      </c>
      <c r="Z3423" s="23"/>
      <c r="AA3423" s="23">
        <v>16</v>
      </c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154</v>
      </c>
      <c r="AL3423" s="23"/>
      <c r="AM3423" s="23"/>
      <c r="AN3423" s="23"/>
      <c r="AO3423" s="23">
        <v>62</v>
      </c>
      <c r="AP3423" s="23">
        <v>18</v>
      </c>
      <c r="AQ3423" s="23">
        <v>6</v>
      </c>
      <c r="AR3423" s="23">
        <v>28</v>
      </c>
      <c r="AS3423" s="23">
        <v>30</v>
      </c>
      <c r="AT3423" s="23">
        <v>10</v>
      </c>
      <c r="AU3423" s="14" t="str">
        <f>HYPERLINK("http://www.openstreetmap.org/?mlat=35.5676&amp;mlon=45.4677&amp;zoom=12#map=12/35.5676/45.4677","Maplink1")</f>
        <v>Maplink1</v>
      </c>
      <c r="AV3423" s="14" t="str">
        <f>HYPERLINK("https://www.google.iq/maps/search/+35.5676,45.4677/@35.5676,45.4677,14z?hl=en","Maplink2")</f>
        <v>Maplink2</v>
      </c>
      <c r="AW3423" s="14" t="str">
        <f>HYPERLINK("http://www.bing.com/maps/?lvl=14&amp;sty=h&amp;cp=35.5676~45.4677&amp;sp=point.35.5676_45.4677_Azadi","Maplink3")</f>
        <v>Maplink3</v>
      </c>
    </row>
    <row r="3424" spans="1:49" ht="15" customHeight="1" x14ac:dyDescent="0.25">
      <c r="A3424" s="21">
        <v>25873</v>
      </c>
      <c r="B3424" s="22" t="s">
        <v>24</v>
      </c>
      <c r="C3424" s="22" t="s">
        <v>6568</v>
      </c>
      <c r="D3424" s="22" t="s">
        <v>6594</v>
      </c>
      <c r="E3424" s="22" t="s">
        <v>8123</v>
      </c>
      <c r="F3424" s="22">
        <v>35.602910000000001</v>
      </c>
      <c r="G3424" s="22">
        <v>45.12527</v>
      </c>
      <c r="H3424" s="21" t="s">
        <v>6283</v>
      </c>
      <c r="I3424" s="21" t="s">
        <v>6571</v>
      </c>
      <c r="J3424" s="21"/>
      <c r="K3424" s="24">
        <v>50</v>
      </c>
      <c r="L3424" s="24">
        <v>300</v>
      </c>
      <c r="M3424" s="23">
        <v>40</v>
      </c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>
        <v>10</v>
      </c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50</v>
      </c>
      <c r="AL3424" s="23"/>
      <c r="AM3424" s="23"/>
      <c r="AN3424" s="23"/>
      <c r="AO3424" s="23">
        <v>3</v>
      </c>
      <c r="AP3424" s="23">
        <v>4</v>
      </c>
      <c r="AQ3424" s="23">
        <v>10</v>
      </c>
      <c r="AR3424" s="23">
        <v>12</v>
      </c>
      <c r="AS3424" s="23">
        <v>19</v>
      </c>
      <c r="AT3424" s="23">
        <v>2</v>
      </c>
      <c r="AU3424" s="14" t="str">
        <f>HYPERLINK("http://www.openstreetmap.org/?mlat=35.6029&amp;mlon=45.1253&amp;zoom=12#map=12/35.6029/45.1253","Maplink1")</f>
        <v>Maplink1</v>
      </c>
      <c r="AV3424" s="14" t="str">
        <f>HYPERLINK("https://www.google.iq/maps/search/+35.6029,45.1253/@35.6029,45.1253,14z?hl=en","Maplink2")</f>
        <v>Maplink2</v>
      </c>
      <c r="AW3424" s="14" t="str">
        <f>HYPERLINK("http://www.bing.com/maps/?lvl=14&amp;sty=h&amp;cp=35.6029~45.1253&amp;sp=point.35.6029_45.1253_Azadi-Bazyan","Maplink3")</f>
        <v>Maplink3</v>
      </c>
    </row>
    <row r="3425" spans="1:49" ht="15" customHeight="1" x14ac:dyDescent="0.25">
      <c r="A3425" s="21">
        <v>21204</v>
      </c>
      <c r="B3425" s="22" t="s">
        <v>24</v>
      </c>
      <c r="C3425" s="22" t="s">
        <v>6568</v>
      </c>
      <c r="D3425" s="22" t="s">
        <v>6595</v>
      </c>
      <c r="E3425" s="22" t="s">
        <v>6414</v>
      </c>
      <c r="F3425" s="22">
        <v>35.57067</v>
      </c>
      <c r="G3425" s="22">
        <v>45.403170000000003</v>
      </c>
      <c r="H3425" s="21" t="s">
        <v>6283</v>
      </c>
      <c r="I3425" s="21" t="s">
        <v>6571</v>
      </c>
      <c r="J3425" s="21" t="s">
        <v>6596</v>
      </c>
      <c r="K3425" s="24">
        <v>146</v>
      </c>
      <c r="L3425" s="24">
        <v>876</v>
      </c>
      <c r="M3425" s="23">
        <v>135</v>
      </c>
      <c r="N3425" s="23"/>
      <c r="O3425" s="23">
        <v>6</v>
      </c>
      <c r="P3425" s="23"/>
      <c r="Q3425" s="23"/>
      <c r="R3425" s="23"/>
      <c r="S3425" s="23"/>
      <c r="T3425" s="23"/>
      <c r="U3425" s="23"/>
      <c r="V3425" s="23"/>
      <c r="W3425" s="23"/>
      <c r="X3425" s="23"/>
      <c r="Y3425" s="23">
        <v>5</v>
      </c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>
        <v>146</v>
      </c>
      <c r="AL3425" s="23"/>
      <c r="AM3425" s="23"/>
      <c r="AN3425" s="23"/>
      <c r="AO3425" s="23">
        <v>15</v>
      </c>
      <c r="AP3425" s="23"/>
      <c r="AQ3425" s="23"/>
      <c r="AR3425" s="23">
        <v>65</v>
      </c>
      <c r="AS3425" s="23">
        <v>52</v>
      </c>
      <c r="AT3425" s="23">
        <v>14</v>
      </c>
      <c r="AU3425" s="14" t="str">
        <f>HYPERLINK("http://www.openstreetmap.org/?mlat=35.5707&amp;mlon=45.4032&amp;zoom=12#map=12/35.5707/45.4032","Maplink1")</f>
        <v>Maplink1</v>
      </c>
      <c r="AV3425" s="14" t="str">
        <f>HYPERLINK("https://www.google.iq/maps/search/+35.5707,45.4032/@35.5707,45.4032,14z?hl=en","Maplink2")</f>
        <v>Maplink2</v>
      </c>
      <c r="AW3425" s="14" t="str">
        <f>HYPERLINK("http://www.bing.com/maps/?lvl=14&amp;sty=h&amp;cp=35.5707~45.4032&amp;sp=point.35.5707_45.4032_Bakhtiyare","Maplink3")</f>
        <v>Maplink3</v>
      </c>
    </row>
    <row r="3426" spans="1:49" ht="15" customHeight="1" x14ac:dyDescent="0.25">
      <c r="A3426" s="21">
        <v>4531</v>
      </c>
      <c r="B3426" s="22" t="s">
        <v>24</v>
      </c>
      <c r="C3426" s="22" t="s">
        <v>6568</v>
      </c>
      <c r="D3426" s="22" t="s">
        <v>6597</v>
      </c>
      <c r="E3426" s="22" t="s">
        <v>6598</v>
      </c>
      <c r="F3426" s="22">
        <v>35.550130000000003</v>
      </c>
      <c r="G3426" s="22">
        <v>45.350059999999999</v>
      </c>
      <c r="H3426" s="21" t="s">
        <v>6283</v>
      </c>
      <c r="I3426" s="21" t="s">
        <v>6571</v>
      </c>
      <c r="J3426" s="21" t="s">
        <v>6599</v>
      </c>
      <c r="K3426" s="24">
        <v>253</v>
      </c>
      <c r="L3426" s="24">
        <v>1518</v>
      </c>
      <c r="M3426" s="23">
        <v>216</v>
      </c>
      <c r="N3426" s="23"/>
      <c r="O3426" s="23">
        <v>23</v>
      </c>
      <c r="P3426" s="23"/>
      <c r="Q3426" s="23"/>
      <c r="R3426" s="23">
        <v>8</v>
      </c>
      <c r="S3426" s="23"/>
      <c r="T3426" s="23"/>
      <c r="U3426" s="23"/>
      <c r="V3426" s="23"/>
      <c r="W3426" s="23"/>
      <c r="X3426" s="23"/>
      <c r="Y3426" s="23">
        <v>6</v>
      </c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253</v>
      </c>
      <c r="AL3426" s="23"/>
      <c r="AM3426" s="23"/>
      <c r="AN3426" s="23"/>
      <c r="AO3426" s="23">
        <v>76</v>
      </c>
      <c r="AP3426" s="23">
        <v>26</v>
      </c>
      <c r="AQ3426" s="23">
        <v>45</v>
      </c>
      <c r="AR3426" s="23">
        <v>72</v>
      </c>
      <c r="AS3426" s="23">
        <v>26</v>
      </c>
      <c r="AT3426" s="23">
        <v>8</v>
      </c>
      <c r="AU3426" s="14" t="str">
        <f>HYPERLINK("http://www.openstreetmap.org/?mlat=35.55&amp;mlon=45.35&amp;zoom=12#map=12/35.55/45.35","Maplink1")</f>
        <v>Maplink1</v>
      </c>
      <c r="AV3426" s="14" t="str">
        <f>HYPERLINK("https://www.google.iq/maps/search/+35.55,45.35/@35.55,45.35,14z?hl=en","Maplink2")</f>
        <v>Maplink2</v>
      </c>
      <c r="AW3426" s="14" t="str">
        <f>HYPERLINK("http://www.bing.com/maps/?lvl=14&amp;sty=h&amp;cp=35.55~45.35&amp;sp=point.35.55_45.35_Bakrajo","Maplink3")</f>
        <v>Maplink3</v>
      </c>
    </row>
    <row r="3427" spans="1:49" ht="15" customHeight="1" x14ac:dyDescent="0.25">
      <c r="A3427" s="21">
        <v>25571</v>
      </c>
      <c r="B3427" s="22" t="s">
        <v>24</v>
      </c>
      <c r="C3427" s="22" t="s">
        <v>6568</v>
      </c>
      <c r="D3427" s="22" t="s">
        <v>6600</v>
      </c>
      <c r="E3427" s="22" t="s">
        <v>3728</v>
      </c>
      <c r="F3427" s="22">
        <v>35.586030000000001</v>
      </c>
      <c r="G3427" s="22">
        <v>45.305489999999999</v>
      </c>
      <c r="H3427" s="21" t="s">
        <v>6283</v>
      </c>
      <c r="I3427" s="21" t="s">
        <v>6571</v>
      </c>
      <c r="J3427" s="21"/>
      <c r="K3427" s="24">
        <v>88</v>
      </c>
      <c r="L3427" s="24">
        <v>528</v>
      </c>
      <c r="M3427" s="23">
        <v>53</v>
      </c>
      <c r="N3427" s="23"/>
      <c r="O3427" s="23">
        <v>12</v>
      </c>
      <c r="P3427" s="23"/>
      <c r="Q3427" s="23"/>
      <c r="R3427" s="23">
        <v>16</v>
      </c>
      <c r="S3427" s="23"/>
      <c r="T3427" s="23"/>
      <c r="U3427" s="23"/>
      <c r="V3427" s="23"/>
      <c r="W3427" s="23"/>
      <c r="X3427" s="23"/>
      <c r="Y3427" s="23"/>
      <c r="Z3427" s="23"/>
      <c r="AA3427" s="23">
        <v>7</v>
      </c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>
        <v>88</v>
      </c>
      <c r="AL3427" s="23"/>
      <c r="AM3427" s="23"/>
      <c r="AN3427" s="23"/>
      <c r="AO3427" s="23">
        <v>47</v>
      </c>
      <c r="AP3427" s="23">
        <v>19</v>
      </c>
      <c r="AQ3427" s="23">
        <v>2</v>
      </c>
      <c r="AR3427" s="23">
        <v>18</v>
      </c>
      <c r="AS3427" s="23">
        <v>2</v>
      </c>
      <c r="AT3427" s="23"/>
      <c r="AU3427" s="14" t="str">
        <f>HYPERLINK("http://www.openstreetmap.org/?mlat=35.586&amp;mlon=45.3055&amp;zoom=12#map=12/35.586/45.3055","Maplink1")</f>
        <v>Maplink1</v>
      </c>
      <c r="AV3427" s="14" t="str">
        <f>HYPERLINK("https://www.google.iq/maps/search/+35.586,45.3055/@35.586,45.3055,14z?hl=en","Maplink2")</f>
        <v>Maplink2</v>
      </c>
      <c r="AW3427" s="14" t="str">
        <f>HYPERLINK("http://www.bing.com/maps/?lvl=14&amp;sty=h&amp;cp=35.586~45.3055&amp;sp=point.35.586_45.3055_Bakrajo-Azadi","Maplink3")</f>
        <v>Maplink3</v>
      </c>
    </row>
    <row r="3428" spans="1:49" ht="15" customHeight="1" x14ac:dyDescent="0.25">
      <c r="A3428" s="21">
        <v>25077</v>
      </c>
      <c r="B3428" s="22" t="s">
        <v>24</v>
      </c>
      <c r="C3428" s="22" t="s">
        <v>6568</v>
      </c>
      <c r="D3428" s="22" t="s">
        <v>6601</v>
      </c>
      <c r="E3428" s="22" t="s">
        <v>9163</v>
      </c>
      <c r="F3428" s="22">
        <v>35.602809999999998</v>
      </c>
      <c r="G3428" s="22">
        <v>45.35868</v>
      </c>
      <c r="H3428" s="21" t="s">
        <v>6283</v>
      </c>
      <c r="I3428" s="21" t="s">
        <v>6571</v>
      </c>
      <c r="J3428" s="21"/>
      <c r="K3428" s="24">
        <v>128</v>
      </c>
      <c r="L3428" s="24">
        <v>768</v>
      </c>
      <c r="M3428" s="23">
        <v>53</v>
      </c>
      <c r="N3428" s="23"/>
      <c r="O3428" s="23">
        <v>12</v>
      </c>
      <c r="P3428" s="23"/>
      <c r="Q3428" s="23"/>
      <c r="R3428" s="23">
        <v>26</v>
      </c>
      <c r="S3428" s="23"/>
      <c r="T3428" s="23"/>
      <c r="U3428" s="23"/>
      <c r="V3428" s="23"/>
      <c r="W3428" s="23"/>
      <c r="X3428" s="23"/>
      <c r="Y3428" s="23">
        <v>37</v>
      </c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>
        <v>43</v>
      </c>
      <c r="AJ3428" s="23"/>
      <c r="AK3428" s="23">
        <v>85</v>
      </c>
      <c r="AL3428" s="23"/>
      <c r="AM3428" s="23"/>
      <c r="AN3428" s="23"/>
      <c r="AO3428" s="23">
        <v>12</v>
      </c>
      <c r="AP3428" s="23">
        <v>26</v>
      </c>
      <c r="AQ3428" s="23">
        <v>39</v>
      </c>
      <c r="AR3428" s="23">
        <v>26</v>
      </c>
      <c r="AS3428" s="23">
        <v>25</v>
      </c>
      <c r="AT3428" s="23"/>
      <c r="AU3428" s="14" t="str">
        <f>HYPERLINK("http://www.openstreetmap.org/?mlat=35.6028&amp;mlon=45.3587&amp;zoom=12#map=12/35.6028/45.3587","Maplink1")</f>
        <v>Maplink1</v>
      </c>
      <c r="AV3428" s="14" t="str">
        <f>HYPERLINK("https://www.google.iq/maps/search/+35.6028,45.3587/@35.6028,45.3587,14z?hl=en","Maplink2")</f>
        <v>Maplink2</v>
      </c>
      <c r="AW3428" s="14" t="str">
        <f>HYPERLINK("http://www.bing.com/maps/?lvl=14&amp;sty=h&amp;cp=35.6028~45.3587&amp;sp=point.35.6028_45.3587_Bakrajo-Qularaese Taza","Maplink3")</f>
        <v>Maplink3</v>
      </c>
    </row>
    <row r="3429" spans="1:49" ht="15" customHeight="1" x14ac:dyDescent="0.25">
      <c r="A3429" s="21">
        <v>4592</v>
      </c>
      <c r="B3429" s="22" t="s">
        <v>24</v>
      </c>
      <c r="C3429" s="22" t="s">
        <v>6568</v>
      </c>
      <c r="D3429" s="22" t="s">
        <v>6602</v>
      </c>
      <c r="E3429" s="22" t="s">
        <v>8124</v>
      </c>
      <c r="F3429" s="22">
        <v>35.578960000000002</v>
      </c>
      <c r="G3429" s="22">
        <v>45.267159999999997</v>
      </c>
      <c r="H3429" s="21" t="s">
        <v>6283</v>
      </c>
      <c r="I3429" s="21" t="s">
        <v>6571</v>
      </c>
      <c r="J3429" s="21" t="s">
        <v>6603</v>
      </c>
      <c r="K3429" s="24">
        <v>49</v>
      </c>
      <c r="L3429" s="24">
        <v>294</v>
      </c>
      <c r="M3429" s="23">
        <v>36</v>
      </c>
      <c r="N3429" s="23">
        <v>4</v>
      </c>
      <c r="O3429" s="23">
        <v>4</v>
      </c>
      <c r="P3429" s="23"/>
      <c r="Q3429" s="23"/>
      <c r="R3429" s="23">
        <v>1</v>
      </c>
      <c r="S3429" s="23"/>
      <c r="T3429" s="23"/>
      <c r="U3429" s="23"/>
      <c r="V3429" s="23"/>
      <c r="W3429" s="23"/>
      <c r="X3429" s="23"/>
      <c r="Y3429" s="23"/>
      <c r="Z3429" s="23"/>
      <c r="AA3429" s="23">
        <v>4</v>
      </c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>
        <v>49</v>
      </c>
      <c r="AL3429" s="23"/>
      <c r="AM3429" s="23"/>
      <c r="AN3429" s="23"/>
      <c r="AO3429" s="23">
        <v>20</v>
      </c>
      <c r="AP3429" s="23">
        <v>12</v>
      </c>
      <c r="AQ3429" s="23"/>
      <c r="AR3429" s="23">
        <v>6</v>
      </c>
      <c r="AS3429" s="23">
        <v>11</v>
      </c>
      <c r="AT3429" s="23"/>
      <c r="AU3429" s="14" t="str">
        <f>HYPERLINK("http://www.openstreetmap.org/?mlat=35.57&amp;mlon=45.26&amp;zoom=12#map=12/35.57/45.26","Maplink1")</f>
        <v>Maplink1</v>
      </c>
      <c r="AV3429" s="14" t="str">
        <f>HYPERLINK("https://www.google.iq/maps/search/+35.57,45.26/@35.57,45.26,14z?hl=en","Maplink2")</f>
        <v>Maplink2</v>
      </c>
      <c r="AW3429" s="14" t="str">
        <f>HYPERLINK("http://www.bing.com/maps/?lvl=14&amp;sty=h&amp;cp=35.57~45.26&amp;sp=point.35.57_45.26_Bakrajo-Sardawa","Maplink3")</f>
        <v>Maplink3</v>
      </c>
    </row>
    <row r="3430" spans="1:49" ht="15" customHeight="1" x14ac:dyDescent="0.25">
      <c r="A3430" s="21">
        <v>24900</v>
      </c>
      <c r="B3430" s="22" t="s">
        <v>24</v>
      </c>
      <c r="C3430" s="22" t="s">
        <v>6568</v>
      </c>
      <c r="D3430" s="22" t="s">
        <v>6604</v>
      </c>
      <c r="E3430" s="22" t="s">
        <v>6605</v>
      </c>
      <c r="F3430" s="22">
        <v>35.55977</v>
      </c>
      <c r="G3430" s="22">
        <v>45.35857</v>
      </c>
      <c r="H3430" s="21" t="s">
        <v>6283</v>
      </c>
      <c r="I3430" s="21" t="s">
        <v>6571</v>
      </c>
      <c r="J3430" s="21"/>
      <c r="K3430" s="24">
        <v>851</v>
      </c>
      <c r="L3430" s="24">
        <v>5106</v>
      </c>
      <c r="M3430" s="23">
        <v>553</v>
      </c>
      <c r="N3430" s="23"/>
      <c r="O3430" s="23">
        <v>167</v>
      </c>
      <c r="P3430" s="23"/>
      <c r="Q3430" s="23"/>
      <c r="R3430" s="23">
        <v>38</v>
      </c>
      <c r="S3430" s="23"/>
      <c r="T3430" s="23"/>
      <c r="U3430" s="23"/>
      <c r="V3430" s="23"/>
      <c r="W3430" s="23"/>
      <c r="X3430" s="23"/>
      <c r="Y3430" s="23">
        <v>71</v>
      </c>
      <c r="Z3430" s="23"/>
      <c r="AA3430" s="23">
        <v>22</v>
      </c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851</v>
      </c>
      <c r="AL3430" s="23"/>
      <c r="AM3430" s="23"/>
      <c r="AN3430" s="23"/>
      <c r="AO3430" s="23">
        <v>233</v>
      </c>
      <c r="AP3430" s="23">
        <v>75</v>
      </c>
      <c r="AQ3430" s="23">
        <v>200</v>
      </c>
      <c r="AR3430" s="23">
        <v>311</v>
      </c>
      <c r="AS3430" s="23">
        <v>23</v>
      </c>
      <c r="AT3430" s="23">
        <v>9</v>
      </c>
      <c r="AU3430" s="14" t="str">
        <f>HYPERLINK("http://www.openstreetmap.org/?mlat=35.5598&amp;mlon=45.3586&amp;zoom=12#map=12/35.5598/45.3586","Maplink1")</f>
        <v>Maplink1</v>
      </c>
      <c r="AV3430" s="14" t="str">
        <f>HYPERLINK("https://www.google.iq/maps/search/+35.5598,45.3586/@35.5598,45.3586,14z?hl=en","Maplink2")</f>
        <v>Maplink2</v>
      </c>
      <c r="AW3430" s="14" t="str">
        <f>HYPERLINK("http://www.bing.com/maps/?lvl=14&amp;sty=h&amp;cp=35.5598~45.3586&amp;sp=point.35.5598_45.3586_Bakrajoy Taza","Maplink3")</f>
        <v>Maplink3</v>
      </c>
    </row>
    <row r="3431" spans="1:49" ht="15" customHeight="1" x14ac:dyDescent="0.25">
      <c r="A3431" s="21">
        <v>4527</v>
      </c>
      <c r="B3431" s="22" t="s">
        <v>24</v>
      </c>
      <c r="C3431" s="22" t="s">
        <v>6568</v>
      </c>
      <c r="D3431" s="22" t="s">
        <v>6606</v>
      </c>
      <c r="E3431" s="22" t="s">
        <v>6607</v>
      </c>
      <c r="F3431" s="22">
        <v>35.565950000000001</v>
      </c>
      <c r="G3431" s="22">
        <v>45.413580000000003</v>
      </c>
      <c r="H3431" s="21" t="s">
        <v>6283</v>
      </c>
      <c r="I3431" s="21" t="s">
        <v>6571</v>
      </c>
      <c r="J3431" s="21" t="s">
        <v>6608</v>
      </c>
      <c r="K3431" s="24">
        <v>58</v>
      </c>
      <c r="L3431" s="24">
        <v>348</v>
      </c>
      <c r="M3431" s="23">
        <v>35</v>
      </c>
      <c r="N3431" s="23"/>
      <c r="O3431" s="23">
        <v>19</v>
      </c>
      <c r="P3431" s="23"/>
      <c r="Q3431" s="23"/>
      <c r="R3431" s="23">
        <v>2</v>
      </c>
      <c r="S3431" s="23"/>
      <c r="T3431" s="23"/>
      <c r="U3431" s="23"/>
      <c r="V3431" s="23"/>
      <c r="W3431" s="23"/>
      <c r="X3431" s="23"/>
      <c r="Y3431" s="23"/>
      <c r="Z3431" s="23"/>
      <c r="AA3431" s="23">
        <v>2</v>
      </c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>
        <v>58</v>
      </c>
      <c r="AL3431" s="23"/>
      <c r="AM3431" s="23"/>
      <c r="AN3431" s="23"/>
      <c r="AO3431" s="23">
        <v>14</v>
      </c>
      <c r="AP3431" s="23">
        <v>10</v>
      </c>
      <c r="AQ3431" s="23">
        <v>6</v>
      </c>
      <c r="AR3431" s="23">
        <v>11</v>
      </c>
      <c r="AS3431" s="23">
        <v>10</v>
      </c>
      <c r="AT3431" s="23">
        <v>7</v>
      </c>
      <c r="AU3431" s="14" t="str">
        <f>HYPERLINK("http://www.openstreetmap.org/?mlat=35.5&amp;mlon=45.28&amp;zoom=12#map=12/35.5/45.28","Maplink1")</f>
        <v>Maplink1</v>
      </c>
      <c r="AV3431" s="14" t="str">
        <f>HYPERLINK("https://www.google.iq/maps/search/+35.5,45.28/@35.5,45.28,14z?hl=en","Maplink2")</f>
        <v>Maplink2</v>
      </c>
      <c r="AW3431" s="14" t="str">
        <f>HYPERLINK("http://www.bing.com/maps/?lvl=14&amp;sty=h&amp;cp=35.5~45.28&amp;sp=point.35.5_45.28_Baranan","Maplink3")</f>
        <v>Maplink3</v>
      </c>
    </row>
    <row r="3432" spans="1:49" ht="15" customHeight="1" x14ac:dyDescent="0.25">
      <c r="A3432" s="21">
        <v>5744</v>
      </c>
      <c r="B3432" s="22" t="s">
        <v>24</v>
      </c>
      <c r="C3432" s="22" t="s">
        <v>6568</v>
      </c>
      <c r="D3432" s="22" t="s">
        <v>6609</v>
      </c>
      <c r="E3432" s="22" t="s">
        <v>6610</v>
      </c>
      <c r="F3432" s="22">
        <v>35.440010000000001</v>
      </c>
      <c r="G3432" s="22">
        <v>45.440049999999999</v>
      </c>
      <c r="H3432" s="21" t="s">
        <v>6283</v>
      </c>
      <c r="I3432" s="21" t="s">
        <v>6571</v>
      </c>
      <c r="J3432" s="21" t="s">
        <v>6611</v>
      </c>
      <c r="K3432" s="24">
        <v>34</v>
      </c>
      <c r="L3432" s="24">
        <v>204</v>
      </c>
      <c r="M3432" s="23">
        <v>12</v>
      </c>
      <c r="N3432" s="23">
        <v>8</v>
      </c>
      <c r="O3432" s="23"/>
      <c r="P3432" s="23"/>
      <c r="Q3432" s="23"/>
      <c r="R3432" s="23">
        <v>9</v>
      </c>
      <c r="S3432" s="23"/>
      <c r="T3432" s="23"/>
      <c r="U3432" s="23"/>
      <c r="V3432" s="23"/>
      <c r="W3432" s="23"/>
      <c r="X3432" s="23"/>
      <c r="Y3432" s="23">
        <v>2</v>
      </c>
      <c r="Z3432" s="23"/>
      <c r="AA3432" s="23">
        <v>3</v>
      </c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>
        <v>34</v>
      </c>
      <c r="AL3432" s="23"/>
      <c r="AM3432" s="23"/>
      <c r="AN3432" s="23"/>
      <c r="AO3432" s="23">
        <v>5</v>
      </c>
      <c r="AP3432" s="23">
        <v>3</v>
      </c>
      <c r="AQ3432" s="23">
        <v>4</v>
      </c>
      <c r="AR3432" s="23">
        <v>15</v>
      </c>
      <c r="AS3432" s="23">
        <v>5</v>
      </c>
      <c r="AT3432" s="23">
        <v>2</v>
      </c>
      <c r="AU3432" s="14" t="str">
        <f>HYPERLINK("http://www.openstreetmap.org/?mlat=35.44&amp;mlon=45.44&amp;zoom=12#map=12/35.44/45.44","Maplink1")</f>
        <v>Maplink1</v>
      </c>
      <c r="AV3432" s="14" t="str">
        <f>HYPERLINK("https://www.google.iq/maps/search/+35.44,45.44/@35.44,45.44,14z?hl=en","Maplink2")</f>
        <v>Maplink2</v>
      </c>
      <c r="AW3432" s="14" t="str">
        <f>HYPERLINK("http://www.bing.com/maps/?lvl=14&amp;sty=h&amp;cp=35.44~45.44&amp;sp=point.35.44_45.44_Bardakar","Maplink3")</f>
        <v>Maplink3</v>
      </c>
    </row>
    <row r="3433" spans="1:49" ht="15" customHeight="1" x14ac:dyDescent="0.25">
      <c r="A3433" s="21">
        <v>25300</v>
      </c>
      <c r="B3433" s="22" t="s">
        <v>24</v>
      </c>
      <c r="C3433" s="22" t="s">
        <v>6568</v>
      </c>
      <c r="D3433" s="22" t="s">
        <v>6612</v>
      </c>
      <c r="E3433" s="22" t="s">
        <v>9164</v>
      </c>
      <c r="F3433" s="22">
        <v>35.647649999999999</v>
      </c>
      <c r="G3433" s="22">
        <v>45.06926</v>
      </c>
      <c r="H3433" s="21" t="s">
        <v>6283</v>
      </c>
      <c r="I3433" s="21" t="s">
        <v>6571</v>
      </c>
      <c r="J3433" s="21"/>
      <c r="K3433" s="24">
        <v>60</v>
      </c>
      <c r="L3433" s="24">
        <v>360</v>
      </c>
      <c r="M3433" s="23">
        <v>46</v>
      </c>
      <c r="N3433" s="23"/>
      <c r="O3433" s="23">
        <v>10</v>
      </c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>
        <v>4</v>
      </c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>
        <v>60</v>
      </c>
      <c r="AL3433" s="23"/>
      <c r="AM3433" s="23"/>
      <c r="AN3433" s="23"/>
      <c r="AO3433" s="23">
        <v>17</v>
      </c>
      <c r="AP3433" s="23">
        <v>17</v>
      </c>
      <c r="AQ3433" s="23"/>
      <c r="AR3433" s="23">
        <v>22</v>
      </c>
      <c r="AS3433" s="23">
        <v>4</v>
      </c>
      <c r="AT3433" s="23"/>
      <c r="AU3433" s="14" t="str">
        <f>HYPERLINK("http://www.openstreetmap.org/?mlat=35.6476&amp;mlon=45.0693&amp;zoom=12#map=12/35.6476/45.0693","Maplink1")</f>
        <v>Maplink1</v>
      </c>
      <c r="AV3433" s="14" t="str">
        <f>HYPERLINK("https://www.google.iq/maps/search/+35.6476,45.0693/@35.6476,45.0693,14z?hl=en","Maplink2")</f>
        <v>Maplink2</v>
      </c>
      <c r="AW3433" s="14" t="str">
        <f>HYPERLINK("http://www.bing.com/maps/?lvl=14&amp;sty=h&amp;cp=35.6476~45.0693&amp;sp=point.35.6476_45.0693_Bardaqaraman-Piramerd","Maplink3")</f>
        <v>Maplink3</v>
      </c>
    </row>
    <row r="3434" spans="1:49" ht="15" customHeight="1" x14ac:dyDescent="0.25">
      <c r="A3434" s="21">
        <v>25299</v>
      </c>
      <c r="B3434" s="22" t="s">
        <v>24</v>
      </c>
      <c r="C3434" s="22" t="s">
        <v>6568</v>
      </c>
      <c r="D3434" s="22" t="s">
        <v>6613</v>
      </c>
      <c r="E3434" s="22" t="s">
        <v>9165</v>
      </c>
      <c r="F3434" s="22">
        <v>35.646470000000001</v>
      </c>
      <c r="G3434" s="22">
        <v>45.064169999999997</v>
      </c>
      <c r="H3434" s="21" t="s">
        <v>6283</v>
      </c>
      <c r="I3434" s="21" t="s">
        <v>6571</v>
      </c>
      <c r="J3434" s="21"/>
      <c r="K3434" s="24">
        <v>76</v>
      </c>
      <c r="L3434" s="24">
        <v>456</v>
      </c>
      <c r="M3434" s="23">
        <v>47</v>
      </c>
      <c r="N3434" s="23"/>
      <c r="O3434" s="23">
        <v>21</v>
      </c>
      <c r="P3434" s="23"/>
      <c r="Q3434" s="23"/>
      <c r="R3434" s="23"/>
      <c r="S3434" s="23"/>
      <c r="T3434" s="23"/>
      <c r="U3434" s="23"/>
      <c r="V3434" s="23"/>
      <c r="W3434" s="23"/>
      <c r="X3434" s="23"/>
      <c r="Y3434" s="23">
        <v>8</v>
      </c>
      <c r="Z3434" s="23"/>
      <c r="AA3434" s="23"/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76</v>
      </c>
      <c r="AL3434" s="23"/>
      <c r="AM3434" s="23"/>
      <c r="AN3434" s="23"/>
      <c r="AO3434" s="23">
        <v>20</v>
      </c>
      <c r="AP3434" s="23">
        <v>10</v>
      </c>
      <c r="AQ3434" s="23">
        <v>18</v>
      </c>
      <c r="AR3434" s="23">
        <v>14</v>
      </c>
      <c r="AS3434" s="23">
        <v>14</v>
      </c>
      <c r="AT3434" s="23"/>
      <c r="AU3434" s="14" t="str">
        <f>HYPERLINK("http://www.openstreetmap.org/?mlat=35.6465&amp;mlon=45.0642&amp;zoom=12#map=12/35.6465/45.0642","Maplink1")</f>
        <v>Maplink1</v>
      </c>
      <c r="AV3434" s="14" t="str">
        <f>HYPERLINK("https://www.google.iq/maps/search/+35.6465,45.0642/@35.6465,45.0642,14z?hl=en","Maplink2")</f>
        <v>Maplink2</v>
      </c>
      <c r="AW3434" s="14" t="str">
        <f>HYPERLINK("http://www.bing.com/maps/?lvl=14&amp;sty=h&amp;cp=35.6465~45.0642&amp;sp=point.35.6465_45.0642_Bardaqaraman-Sharawani","Maplink3")</f>
        <v>Maplink3</v>
      </c>
    </row>
    <row r="3435" spans="1:49" ht="15" customHeight="1" x14ac:dyDescent="0.25">
      <c r="A3435" s="21">
        <v>4464</v>
      </c>
      <c r="B3435" s="22" t="s">
        <v>24</v>
      </c>
      <c r="C3435" s="22" t="s">
        <v>6568</v>
      </c>
      <c r="D3435" s="22" t="s">
        <v>9166</v>
      </c>
      <c r="E3435" s="22" t="s">
        <v>9167</v>
      </c>
      <c r="F3435" s="22">
        <v>35.646389999999997</v>
      </c>
      <c r="G3435" s="22">
        <v>45.035760000000003</v>
      </c>
      <c r="H3435" s="21" t="s">
        <v>6283</v>
      </c>
      <c r="I3435" s="21" t="s">
        <v>6571</v>
      </c>
      <c r="J3435" s="21" t="s">
        <v>6617</v>
      </c>
      <c r="K3435" s="24">
        <v>50</v>
      </c>
      <c r="L3435" s="24">
        <v>300</v>
      </c>
      <c r="M3435" s="23">
        <v>37</v>
      </c>
      <c r="N3435" s="23">
        <v>5</v>
      </c>
      <c r="O3435" s="23">
        <v>2</v>
      </c>
      <c r="P3435" s="23"/>
      <c r="Q3435" s="23"/>
      <c r="R3435" s="23"/>
      <c r="S3435" s="23"/>
      <c r="T3435" s="23"/>
      <c r="U3435" s="23"/>
      <c r="V3435" s="23"/>
      <c r="W3435" s="23"/>
      <c r="X3435" s="23"/>
      <c r="Y3435" s="23">
        <v>6</v>
      </c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>
        <v>50</v>
      </c>
      <c r="AL3435" s="23"/>
      <c r="AM3435" s="23"/>
      <c r="AN3435" s="23"/>
      <c r="AO3435" s="23">
        <v>14</v>
      </c>
      <c r="AP3435" s="23">
        <v>20</v>
      </c>
      <c r="AQ3435" s="23">
        <v>6</v>
      </c>
      <c r="AR3435" s="23"/>
      <c r="AS3435" s="23">
        <v>10</v>
      </c>
      <c r="AT3435" s="23"/>
      <c r="AU3435" s="14" t="str">
        <f>HYPERLINK("http://www.openstreetmap.org/?mlat=35.6464&amp;mlon=45.0358&amp;zoom=12#map=12/35.6464/45.0358","Maplink1")</f>
        <v>Maplink1</v>
      </c>
      <c r="AV3435" s="14" t="str">
        <f>HYPERLINK("https://www.google.iq/maps/search/+35.6464,45.0358/@35.6464,45.0358,14z?hl=en","Maplink2")</f>
        <v>Maplink2</v>
      </c>
      <c r="AW3435" s="14" t="str">
        <f>HYPERLINK("http://www.bing.com/maps/?lvl=14&amp;sty=h&amp;cp=35.6464~45.0358&amp;sp=point.35.6464_45.0358_Bazian-Gopala","Maplink3")</f>
        <v>Maplink3</v>
      </c>
    </row>
    <row r="3436" spans="1:49" ht="15" customHeight="1" x14ac:dyDescent="0.25">
      <c r="A3436" s="21">
        <v>6143</v>
      </c>
      <c r="B3436" s="22" t="s">
        <v>24</v>
      </c>
      <c r="C3436" s="22" t="s">
        <v>6568</v>
      </c>
      <c r="D3436" s="22" t="s">
        <v>9168</v>
      </c>
      <c r="E3436" s="22" t="s">
        <v>9169</v>
      </c>
      <c r="F3436" s="22">
        <v>35.650350000000003</v>
      </c>
      <c r="G3436" s="22">
        <v>45.083280000000002</v>
      </c>
      <c r="H3436" s="21" t="s">
        <v>6283</v>
      </c>
      <c r="I3436" s="21" t="s">
        <v>6571</v>
      </c>
      <c r="J3436" s="21" t="s">
        <v>6711</v>
      </c>
      <c r="K3436" s="24">
        <v>2</v>
      </c>
      <c r="L3436" s="24">
        <v>12</v>
      </c>
      <c r="M3436" s="23"/>
      <c r="N3436" s="23"/>
      <c r="O3436" s="23"/>
      <c r="P3436" s="23"/>
      <c r="Q3436" s="23"/>
      <c r="R3436" s="23"/>
      <c r="S3436" s="23"/>
      <c r="T3436" s="23"/>
      <c r="U3436" s="23"/>
      <c r="V3436" s="23"/>
      <c r="W3436" s="23"/>
      <c r="X3436" s="23"/>
      <c r="Y3436" s="23"/>
      <c r="Z3436" s="23"/>
      <c r="AA3436" s="23">
        <v>2</v>
      </c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2</v>
      </c>
      <c r="AL3436" s="23"/>
      <c r="AM3436" s="23"/>
      <c r="AN3436" s="23"/>
      <c r="AO3436" s="23"/>
      <c r="AP3436" s="23">
        <v>2</v>
      </c>
      <c r="AQ3436" s="23"/>
      <c r="AR3436" s="23"/>
      <c r="AS3436" s="23"/>
      <c r="AT3436" s="23"/>
      <c r="AU3436" s="14" t="str">
        <f>HYPERLINK("http://www.openstreetmap.org/?mlat=35.65&amp;mlon=45.08&amp;zoom=12#map=12/35.65/45.08","Maplink1")</f>
        <v>Maplink1</v>
      </c>
      <c r="AV3436" s="14" t="str">
        <f>HYPERLINK("https://www.google.iq/maps/search/+35.65,45.08/@35.65,45.08,14z?hl=en","Maplink2")</f>
        <v>Maplink2</v>
      </c>
      <c r="AW3436" s="14" t="str">
        <f>HYPERLINK("http://www.bing.com/maps/?lvl=14&amp;sty=h&amp;cp=35.65~45.08&amp;sp=point.35.65_45.08_Kupala","Maplink3")</f>
        <v>Maplink3</v>
      </c>
    </row>
    <row r="3437" spans="1:49" ht="15" customHeight="1" x14ac:dyDescent="0.25">
      <c r="A3437" s="21">
        <v>23598</v>
      </c>
      <c r="B3437" s="22" t="s">
        <v>24</v>
      </c>
      <c r="C3437" s="22" t="s">
        <v>6568</v>
      </c>
      <c r="D3437" s="22" t="s">
        <v>9170</v>
      </c>
      <c r="E3437" s="22" t="s">
        <v>9171</v>
      </c>
      <c r="F3437" s="22">
        <v>35.654049999999998</v>
      </c>
      <c r="G3437" s="22">
        <v>45.067230000000002</v>
      </c>
      <c r="H3437" s="21" t="s">
        <v>6283</v>
      </c>
      <c r="I3437" s="21" t="s">
        <v>6571</v>
      </c>
      <c r="J3437" s="21" t="s">
        <v>6737</v>
      </c>
      <c r="K3437" s="24">
        <v>53</v>
      </c>
      <c r="L3437" s="24">
        <v>318</v>
      </c>
      <c r="M3437" s="23">
        <v>46</v>
      </c>
      <c r="N3437" s="23"/>
      <c r="O3437" s="23">
        <v>7</v>
      </c>
      <c r="P3437" s="23"/>
      <c r="Q3437" s="23"/>
      <c r="R3437" s="23"/>
      <c r="S3437" s="23"/>
      <c r="T3437" s="23"/>
      <c r="U3437" s="23"/>
      <c r="V3437" s="23"/>
      <c r="W3437" s="23"/>
      <c r="X3437" s="23"/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>
        <v>53</v>
      </c>
      <c r="AL3437" s="23"/>
      <c r="AM3437" s="23"/>
      <c r="AN3437" s="23"/>
      <c r="AO3437" s="23">
        <v>19</v>
      </c>
      <c r="AP3437" s="23">
        <v>14</v>
      </c>
      <c r="AQ3437" s="23"/>
      <c r="AR3437" s="23">
        <v>14</v>
      </c>
      <c r="AS3437" s="23">
        <v>6</v>
      </c>
      <c r="AT3437" s="23"/>
      <c r="AU3437" s="14" t="str">
        <f>HYPERLINK("http://www.openstreetmap.org/?mlat=35.654&amp;mlon=45.0672&amp;zoom=12#map=12/35.654/45.0672","Maplink1")</f>
        <v>Maplink1</v>
      </c>
      <c r="AV3437" s="14" t="str">
        <f>HYPERLINK("https://www.google.iq/maps/search/+35.654,45.0672/@35.654,45.0672,14z?hl=en","Maplink2")</f>
        <v>Maplink2</v>
      </c>
      <c r="AW3437" s="14" t="str">
        <f>HYPERLINK("http://www.bing.com/maps/?lvl=14&amp;sty=h&amp;cp=35.654~45.0672&amp;sp=point.35.654_45.0672_Qala","Maplink3")</f>
        <v>Maplink3</v>
      </c>
    </row>
    <row r="3438" spans="1:49" ht="15" customHeight="1" x14ac:dyDescent="0.25">
      <c r="A3438" s="21">
        <v>5806</v>
      </c>
      <c r="B3438" s="22" t="s">
        <v>24</v>
      </c>
      <c r="C3438" s="22" t="s">
        <v>6568</v>
      </c>
      <c r="D3438" s="22" t="s">
        <v>9172</v>
      </c>
      <c r="E3438" s="22" t="s">
        <v>9173</v>
      </c>
      <c r="F3438" s="22">
        <v>35.614379999999997</v>
      </c>
      <c r="G3438" s="22">
        <v>45.10342</v>
      </c>
      <c r="H3438" s="21" t="s">
        <v>6283</v>
      </c>
      <c r="I3438" s="21" t="s">
        <v>6571</v>
      </c>
      <c r="J3438" s="21" t="s">
        <v>6620</v>
      </c>
      <c r="K3438" s="24">
        <v>38</v>
      </c>
      <c r="L3438" s="24">
        <v>228</v>
      </c>
      <c r="M3438" s="23">
        <v>26</v>
      </c>
      <c r="N3438" s="23"/>
      <c r="O3438" s="23"/>
      <c r="P3438" s="23"/>
      <c r="Q3438" s="23"/>
      <c r="R3438" s="23">
        <v>3</v>
      </c>
      <c r="S3438" s="23"/>
      <c r="T3438" s="23"/>
      <c r="U3438" s="23"/>
      <c r="V3438" s="23"/>
      <c r="W3438" s="23"/>
      <c r="X3438" s="23"/>
      <c r="Y3438" s="23">
        <v>3</v>
      </c>
      <c r="Z3438" s="23"/>
      <c r="AA3438" s="23">
        <v>6</v>
      </c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>
        <v>38</v>
      </c>
      <c r="AL3438" s="23"/>
      <c r="AM3438" s="23"/>
      <c r="AN3438" s="23"/>
      <c r="AO3438" s="23">
        <v>12</v>
      </c>
      <c r="AP3438" s="23">
        <v>3</v>
      </c>
      <c r="AQ3438" s="23">
        <v>3</v>
      </c>
      <c r="AR3438" s="23">
        <v>9</v>
      </c>
      <c r="AS3438" s="23">
        <v>11</v>
      </c>
      <c r="AT3438" s="23"/>
      <c r="AU3438" s="14" t="str">
        <f>HYPERLINK("http://www.openstreetmap.org/?mlat=35.6144&amp;mlon=45.1034&amp;zoom=12#map=12/35.6144/45.1034","Maplink1")</f>
        <v>Maplink1</v>
      </c>
      <c r="AV3438" s="14" t="str">
        <f>HYPERLINK("https://www.google.iq/maps/search/+35.6144,45.1034/@35.6144,45.1034,14z?hl=en","Maplink2")</f>
        <v>Maplink2</v>
      </c>
      <c r="AW3438" s="14" t="str">
        <f>HYPERLINK("http://www.bing.com/maps/?lvl=14&amp;sty=h&amp;cp=35.6144~45.1034&amp;sp=point.35.6144_45.1034_Bazian-Tainal","Maplink3")</f>
        <v>Maplink3</v>
      </c>
    </row>
    <row r="3439" spans="1:49" ht="15" customHeight="1" x14ac:dyDescent="0.25">
      <c r="A3439" s="21">
        <v>24102</v>
      </c>
      <c r="B3439" s="22" t="s">
        <v>24</v>
      </c>
      <c r="C3439" s="22" t="s">
        <v>6568</v>
      </c>
      <c r="D3439" s="22" t="s">
        <v>6614</v>
      </c>
      <c r="E3439" s="22" t="s">
        <v>6615</v>
      </c>
      <c r="F3439" s="22">
        <v>35.592219999999998</v>
      </c>
      <c r="G3439" s="22">
        <v>45.34055</v>
      </c>
      <c r="H3439" s="21" t="s">
        <v>6283</v>
      </c>
      <c r="I3439" s="21" t="s">
        <v>6571</v>
      </c>
      <c r="J3439" s="21" t="s">
        <v>6616</v>
      </c>
      <c r="K3439" s="24">
        <v>225</v>
      </c>
      <c r="L3439" s="24">
        <v>1350</v>
      </c>
      <c r="M3439" s="23">
        <v>216</v>
      </c>
      <c r="N3439" s="23">
        <v>4</v>
      </c>
      <c r="O3439" s="23">
        <v>3</v>
      </c>
      <c r="P3439" s="23"/>
      <c r="Q3439" s="23"/>
      <c r="R3439" s="23"/>
      <c r="S3439" s="23"/>
      <c r="T3439" s="23"/>
      <c r="U3439" s="23"/>
      <c r="V3439" s="23"/>
      <c r="W3439" s="23"/>
      <c r="X3439" s="23"/>
      <c r="Y3439" s="23"/>
      <c r="Z3439" s="23"/>
      <c r="AA3439" s="23">
        <v>2</v>
      </c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225</v>
      </c>
      <c r="AL3439" s="23"/>
      <c r="AM3439" s="23"/>
      <c r="AN3439" s="23"/>
      <c r="AO3439" s="23">
        <v>130</v>
      </c>
      <c r="AP3439" s="23">
        <v>4</v>
      </c>
      <c r="AQ3439" s="23"/>
      <c r="AR3439" s="23">
        <v>59</v>
      </c>
      <c r="AS3439" s="23">
        <v>32</v>
      </c>
      <c r="AT3439" s="23"/>
      <c r="AU3439" s="14" t="str">
        <f>HYPERLINK("http://www.openstreetmap.org/?mlat=35.5922&amp;mlon=45.3406&amp;zoom=12#map=12/35.5922/45.3406","Maplink1")</f>
        <v>Maplink1</v>
      </c>
      <c r="AV3439" s="14" t="str">
        <f>HYPERLINK("https://www.google.iq/maps/search/+35.5922,45.3406/@35.5922,45.3406,14z?hl=en","Maplink2")</f>
        <v>Maplink2</v>
      </c>
      <c r="AW3439" s="14" t="str">
        <f>HYPERLINK("http://www.bing.com/maps/?lvl=14&amp;sty=h&amp;cp=35.5922~45.3406&amp;sp=point.35.5922_45.3406_Barez City","Maplink3")</f>
        <v>Maplink3</v>
      </c>
    </row>
    <row r="3440" spans="1:49" ht="15" customHeight="1" x14ac:dyDescent="0.25">
      <c r="A3440" s="21">
        <v>25078</v>
      </c>
      <c r="B3440" s="22" t="s">
        <v>24</v>
      </c>
      <c r="C3440" s="22" t="s">
        <v>6568</v>
      </c>
      <c r="D3440" s="22" t="s">
        <v>9174</v>
      </c>
      <c r="E3440" s="22" t="s">
        <v>6661</v>
      </c>
      <c r="F3440" s="22">
        <v>35.392969999999998</v>
      </c>
      <c r="G3440" s="22">
        <v>45.595239999999997</v>
      </c>
      <c r="H3440" s="21" t="s">
        <v>6283</v>
      </c>
      <c r="I3440" s="21" t="s">
        <v>6571</v>
      </c>
      <c r="J3440" s="21"/>
      <c r="K3440" s="24">
        <v>85</v>
      </c>
      <c r="L3440" s="24">
        <v>510</v>
      </c>
      <c r="M3440" s="23">
        <v>28</v>
      </c>
      <c r="N3440" s="23">
        <v>48</v>
      </c>
      <c r="O3440" s="23"/>
      <c r="P3440" s="23"/>
      <c r="Q3440" s="23"/>
      <c r="R3440" s="23">
        <v>6</v>
      </c>
      <c r="S3440" s="23"/>
      <c r="T3440" s="23"/>
      <c r="U3440" s="23"/>
      <c r="V3440" s="23"/>
      <c r="W3440" s="23"/>
      <c r="X3440" s="23"/>
      <c r="Y3440" s="23"/>
      <c r="Z3440" s="23"/>
      <c r="AA3440" s="23">
        <v>3</v>
      </c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85</v>
      </c>
      <c r="AL3440" s="23"/>
      <c r="AM3440" s="23"/>
      <c r="AN3440" s="23"/>
      <c r="AO3440" s="23">
        <v>7</v>
      </c>
      <c r="AP3440" s="23">
        <v>26</v>
      </c>
      <c r="AQ3440" s="23">
        <v>15</v>
      </c>
      <c r="AR3440" s="23">
        <v>27</v>
      </c>
      <c r="AS3440" s="23">
        <v>10</v>
      </c>
      <c r="AT3440" s="23"/>
      <c r="AU3440" s="14" t="str">
        <f>HYPERLINK("http://www.openstreetmap.org/?mlat=35.393&amp;mlon=45.5952&amp;zoom=12#map=12/35.393/45.5952","Maplink1")</f>
        <v>Maplink1</v>
      </c>
      <c r="AV3440" s="14" t="str">
        <f>HYPERLINK("https://www.google.iq/maps/search/+35.393,45.5952/@35.393,45.5952,14z?hl=en","Maplink2")</f>
        <v>Maplink2</v>
      </c>
      <c r="AW3440" s="14" t="str">
        <f>HYPERLINK("http://www.bing.com/maps/?lvl=14&amp;sty=h&amp;cp=35.393~45.5952&amp;sp=point.35.393_45.5952_Halabjay Taza-Barika","Maplink3")</f>
        <v>Maplink3</v>
      </c>
    </row>
    <row r="3441" spans="1:49" ht="15" customHeight="1" x14ac:dyDescent="0.25">
      <c r="A3441" s="21">
        <v>23771</v>
      </c>
      <c r="B3441" s="22" t="s">
        <v>24</v>
      </c>
      <c r="C3441" s="22" t="s">
        <v>6568</v>
      </c>
      <c r="D3441" s="22" t="s">
        <v>9175</v>
      </c>
      <c r="E3441" s="22" t="s">
        <v>6576</v>
      </c>
      <c r="F3441" s="22">
        <v>35.580739999999999</v>
      </c>
      <c r="G3441" s="22">
        <v>45.17624</v>
      </c>
      <c r="H3441" s="21" t="s">
        <v>6283</v>
      </c>
      <c r="I3441" s="21" t="s">
        <v>6571</v>
      </c>
      <c r="J3441" s="21" t="s">
        <v>6577</v>
      </c>
      <c r="K3441" s="24">
        <v>320</v>
      </c>
      <c r="L3441" s="24">
        <v>1920</v>
      </c>
      <c r="M3441" s="23">
        <v>88</v>
      </c>
      <c r="N3441" s="23"/>
      <c r="O3441" s="23">
        <v>30</v>
      </c>
      <c r="P3441" s="23"/>
      <c r="Q3441" s="23"/>
      <c r="R3441" s="23">
        <v>23</v>
      </c>
      <c r="S3441" s="23"/>
      <c r="T3441" s="23"/>
      <c r="U3441" s="23"/>
      <c r="V3441" s="23"/>
      <c r="W3441" s="23"/>
      <c r="X3441" s="23"/>
      <c r="Y3441" s="23">
        <v>163</v>
      </c>
      <c r="Z3441" s="23"/>
      <c r="AA3441" s="23">
        <v>16</v>
      </c>
      <c r="AB3441" s="23"/>
      <c r="AC3441" s="23"/>
      <c r="AD3441" s="23"/>
      <c r="AE3441" s="23"/>
      <c r="AF3441" s="23"/>
      <c r="AG3441" s="23"/>
      <c r="AH3441" s="23"/>
      <c r="AI3441" s="23">
        <v>142</v>
      </c>
      <c r="AJ3441" s="23"/>
      <c r="AK3441" s="23">
        <v>178</v>
      </c>
      <c r="AL3441" s="23"/>
      <c r="AM3441" s="23"/>
      <c r="AN3441" s="23"/>
      <c r="AO3441" s="23">
        <v>42</v>
      </c>
      <c r="AP3441" s="23">
        <v>87</v>
      </c>
      <c r="AQ3441" s="23">
        <v>119</v>
      </c>
      <c r="AR3441" s="23">
        <v>53</v>
      </c>
      <c r="AS3441" s="23">
        <v>14</v>
      </c>
      <c r="AT3441" s="23">
        <v>5</v>
      </c>
      <c r="AU3441" s="14" t="str">
        <f>HYPERLINK("http://www.openstreetmap.org/?mlat=35.5807&amp;mlon=45.1762&amp;zoom=12#map=12/35.5807/45.1762","Maplink1")</f>
        <v>Maplink1</v>
      </c>
      <c r="AV3441" s="14" t="str">
        <f>HYPERLINK("https://www.google.iq/maps/search/+35.5807,45.1762/@35.5807,45.1762,14z?hl=en","Maplink2")</f>
        <v>Maplink2</v>
      </c>
      <c r="AW3441" s="14" t="str">
        <f>HYPERLINK("http://www.bing.com/maps/?lvl=14&amp;sty=h&amp;cp=35.5807~45.1762&amp;sp=point.35.5807_45.1762_Allay","Maplink3")</f>
        <v>Maplink3</v>
      </c>
    </row>
    <row r="3442" spans="1:49" ht="15" customHeight="1" x14ac:dyDescent="0.25">
      <c r="A3442" s="21">
        <v>23927</v>
      </c>
      <c r="B3442" s="22" t="s">
        <v>24</v>
      </c>
      <c r="C3442" s="22" t="s">
        <v>6568</v>
      </c>
      <c r="D3442" s="22" t="s">
        <v>9176</v>
      </c>
      <c r="E3442" s="22" t="s">
        <v>6622</v>
      </c>
      <c r="F3442" s="22">
        <v>35.593409999999999</v>
      </c>
      <c r="G3442" s="22">
        <v>45.140250000000002</v>
      </c>
      <c r="H3442" s="21" t="s">
        <v>6283</v>
      </c>
      <c r="I3442" s="21" t="s">
        <v>6571</v>
      </c>
      <c r="J3442" s="21" t="s">
        <v>6623</v>
      </c>
      <c r="K3442" s="24">
        <v>98</v>
      </c>
      <c r="L3442" s="24">
        <v>588</v>
      </c>
      <c r="M3442" s="23">
        <v>43</v>
      </c>
      <c r="N3442" s="23"/>
      <c r="O3442" s="23">
        <v>11</v>
      </c>
      <c r="P3442" s="23"/>
      <c r="Q3442" s="23"/>
      <c r="R3442" s="23">
        <v>5</v>
      </c>
      <c r="S3442" s="23"/>
      <c r="T3442" s="23"/>
      <c r="U3442" s="23"/>
      <c r="V3442" s="23"/>
      <c r="W3442" s="23"/>
      <c r="X3442" s="23"/>
      <c r="Y3442" s="23">
        <v>36</v>
      </c>
      <c r="Z3442" s="23"/>
      <c r="AA3442" s="23">
        <v>3</v>
      </c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98</v>
      </c>
      <c r="AL3442" s="23"/>
      <c r="AM3442" s="23"/>
      <c r="AN3442" s="23"/>
      <c r="AO3442" s="23">
        <v>28</v>
      </c>
      <c r="AP3442" s="23">
        <v>11</v>
      </c>
      <c r="AQ3442" s="23">
        <v>27</v>
      </c>
      <c r="AR3442" s="23">
        <v>19</v>
      </c>
      <c r="AS3442" s="23">
        <v>10</v>
      </c>
      <c r="AT3442" s="23">
        <v>3</v>
      </c>
      <c r="AU3442" s="14" t="str">
        <f>HYPERLINK("http://www.openstreetmap.org/?mlat=35.5934&amp;mlon=45.1403&amp;zoom=12#map=12/35.5934/45.1403","Maplink1")</f>
        <v>Maplink1</v>
      </c>
      <c r="AV3442" s="14" t="str">
        <f>HYPERLINK("https://www.google.iq/maps/search/+35.5934,45.1403/@35.5934,45.1403,14z?hl=en","Maplink2")</f>
        <v>Maplink2</v>
      </c>
      <c r="AW3442" s="14" t="str">
        <f>HYPERLINK("http://www.bing.com/maps/?lvl=14&amp;sty=h&amp;cp=35.5934~45.1403&amp;sp=point.35.5934_45.1403_Brayati","Maplink3")</f>
        <v>Maplink3</v>
      </c>
    </row>
    <row r="3443" spans="1:49" ht="15" customHeight="1" x14ac:dyDescent="0.25">
      <c r="A3443" s="21">
        <v>23536</v>
      </c>
      <c r="B3443" s="22" t="s">
        <v>24</v>
      </c>
      <c r="C3443" s="22" t="s">
        <v>6568</v>
      </c>
      <c r="D3443" s="22" t="s">
        <v>9177</v>
      </c>
      <c r="E3443" s="22" t="s">
        <v>6382</v>
      </c>
      <c r="F3443" s="22">
        <v>35.58954</v>
      </c>
      <c r="G3443" s="22">
        <v>45.143320000000003</v>
      </c>
      <c r="H3443" s="21" t="s">
        <v>6283</v>
      </c>
      <c r="I3443" s="21" t="s">
        <v>6571</v>
      </c>
      <c r="J3443" s="21" t="s">
        <v>6736</v>
      </c>
      <c r="K3443" s="24">
        <v>49</v>
      </c>
      <c r="L3443" s="24">
        <v>294</v>
      </c>
      <c r="M3443" s="23">
        <v>21</v>
      </c>
      <c r="N3443" s="23"/>
      <c r="O3443" s="23"/>
      <c r="P3443" s="23"/>
      <c r="Q3443" s="23"/>
      <c r="R3443" s="23"/>
      <c r="S3443" s="23"/>
      <c r="T3443" s="23"/>
      <c r="U3443" s="23"/>
      <c r="V3443" s="23"/>
      <c r="W3443" s="23"/>
      <c r="X3443" s="23"/>
      <c r="Y3443" s="23">
        <v>25</v>
      </c>
      <c r="Z3443" s="23"/>
      <c r="AA3443" s="23">
        <v>3</v>
      </c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49</v>
      </c>
      <c r="AL3443" s="23"/>
      <c r="AM3443" s="23"/>
      <c r="AN3443" s="23"/>
      <c r="AO3443" s="23">
        <v>3</v>
      </c>
      <c r="AP3443" s="23">
        <v>6</v>
      </c>
      <c r="AQ3443" s="23">
        <v>23</v>
      </c>
      <c r="AR3443" s="23">
        <v>5</v>
      </c>
      <c r="AS3443" s="23">
        <v>8</v>
      </c>
      <c r="AT3443" s="23">
        <v>4</v>
      </c>
      <c r="AU3443" s="14" t="str">
        <f>HYPERLINK("http://www.openstreetmap.org/?mlat=35.5895&amp;mlon=45.1433&amp;zoom=12#map=12/35.5895/45.1433","Maplink1")</f>
        <v>Maplink1</v>
      </c>
      <c r="AV3443" s="14" t="str">
        <f>HYPERLINK("https://www.google.iq/maps/search/+35.5895,45.1433/@35.5895,45.1433,14z?hl=en","Maplink2")</f>
        <v>Maplink2</v>
      </c>
      <c r="AW3443" s="14" t="str">
        <f>HYPERLINK("http://www.bing.com/maps/?lvl=14&amp;sty=h&amp;cp=35.5895~45.1433&amp;sp=point.35.5895_45.1433_Peshwa","Maplink3")</f>
        <v>Maplink3</v>
      </c>
    </row>
    <row r="3444" spans="1:49" ht="15" customHeight="1" x14ac:dyDescent="0.25">
      <c r="A3444" s="21">
        <v>21283</v>
      </c>
      <c r="B3444" s="22" t="s">
        <v>24</v>
      </c>
      <c r="C3444" s="22" t="s">
        <v>6568</v>
      </c>
      <c r="D3444" s="22" t="s">
        <v>9178</v>
      </c>
      <c r="E3444" s="22" t="s">
        <v>6394</v>
      </c>
      <c r="F3444" s="22">
        <v>35.599510000000002</v>
      </c>
      <c r="G3444" s="22">
        <v>45.134639999999997</v>
      </c>
      <c r="H3444" s="21" t="s">
        <v>6283</v>
      </c>
      <c r="I3444" s="21" t="s">
        <v>6571</v>
      </c>
      <c r="J3444" s="21" t="s">
        <v>6800</v>
      </c>
      <c r="K3444" s="24">
        <v>42</v>
      </c>
      <c r="L3444" s="24">
        <v>252</v>
      </c>
      <c r="M3444" s="23">
        <v>18</v>
      </c>
      <c r="N3444" s="23"/>
      <c r="O3444" s="23">
        <v>6</v>
      </c>
      <c r="P3444" s="23"/>
      <c r="Q3444" s="23"/>
      <c r="R3444" s="23">
        <v>3</v>
      </c>
      <c r="S3444" s="23"/>
      <c r="T3444" s="23"/>
      <c r="U3444" s="23"/>
      <c r="V3444" s="23"/>
      <c r="W3444" s="23"/>
      <c r="X3444" s="23"/>
      <c r="Y3444" s="23">
        <v>7</v>
      </c>
      <c r="Z3444" s="23"/>
      <c r="AA3444" s="23">
        <v>8</v>
      </c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42</v>
      </c>
      <c r="AL3444" s="23"/>
      <c r="AM3444" s="23"/>
      <c r="AN3444" s="23"/>
      <c r="AO3444" s="23"/>
      <c r="AP3444" s="23">
        <v>9</v>
      </c>
      <c r="AQ3444" s="23">
        <v>7</v>
      </c>
      <c r="AR3444" s="23">
        <v>13</v>
      </c>
      <c r="AS3444" s="23">
        <v>11</v>
      </c>
      <c r="AT3444" s="23">
        <v>2</v>
      </c>
      <c r="AU3444" s="14" t="str">
        <f>HYPERLINK("http://www.openstreetmap.org/?mlat=35.5995&amp;mlon=45.1346&amp;zoom=12#map=12/35.5995/45.1346","Maplink1")</f>
        <v>Maplink1</v>
      </c>
      <c r="AV3444" s="14" t="str">
        <f>HYPERLINK("https://www.google.iq/maps/search/+35.5995,45.1346/@35.5995,45.1346,14z?hl=en","Maplink2")</f>
        <v>Maplink2</v>
      </c>
      <c r="AW3444" s="14" t="str">
        <f>HYPERLINK("http://www.bing.com/maps/?lvl=14&amp;sty=h&amp;cp=35.5995~45.1346&amp;sp=point.35.5995_45.1346_Sharawane","Maplink3")</f>
        <v>Maplink3</v>
      </c>
    </row>
    <row r="3445" spans="1:49" ht="15" customHeight="1" x14ac:dyDescent="0.25">
      <c r="A3445" s="21">
        <v>25892</v>
      </c>
      <c r="B3445" s="22" t="s">
        <v>24</v>
      </c>
      <c r="C3445" s="22" t="s">
        <v>6568</v>
      </c>
      <c r="D3445" s="22" t="s">
        <v>6618</v>
      </c>
      <c r="E3445" s="22" t="s">
        <v>6619</v>
      </c>
      <c r="F3445" s="22">
        <v>35.58869</v>
      </c>
      <c r="G3445" s="22">
        <v>45.151339999999998</v>
      </c>
      <c r="H3445" s="21" t="s">
        <v>6283</v>
      </c>
      <c r="I3445" s="21" t="s">
        <v>6571</v>
      </c>
      <c r="J3445" s="21"/>
      <c r="K3445" s="24">
        <v>61</v>
      </c>
      <c r="L3445" s="24">
        <v>366</v>
      </c>
      <c r="M3445" s="23">
        <v>32</v>
      </c>
      <c r="N3445" s="23"/>
      <c r="O3445" s="23">
        <v>2</v>
      </c>
      <c r="P3445" s="23"/>
      <c r="Q3445" s="23"/>
      <c r="R3445" s="23">
        <v>15</v>
      </c>
      <c r="S3445" s="23"/>
      <c r="T3445" s="23"/>
      <c r="U3445" s="23"/>
      <c r="V3445" s="23"/>
      <c r="W3445" s="23"/>
      <c r="X3445" s="23"/>
      <c r="Y3445" s="23">
        <v>12</v>
      </c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>
        <v>61</v>
      </c>
      <c r="AL3445" s="23"/>
      <c r="AM3445" s="23"/>
      <c r="AN3445" s="23"/>
      <c r="AO3445" s="23">
        <v>14</v>
      </c>
      <c r="AP3445" s="23"/>
      <c r="AQ3445" s="23">
        <v>12</v>
      </c>
      <c r="AR3445" s="23">
        <v>13</v>
      </c>
      <c r="AS3445" s="23">
        <v>20</v>
      </c>
      <c r="AT3445" s="23">
        <v>2</v>
      </c>
      <c r="AU3445" s="14" t="str">
        <f>HYPERLINK("http://www.openstreetmap.org/?mlat=35.5887&amp;mlon=45.1513&amp;zoom=12#map=12/35.5887/45.1513","Maplink1")</f>
        <v>Maplink1</v>
      </c>
      <c r="AV3445" s="14" t="str">
        <f>HYPERLINK("https://www.google.iq/maps/search/+35.5887,45.1513/@35.5887,45.1513,14z?hl=en","Maplink2")</f>
        <v>Maplink2</v>
      </c>
      <c r="AW3445" s="14" t="str">
        <f>HYPERLINK("http://www.bing.com/maps/?lvl=14&amp;sty=h&amp;cp=35.5887~45.1513&amp;sp=point.35.5887_45.1513_Bazian-Surgrma","Maplink3")</f>
        <v>Maplink3</v>
      </c>
    </row>
    <row r="3446" spans="1:49" ht="15" customHeight="1" x14ac:dyDescent="0.25">
      <c r="A3446" s="21">
        <v>28414</v>
      </c>
      <c r="B3446" s="22" t="s">
        <v>24</v>
      </c>
      <c r="C3446" s="22" t="s">
        <v>6568</v>
      </c>
      <c r="D3446" s="22" t="s">
        <v>6621</v>
      </c>
      <c r="E3446" s="22" t="s">
        <v>6291</v>
      </c>
      <c r="F3446" s="22">
        <v>35.541131999999998</v>
      </c>
      <c r="G3446" s="22">
        <v>45.402169999999998</v>
      </c>
      <c r="H3446" s="21"/>
      <c r="I3446" s="21"/>
      <c r="J3446" s="21"/>
      <c r="K3446" s="24">
        <v>195</v>
      </c>
      <c r="L3446" s="24">
        <v>1170</v>
      </c>
      <c r="M3446" s="23">
        <v>163</v>
      </c>
      <c r="N3446" s="23"/>
      <c r="O3446" s="23">
        <v>21</v>
      </c>
      <c r="P3446" s="23"/>
      <c r="Q3446" s="23"/>
      <c r="R3446" s="23"/>
      <c r="S3446" s="23"/>
      <c r="T3446" s="23"/>
      <c r="U3446" s="23"/>
      <c r="V3446" s="23"/>
      <c r="W3446" s="23"/>
      <c r="X3446" s="23"/>
      <c r="Y3446" s="23">
        <v>4</v>
      </c>
      <c r="Z3446" s="23"/>
      <c r="AA3446" s="23">
        <v>7</v>
      </c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195</v>
      </c>
      <c r="AL3446" s="23"/>
      <c r="AM3446" s="23"/>
      <c r="AN3446" s="23"/>
      <c r="AO3446" s="23">
        <v>27</v>
      </c>
      <c r="AP3446" s="23">
        <v>24</v>
      </c>
      <c r="AQ3446" s="23">
        <v>4</v>
      </c>
      <c r="AR3446" s="23">
        <v>39</v>
      </c>
      <c r="AS3446" s="23">
        <v>68</v>
      </c>
      <c r="AT3446" s="23">
        <v>33</v>
      </c>
      <c r="AU3446" s="14" t="str">
        <f>HYPERLINK("http://www.openstreetmap.org/?mlat=35.5411&amp;mlon=45.4022&amp;zoom=12#map=12/35.5411/45.4022","Maplink1")</f>
        <v>Maplink1</v>
      </c>
      <c r="AV3446" s="14" t="str">
        <f>HYPERLINK("https://www.google.iq/maps/search/+35.5411,45.4022/@35.5411,45.4022,14z?hl=en","Maplink2")</f>
        <v>Maplink2</v>
      </c>
      <c r="AW3446" s="14" t="str">
        <f>HYPERLINK("http://www.bing.com/maps/?lvl=14&amp;sty=h&amp;cp=35.5411~45.4022&amp;sp=point.35.5411_45.4022_Al Angaa","Maplink3")</f>
        <v>Maplink3</v>
      </c>
    </row>
    <row r="3447" spans="1:49" ht="15" customHeight="1" x14ac:dyDescent="0.25">
      <c r="A3447" s="21">
        <v>21285</v>
      </c>
      <c r="B3447" s="22" t="s">
        <v>24</v>
      </c>
      <c r="C3447" s="22" t="s">
        <v>6568</v>
      </c>
      <c r="D3447" s="22" t="s">
        <v>6624</v>
      </c>
      <c r="E3447" s="22" t="s">
        <v>6625</v>
      </c>
      <c r="F3447" s="22">
        <v>35.551009999999998</v>
      </c>
      <c r="G3447" s="22">
        <v>45.431550000000001</v>
      </c>
      <c r="H3447" s="21" t="s">
        <v>6283</v>
      </c>
      <c r="I3447" s="21" t="s">
        <v>6571</v>
      </c>
      <c r="J3447" s="21" t="s">
        <v>6626</v>
      </c>
      <c r="K3447" s="24">
        <v>91</v>
      </c>
      <c r="L3447" s="24">
        <v>546</v>
      </c>
      <c r="M3447" s="23">
        <v>65</v>
      </c>
      <c r="N3447" s="23"/>
      <c r="O3447" s="23">
        <v>13</v>
      </c>
      <c r="P3447" s="23"/>
      <c r="Q3447" s="23"/>
      <c r="R3447" s="23">
        <v>3</v>
      </c>
      <c r="S3447" s="23"/>
      <c r="T3447" s="23"/>
      <c r="U3447" s="23"/>
      <c r="V3447" s="23"/>
      <c r="W3447" s="23"/>
      <c r="X3447" s="23"/>
      <c r="Y3447" s="23">
        <v>10</v>
      </c>
      <c r="Z3447" s="23"/>
      <c r="AA3447" s="23"/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91</v>
      </c>
      <c r="AL3447" s="23"/>
      <c r="AM3447" s="23"/>
      <c r="AN3447" s="23"/>
      <c r="AO3447" s="23">
        <v>14</v>
      </c>
      <c r="AP3447" s="23">
        <v>20</v>
      </c>
      <c r="AQ3447" s="23">
        <v>4</v>
      </c>
      <c r="AR3447" s="23">
        <v>30</v>
      </c>
      <c r="AS3447" s="23">
        <v>23</v>
      </c>
      <c r="AT3447" s="23"/>
      <c r="AU3447" s="14" t="str">
        <f>HYPERLINK("http://www.openstreetmap.org/?mlat=35.551&amp;mlon=45.4316&amp;zoom=12#map=12/35.551/45.4316","Maplink1")</f>
        <v>Maplink1</v>
      </c>
      <c r="AV3447" s="14" t="str">
        <f>HYPERLINK("https://www.google.iq/maps/search/+35.551,45.4316/@35.551,45.4316,14z?hl=en","Maplink2")</f>
        <v>Maplink2</v>
      </c>
      <c r="AW3447" s="14" t="str">
        <f>HYPERLINK("http://www.bing.com/maps/?lvl=14&amp;sty=h&amp;cp=35.551~45.4316&amp;sp=point.35.551_45.4316_Chwar Bakh","Maplink3")</f>
        <v>Maplink3</v>
      </c>
    </row>
    <row r="3448" spans="1:49" ht="15" customHeight="1" x14ac:dyDescent="0.25">
      <c r="A3448" s="21">
        <v>21287</v>
      </c>
      <c r="B3448" s="22" t="s">
        <v>24</v>
      </c>
      <c r="C3448" s="22" t="s">
        <v>6568</v>
      </c>
      <c r="D3448" s="22" t="s">
        <v>6627</v>
      </c>
      <c r="E3448" s="22" t="s">
        <v>6628</v>
      </c>
      <c r="F3448" s="22">
        <v>35.546039999999998</v>
      </c>
      <c r="G3448" s="22">
        <v>45.411110000000001</v>
      </c>
      <c r="H3448" s="21" t="s">
        <v>6283</v>
      </c>
      <c r="I3448" s="21" t="s">
        <v>6571</v>
      </c>
      <c r="J3448" s="21" t="s">
        <v>6629</v>
      </c>
      <c r="K3448" s="24">
        <v>86</v>
      </c>
      <c r="L3448" s="24">
        <v>516</v>
      </c>
      <c r="M3448" s="23">
        <v>62</v>
      </c>
      <c r="N3448" s="23"/>
      <c r="O3448" s="23">
        <v>10</v>
      </c>
      <c r="P3448" s="23"/>
      <c r="Q3448" s="23"/>
      <c r="R3448" s="23"/>
      <c r="S3448" s="23"/>
      <c r="T3448" s="23"/>
      <c r="U3448" s="23"/>
      <c r="V3448" s="23"/>
      <c r="W3448" s="23"/>
      <c r="X3448" s="23"/>
      <c r="Y3448" s="23">
        <v>9</v>
      </c>
      <c r="Z3448" s="23"/>
      <c r="AA3448" s="23">
        <v>5</v>
      </c>
      <c r="AB3448" s="23"/>
      <c r="AC3448" s="23"/>
      <c r="AD3448" s="23"/>
      <c r="AE3448" s="23"/>
      <c r="AF3448" s="23"/>
      <c r="AG3448" s="23">
        <v>15</v>
      </c>
      <c r="AH3448" s="23"/>
      <c r="AI3448" s="23"/>
      <c r="AJ3448" s="23">
        <v>9</v>
      </c>
      <c r="AK3448" s="23">
        <v>62</v>
      </c>
      <c r="AL3448" s="23"/>
      <c r="AM3448" s="23"/>
      <c r="AN3448" s="23"/>
      <c r="AO3448" s="23">
        <v>10</v>
      </c>
      <c r="AP3448" s="23">
        <v>16</v>
      </c>
      <c r="AQ3448" s="23">
        <v>15</v>
      </c>
      <c r="AR3448" s="23"/>
      <c r="AS3448" s="23">
        <v>34</v>
      </c>
      <c r="AT3448" s="23">
        <v>11</v>
      </c>
      <c r="AU3448" s="14" t="str">
        <f>HYPERLINK("http://www.openstreetmap.org/?mlat=35.546&amp;mlon=45.4111&amp;zoom=12#map=12/35.546/45.4111","Maplink1")</f>
        <v>Maplink1</v>
      </c>
      <c r="AV3448" s="14" t="str">
        <f>HYPERLINK("https://www.google.iq/maps/search/+35.546,45.4111/@35.546,45.4111,14z?hl=en","Maplink2")</f>
        <v>Maplink2</v>
      </c>
      <c r="AW3448" s="14" t="str">
        <f>HYPERLINK("http://www.bing.com/maps/?lvl=14&amp;sty=h&amp;cp=35.546~45.4111&amp;sp=point.35.546_45.4111_Chwar Chra","Maplink3")</f>
        <v>Maplink3</v>
      </c>
    </row>
    <row r="3449" spans="1:49" ht="15" customHeight="1" x14ac:dyDescent="0.25">
      <c r="A3449" s="21">
        <v>4513</v>
      </c>
      <c r="B3449" s="22" t="s">
        <v>24</v>
      </c>
      <c r="C3449" s="22" t="s">
        <v>6568</v>
      </c>
      <c r="D3449" s="22" t="s">
        <v>6630</v>
      </c>
      <c r="E3449" s="22" t="s">
        <v>6631</v>
      </c>
      <c r="F3449" s="22">
        <v>35.452269999999999</v>
      </c>
      <c r="G3449" s="22">
        <v>45.508839999999999</v>
      </c>
      <c r="H3449" s="21" t="s">
        <v>6283</v>
      </c>
      <c r="I3449" s="21" t="s">
        <v>6571</v>
      </c>
      <c r="J3449" s="21" t="s">
        <v>6632</v>
      </c>
      <c r="K3449" s="24">
        <v>7</v>
      </c>
      <c r="L3449" s="24">
        <v>42</v>
      </c>
      <c r="M3449" s="23"/>
      <c r="N3449" s="23"/>
      <c r="O3449" s="23">
        <v>1</v>
      </c>
      <c r="P3449" s="23"/>
      <c r="Q3449" s="23"/>
      <c r="R3449" s="23">
        <v>5</v>
      </c>
      <c r="S3449" s="23"/>
      <c r="T3449" s="23"/>
      <c r="U3449" s="23"/>
      <c r="V3449" s="23"/>
      <c r="W3449" s="23"/>
      <c r="X3449" s="23"/>
      <c r="Y3449" s="23">
        <v>1</v>
      </c>
      <c r="Z3449" s="23"/>
      <c r="AA3449" s="23"/>
      <c r="AB3449" s="23"/>
      <c r="AC3449" s="23"/>
      <c r="AD3449" s="23"/>
      <c r="AE3449" s="23"/>
      <c r="AF3449" s="23"/>
      <c r="AG3449" s="23"/>
      <c r="AH3449" s="23">
        <v>7</v>
      </c>
      <c r="AI3449" s="23"/>
      <c r="AJ3449" s="23"/>
      <c r="AK3449" s="23"/>
      <c r="AL3449" s="23"/>
      <c r="AM3449" s="23"/>
      <c r="AN3449" s="23"/>
      <c r="AO3449" s="23">
        <v>2</v>
      </c>
      <c r="AP3449" s="23"/>
      <c r="AQ3449" s="23">
        <v>5</v>
      </c>
      <c r="AR3449" s="23"/>
      <c r="AS3449" s="23"/>
      <c r="AT3449" s="23"/>
      <c r="AU3449" s="14" t="str">
        <f>HYPERLINK("http://www.openstreetmap.org/?mlat=35.4523&amp;mlon=45.5088&amp;zoom=12#map=12/35.4523/45.5088","Maplink1")</f>
        <v>Maplink1</v>
      </c>
      <c r="AV3449" s="14" t="str">
        <f>HYPERLINK("https://www.google.iq/maps/search/+35.4523,45.5088/@35.4523,45.5088,14z?hl=en","Maplink2")</f>
        <v>Maplink2</v>
      </c>
      <c r="AW3449" s="14" t="str">
        <f>HYPERLINK("http://www.bing.com/maps/?lvl=14&amp;sty=h&amp;cp=35.4523~45.5088&amp;sp=point.35.4523_45.5088_Damrkan","Maplink3")</f>
        <v>Maplink3</v>
      </c>
    </row>
    <row r="3450" spans="1:49" ht="15" customHeight="1" x14ac:dyDescent="0.25">
      <c r="A3450" s="21">
        <v>23926</v>
      </c>
      <c r="B3450" s="22" t="s">
        <v>24</v>
      </c>
      <c r="C3450" s="22" t="s">
        <v>6568</v>
      </c>
      <c r="D3450" s="22" t="s">
        <v>6633</v>
      </c>
      <c r="E3450" s="22" t="s">
        <v>6634</v>
      </c>
      <c r="F3450" s="22">
        <v>35.549909999999997</v>
      </c>
      <c r="G3450" s="22">
        <v>45.443190000000001</v>
      </c>
      <c r="H3450" s="21" t="s">
        <v>6283</v>
      </c>
      <c r="I3450" s="21" t="s">
        <v>6571</v>
      </c>
      <c r="J3450" s="21" t="s">
        <v>6635</v>
      </c>
      <c r="K3450" s="24">
        <v>74</v>
      </c>
      <c r="L3450" s="24">
        <v>444</v>
      </c>
      <c r="M3450" s="23">
        <v>51</v>
      </c>
      <c r="N3450" s="23"/>
      <c r="O3450" s="23"/>
      <c r="P3450" s="23"/>
      <c r="Q3450" s="23"/>
      <c r="R3450" s="23">
        <v>6</v>
      </c>
      <c r="S3450" s="23"/>
      <c r="T3450" s="23"/>
      <c r="U3450" s="23"/>
      <c r="V3450" s="23"/>
      <c r="W3450" s="23"/>
      <c r="X3450" s="23"/>
      <c r="Y3450" s="23">
        <v>3</v>
      </c>
      <c r="Z3450" s="23"/>
      <c r="AA3450" s="23">
        <v>14</v>
      </c>
      <c r="AB3450" s="23"/>
      <c r="AC3450" s="23"/>
      <c r="AD3450" s="23"/>
      <c r="AE3450" s="23"/>
      <c r="AF3450" s="23"/>
      <c r="AG3450" s="23">
        <v>34</v>
      </c>
      <c r="AH3450" s="23"/>
      <c r="AI3450" s="23"/>
      <c r="AJ3450" s="23"/>
      <c r="AK3450" s="23">
        <v>40</v>
      </c>
      <c r="AL3450" s="23"/>
      <c r="AM3450" s="23"/>
      <c r="AN3450" s="23"/>
      <c r="AO3450" s="23">
        <v>5</v>
      </c>
      <c r="AP3450" s="23">
        <v>10</v>
      </c>
      <c r="AQ3450" s="23">
        <v>3</v>
      </c>
      <c r="AR3450" s="23">
        <v>52</v>
      </c>
      <c r="AS3450" s="23"/>
      <c r="AT3450" s="23">
        <v>4</v>
      </c>
      <c r="AU3450" s="14" t="str">
        <f>HYPERLINK("http://www.openstreetmap.org/?mlat=35.5499&amp;mlon=45.4432&amp;zoom=12#map=12/35.5499/45.4432","Maplink1")</f>
        <v>Maplink1</v>
      </c>
      <c r="AV3450" s="14" t="str">
        <f>HYPERLINK("https://www.google.iq/maps/search/+35.5499,45.4432/@35.5499,45.4432,14z?hl=en","Maplink2")</f>
        <v>Maplink2</v>
      </c>
      <c r="AW3450" s="14" t="str">
        <f>HYPERLINK("http://www.bing.com/maps/?lvl=14&amp;sty=h&amp;cp=35.5499~45.4432&amp;sp=point.35.5499_45.4432_Dargazen","Maplink3")</f>
        <v>Maplink3</v>
      </c>
    </row>
    <row r="3451" spans="1:49" ht="15" customHeight="1" x14ac:dyDescent="0.25">
      <c r="A3451" s="21">
        <v>23717</v>
      </c>
      <c r="B3451" s="22" t="s">
        <v>24</v>
      </c>
      <c r="C3451" s="22" t="s">
        <v>6568</v>
      </c>
      <c r="D3451" s="22" t="s">
        <v>6636</v>
      </c>
      <c r="E3451" s="22" t="s">
        <v>6637</v>
      </c>
      <c r="F3451" s="22">
        <v>35.54721</v>
      </c>
      <c r="G3451" s="22">
        <v>45.478029999999997</v>
      </c>
      <c r="H3451" s="21" t="s">
        <v>6283</v>
      </c>
      <c r="I3451" s="21" t="s">
        <v>6571</v>
      </c>
      <c r="J3451" s="21" t="s">
        <v>6638</v>
      </c>
      <c r="K3451" s="24">
        <v>80</v>
      </c>
      <c r="L3451" s="24">
        <v>480</v>
      </c>
      <c r="M3451" s="23">
        <v>70</v>
      </c>
      <c r="N3451" s="23"/>
      <c r="O3451" s="23">
        <v>4</v>
      </c>
      <c r="P3451" s="23"/>
      <c r="Q3451" s="23"/>
      <c r="R3451" s="23">
        <v>2</v>
      </c>
      <c r="S3451" s="23"/>
      <c r="T3451" s="23"/>
      <c r="U3451" s="23"/>
      <c r="V3451" s="23"/>
      <c r="W3451" s="23"/>
      <c r="X3451" s="23"/>
      <c r="Y3451" s="23">
        <v>4</v>
      </c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80</v>
      </c>
      <c r="AL3451" s="23"/>
      <c r="AM3451" s="23"/>
      <c r="AN3451" s="23"/>
      <c r="AO3451" s="23"/>
      <c r="AP3451" s="23">
        <v>9</v>
      </c>
      <c r="AQ3451" s="23">
        <v>10</v>
      </c>
      <c r="AR3451" s="23">
        <v>22</v>
      </c>
      <c r="AS3451" s="23">
        <v>32</v>
      </c>
      <c r="AT3451" s="23">
        <v>7</v>
      </c>
      <c r="AU3451" s="14" t="str">
        <f>HYPERLINK("http://www.openstreetmap.org/?mlat=35.5472&amp;mlon=45.478&amp;zoom=12#map=12/35.5472/45.478","Maplink1")</f>
        <v>Maplink1</v>
      </c>
      <c r="AV3451" s="14" t="str">
        <f>HYPERLINK("https://www.google.iq/maps/search/+35.5472,45.478/@35.5472,45.478,14z?hl=en","Maplink2")</f>
        <v>Maplink2</v>
      </c>
      <c r="AW3451" s="14" t="str">
        <f>HYPERLINK("http://www.bing.com/maps/?lvl=14&amp;sty=h&amp;cp=35.5472~45.478&amp;sp=point.35.5472_45.478_Dilan City","Maplink3")</f>
        <v>Maplink3</v>
      </c>
    </row>
    <row r="3452" spans="1:49" ht="15" customHeight="1" x14ac:dyDescent="0.25">
      <c r="A3452" s="21">
        <v>24818</v>
      </c>
      <c r="B3452" s="22" t="s">
        <v>24</v>
      </c>
      <c r="C3452" s="22" t="s">
        <v>6568</v>
      </c>
      <c r="D3452" s="22" t="s">
        <v>6639</v>
      </c>
      <c r="E3452" s="22" t="s">
        <v>6640</v>
      </c>
      <c r="F3452" s="22">
        <v>35.541960000000003</v>
      </c>
      <c r="G3452" s="22">
        <v>45.422020000000003</v>
      </c>
      <c r="H3452" s="21" t="s">
        <v>6283</v>
      </c>
      <c r="I3452" s="21" t="s">
        <v>6571</v>
      </c>
      <c r="J3452" s="21"/>
      <c r="K3452" s="24">
        <v>121</v>
      </c>
      <c r="L3452" s="24">
        <v>726</v>
      </c>
      <c r="M3452" s="23">
        <v>94</v>
      </c>
      <c r="N3452" s="23"/>
      <c r="O3452" s="23">
        <v>8</v>
      </c>
      <c r="P3452" s="23"/>
      <c r="Q3452" s="23"/>
      <c r="R3452" s="23">
        <v>4</v>
      </c>
      <c r="S3452" s="23"/>
      <c r="T3452" s="23"/>
      <c r="U3452" s="23"/>
      <c r="V3452" s="23"/>
      <c r="W3452" s="23"/>
      <c r="X3452" s="23"/>
      <c r="Y3452" s="23">
        <v>1</v>
      </c>
      <c r="Z3452" s="23"/>
      <c r="AA3452" s="23">
        <v>14</v>
      </c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121</v>
      </c>
      <c r="AL3452" s="23"/>
      <c r="AM3452" s="23"/>
      <c r="AN3452" s="23"/>
      <c r="AO3452" s="23">
        <v>15</v>
      </c>
      <c r="AP3452" s="23">
        <v>29</v>
      </c>
      <c r="AQ3452" s="23">
        <v>1</v>
      </c>
      <c r="AR3452" s="23">
        <v>43</v>
      </c>
      <c r="AS3452" s="23">
        <v>26</v>
      </c>
      <c r="AT3452" s="23">
        <v>7</v>
      </c>
      <c r="AU3452" s="14" t="str">
        <f>HYPERLINK("http://www.openstreetmap.org/?mlat=35.542&amp;mlon=45.422&amp;zoom=12#map=12/35.542/45.422","Maplink1")</f>
        <v>Maplink1</v>
      </c>
      <c r="AV3452" s="14" t="str">
        <f>HYPERLINK("https://www.google.iq/maps/search/+35.542,45.422/@35.542,45.422,14z?hl=en","Maplink2")</f>
        <v>Maplink2</v>
      </c>
      <c r="AW3452" s="14" t="str">
        <f>HYPERLINK("http://www.bing.com/maps/?lvl=14&amp;sty=h&amp;cp=35.542~45.422&amp;sp=point.35.542_45.422_Diya City","Maplink3")</f>
        <v>Maplink3</v>
      </c>
    </row>
    <row r="3453" spans="1:49" ht="15" customHeight="1" x14ac:dyDescent="0.25">
      <c r="A3453" s="21">
        <v>21036</v>
      </c>
      <c r="B3453" s="22" t="s">
        <v>24</v>
      </c>
      <c r="C3453" s="22" t="s">
        <v>6568</v>
      </c>
      <c r="D3453" s="22" t="s">
        <v>6367</v>
      </c>
      <c r="E3453" s="22" t="s">
        <v>6368</v>
      </c>
      <c r="F3453" s="22">
        <v>35.585830000000001</v>
      </c>
      <c r="G3453" s="22">
        <v>45.402639999999998</v>
      </c>
      <c r="H3453" s="21" t="s">
        <v>6283</v>
      </c>
      <c r="I3453" s="21" t="s">
        <v>6571</v>
      </c>
      <c r="J3453" s="21" t="s">
        <v>6641</v>
      </c>
      <c r="K3453" s="24">
        <v>162</v>
      </c>
      <c r="L3453" s="24">
        <v>972</v>
      </c>
      <c r="M3453" s="23">
        <v>145</v>
      </c>
      <c r="N3453" s="23"/>
      <c r="O3453" s="23">
        <v>5</v>
      </c>
      <c r="P3453" s="23"/>
      <c r="Q3453" s="23"/>
      <c r="R3453" s="23">
        <v>3</v>
      </c>
      <c r="S3453" s="23"/>
      <c r="T3453" s="23"/>
      <c r="U3453" s="23"/>
      <c r="V3453" s="23"/>
      <c r="W3453" s="23"/>
      <c r="X3453" s="23"/>
      <c r="Y3453" s="23">
        <v>3</v>
      </c>
      <c r="Z3453" s="23"/>
      <c r="AA3453" s="23">
        <v>6</v>
      </c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>
        <v>162</v>
      </c>
      <c r="AL3453" s="23"/>
      <c r="AM3453" s="23"/>
      <c r="AN3453" s="23"/>
      <c r="AO3453" s="23">
        <v>18</v>
      </c>
      <c r="AP3453" s="23">
        <v>15</v>
      </c>
      <c r="AQ3453" s="23">
        <v>12</v>
      </c>
      <c r="AR3453" s="23">
        <v>40</v>
      </c>
      <c r="AS3453" s="23">
        <v>60</v>
      </c>
      <c r="AT3453" s="23">
        <v>17</v>
      </c>
      <c r="AU3453" s="14" t="str">
        <f>HYPERLINK("http://www.openstreetmap.org/?mlat=35.5858&amp;mlon=45.4026&amp;zoom=12#map=12/35.5858/45.4026","Maplink1")</f>
        <v>Maplink1</v>
      </c>
      <c r="AV3453" s="14" t="str">
        <f>HYPERLINK("https://www.google.iq/maps/search/+35.5858,45.4026/@35.5858,45.4026,14z?hl=en","Maplink2")</f>
        <v>Maplink2</v>
      </c>
      <c r="AW3453" s="14" t="str">
        <f>HYPERLINK("http://www.bing.com/maps/?lvl=14&amp;sty=h&amp;cp=35.5858~45.4026&amp;sp=point.35.5858_45.4026_Farmanbaran","Maplink3")</f>
        <v>Maplink3</v>
      </c>
    </row>
    <row r="3454" spans="1:49" ht="15" customHeight="1" x14ac:dyDescent="0.25">
      <c r="A3454" s="21">
        <v>4494</v>
      </c>
      <c r="B3454" s="22" t="s">
        <v>24</v>
      </c>
      <c r="C3454" s="22" t="s">
        <v>6568</v>
      </c>
      <c r="D3454" s="22" t="s">
        <v>6642</v>
      </c>
      <c r="E3454" s="22" t="s">
        <v>6643</v>
      </c>
      <c r="F3454" s="22">
        <v>35.27807</v>
      </c>
      <c r="G3454" s="22">
        <v>45.375410000000002</v>
      </c>
      <c r="H3454" s="21" t="s">
        <v>6283</v>
      </c>
      <c r="I3454" s="21" t="s">
        <v>6571</v>
      </c>
      <c r="J3454" s="21" t="s">
        <v>6644</v>
      </c>
      <c r="K3454" s="24">
        <v>6</v>
      </c>
      <c r="L3454" s="24">
        <v>36</v>
      </c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>
        <v>6</v>
      </c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/>
      <c r="AL3454" s="23">
        <v>6</v>
      </c>
      <c r="AM3454" s="23"/>
      <c r="AN3454" s="23"/>
      <c r="AO3454" s="23"/>
      <c r="AP3454" s="23"/>
      <c r="AQ3454" s="23">
        <v>6</v>
      </c>
      <c r="AR3454" s="23"/>
      <c r="AS3454" s="23"/>
      <c r="AT3454" s="23"/>
      <c r="AU3454" s="14" t="str">
        <f>HYPERLINK("http://www.openstreetmap.org/?mlat=35.27&amp;mlon=45.37&amp;zoom=12#map=12/35.27/45.37","Maplink1")</f>
        <v>Maplink1</v>
      </c>
      <c r="AV3454" s="14" t="str">
        <f>HYPERLINK("https://www.google.iq/maps/search/+35.27,45.37/@35.27,45.37,14z?hl=en","Maplink2")</f>
        <v>Maplink2</v>
      </c>
      <c r="AW3454" s="14" t="str">
        <f>HYPERLINK("http://www.bing.com/maps/?lvl=14&amp;sty=h&amp;cp=35.27~45.37&amp;sp=point.35.27_45.37_Goshan","Maplink3")</f>
        <v>Maplink3</v>
      </c>
    </row>
    <row r="3455" spans="1:49" ht="15" customHeight="1" x14ac:dyDescent="0.25">
      <c r="A3455" s="21">
        <v>24097</v>
      </c>
      <c r="B3455" s="22" t="s">
        <v>24</v>
      </c>
      <c r="C3455" s="22" t="s">
        <v>6568</v>
      </c>
      <c r="D3455" s="22" t="s">
        <v>6645</v>
      </c>
      <c r="E3455" s="22" t="s">
        <v>6646</v>
      </c>
      <c r="F3455" s="22">
        <v>35.560769999999998</v>
      </c>
      <c r="G3455" s="22">
        <v>45.473489999999998</v>
      </c>
      <c r="H3455" s="21" t="s">
        <v>6283</v>
      </c>
      <c r="I3455" s="21" t="s">
        <v>6571</v>
      </c>
      <c r="J3455" s="21" t="s">
        <v>6647</v>
      </c>
      <c r="K3455" s="24">
        <v>126</v>
      </c>
      <c r="L3455" s="24">
        <v>756</v>
      </c>
      <c r="M3455" s="23">
        <v>91</v>
      </c>
      <c r="N3455" s="23"/>
      <c r="O3455" s="23">
        <v>9</v>
      </c>
      <c r="P3455" s="23"/>
      <c r="Q3455" s="23"/>
      <c r="R3455" s="23"/>
      <c r="S3455" s="23"/>
      <c r="T3455" s="23"/>
      <c r="U3455" s="23"/>
      <c r="V3455" s="23"/>
      <c r="W3455" s="23"/>
      <c r="X3455" s="23"/>
      <c r="Y3455" s="23">
        <v>18</v>
      </c>
      <c r="Z3455" s="23"/>
      <c r="AA3455" s="23">
        <v>8</v>
      </c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126</v>
      </c>
      <c r="AL3455" s="23"/>
      <c r="AM3455" s="23"/>
      <c r="AN3455" s="23"/>
      <c r="AO3455" s="23">
        <v>21</v>
      </c>
      <c r="AP3455" s="23">
        <v>42</v>
      </c>
      <c r="AQ3455" s="23"/>
      <c r="AR3455" s="23">
        <v>30</v>
      </c>
      <c r="AS3455" s="23">
        <v>29</v>
      </c>
      <c r="AT3455" s="23">
        <v>4</v>
      </c>
      <c r="AU3455" s="14" t="str">
        <f>HYPERLINK("http://www.openstreetmap.org/?mlat=35.5608&amp;mlon=45.4735&amp;zoom=12#map=12/35.5608/45.4735","Maplink1")</f>
        <v>Maplink1</v>
      </c>
      <c r="AV3455" s="14" t="str">
        <f>HYPERLINK("https://www.google.iq/maps/search/+35.5608,45.4735/@35.5608,45.4735,14z?hl=en","Maplink2")</f>
        <v>Maplink2</v>
      </c>
      <c r="AW3455" s="14" t="str">
        <f>HYPERLINK("http://www.bing.com/maps/?lvl=14&amp;sty=h&amp;cp=35.5608~45.4735&amp;sp=point.35.5608_45.4735_Goyzha City","Maplink3")</f>
        <v>Maplink3</v>
      </c>
    </row>
    <row r="3456" spans="1:49" ht="15" customHeight="1" x14ac:dyDescent="0.25">
      <c r="A3456" s="21">
        <v>21319</v>
      </c>
      <c r="B3456" s="22" t="s">
        <v>24</v>
      </c>
      <c r="C3456" s="22" t="s">
        <v>6568</v>
      </c>
      <c r="D3456" s="22" t="s">
        <v>6648</v>
      </c>
      <c r="E3456" s="22" t="s">
        <v>6649</v>
      </c>
      <c r="F3456" s="22">
        <v>35.573740000000001</v>
      </c>
      <c r="G3456" s="22">
        <v>45.389330000000001</v>
      </c>
      <c r="H3456" s="21" t="s">
        <v>6283</v>
      </c>
      <c r="I3456" s="21" t="s">
        <v>6571</v>
      </c>
      <c r="J3456" s="21" t="s">
        <v>6650</v>
      </c>
      <c r="K3456" s="24">
        <v>112</v>
      </c>
      <c r="L3456" s="24">
        <v>672</v>
      </c>
      <c r="M3456" s="23">
        <v>102</v>
      </c>
      <c r="N3456" s="23"/>
      <c r="O3456" s="23"/>
      <c r="P3456" s="23"/>
      <c r="Q3456" s="23"/>
      <c r="R3456" s="23">
        <v>2</v>
      </c>
      <c r="S3456" s="23"/>
      <c r="T3456" s="23"/>
      <c r="U3456" s="23"/>
      <c r="V3456" s="23"/>
      <c r="W3456" s="23"/>
      <c r="X3456" s="23"/>
      <c r="Y3456" s="23">
        <v>8</v>
      </c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>
        <v>112</v>
      </c>
      <c r="AL3456" s="23"/>
      <c r="AM3456" s="23"/>
      <c r="AN3456" s="23"/>
      <c r="AO3456" s="23">
        <v>10</v>
      </c>
      <c r="AP3456" s="23">
        <v>10</v>
      </c>
      <c r="AQ3456" s="23">
        <v>8</v>
      </c>
      <c r="AR3456" s="23">
        <v>48</v>
      </c>
      <c r="AS3456" s="23">
        <v>36</v>
      </c>
      <c r="AT3456" s="23"/>
      <c r="AU3456" s="14" t="str">
        <f>HYPERLINK("http://www.openstreetmap.org/?mlat=35.5737&amp;mlon=45.3893&amp;zoom=12#map=12/35.5737/45.3893","Maplink1")</f>
        <v>Maplink1</v>
      </c>
      <c r="AV3456" s="14" t="str">
        <f>HYPERLINK("https://www.google.iq/maps/search/+35.5737,45.3893/@35.5737,45.3893,14z?hl=en","Maplink2")</f>
        <v>Maplink2</v>
      </c>
      <c r="AW3456" s="14" t="str">
        <f>HYPERLINK("http://www.bing.com/maps/?lvl=14&amp;sty=h&amp;cp=35.5737~45.3893&amp;sp=point.35.5737_45.3893_Grdi Sarchnar","Maplink3")</f>
        <v>Maplink3</v>
      </c>
    </row>
    <row r="3457" spans="1:49" ht="15" customHeight="1" x14ac:dyDescent="0.25">
      <c r="A3457" s="21">
        <v>25383</v>
      </c>
      <c r="B3457" s="22" t="s">
        <v>24</v>
      </c>
      <c r="C3457" s="22" t="s">
        <v>6568</v>
      </c>
      <c r="D3457" s="22" t="s">
        <v>6651</v>
      </c>
      <c r="E3457" s="22" t="s">
        <v>6652</v>
      </c>
      <c r="F3457" s="22">
        <v>35.520600000000002</v>
      </c>
      <c r="G3457" s="22">
        <v>45.44061</v>
      </c>
      <c r="H3457" s="21" t="s">
        <v>6283</v>
      </c>
      <c r="I3457" s="21" t="s">
        <v>6571</v>
      </c>
      <c r="J3457" s="21"/>
      <c r="K3457" s="24">
        <v>18</v>
      </c>
      <c r="L3457" s="24">
        <v>108</v>
      </c>
      <c r="M3457" s="23">
        <v>16</v>
      </c>
      <c r="N3457" s="23"/>
      <c r="O3457" s="23"/>
      <c r="P3457" s="23"/>
      <c r="Q3457" s="23"/>
      <c r="R3457" s="23">
        <v>1</v>
      </c>
      <c r="S3457" s="23"/>
      <c r="T3457" s="23"/>
      <c r="U3457" s="23"/>
      <c r="V3457" s="23"/>
      <c r="W3457" s="23"/>
      <c r="X3457" s="23"/>
      <c r="Y3457" s="23">
        <v>1</v>
      </c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18</v>
      </c>
      <c r="AL3457" s="23"/>
      <c r="AM3457" s="23"/>
      <c r="AN3457" s="23"/>
      <c r="AO3457" s="23">
        <v>2</v>
      </c>
      <c r="AP3457" s="23">
        <v>5</v>
      </c>
      <c r="AQ3457" s="23"/>
      <c r="AR3457" s="23">
        <v>9</v>
      </c>
      <c r="AS3457" s="23">
        <v>2</v>
      </c>
      <c r="AT3457" s="23"/>
      <c r="AU3457" s="14" t="str">
        <f>HYPERLINK("http://www.openstreetmap.org/?mlat=35.5206&amp;mlon=45.4406&amp;zoom=12#map=12/35.5206/45.4406","Maplink1")</f>
        <v>Maplink1</v>
      </c>
      <c r="AV3457" s="14" t="str">
        <f>HYPERLINK("https://www.google.iq/maps/search/+35.5206,45.4406/@35.5206,45.4406,14z?hl=en","Maplink2")</f>
        <v>Maplink2</v>
      </c>
      <c r="AW3457" s="14" t="str">
        <f>HYPERLINK("http://www.bing.com/maps/?lvl=14&amp;sty=h&amp;cp=35.5206~45.4406&amp;sp=point.35.5206_45.4406_Green City","Maplink3")</f>
        <v>Maplink3</v>
      </c>
    </row>
    <row r="3458" spans="1:49" ht="15" customHeight="1" x14ac:dyDescent="0.25">
      <c r="A3458" s="21">
        <v>21254</v>
      </c>
      <c r="B3458" s="22" t="s">
        <v>24</v>
      </c>
      <c r="C3458" s="22" t="s">
        <v>6568</v>
      </c>
      <c r="D3458" s="22" t="s">
        <v>6653</v>
      </c>
      <c r="E3458" s="22" t="s">
        <v>6654</v>
      </c>
      <c r="F3458" s="22">
        <v>35.557690000000001</v>
      </c>
      <c r="G3458" s="22">
        <v>45.452750000000002</v>
      </c>
      <c r="H3458" s="21" t="s">
        <v>6283</v>
      </c>
      <c r="I3458" s="21" t="s">
        <v>6571</v>
      </c>
      <c r="J3458" s="21" t="s">
        <v>6655</v>
      </c>
      <c r="K3458" s="24">
        <v>121</v>
      </c>
      <c r="L3458" s="24">
        <v>726</v>
      </c>
      <c r="M3458" s="23">
        <v>111</v>
      </c>
      <c r="N3458" s="23"/>
      <c r="O3458" s="23">
        <v>6</v>
      </c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>
        <v>4</v>
      </c>
      <c r="AB3458" s="23"/>
      <c r="AC3458" s="23"/>
      <c r="AD3458" s="23"/>
      <c r="AE3458" s="23"/>
      <c r="AF3458" s="23"/>
      <c r="AG3458" s="23">
        <v>40</v>
      </c>
      <c r="AH3458" s="23"/>
      <c r="AI3458" s="23"/>
      <c r="AJ3458" s="23"/>
      <c r="AK3458" s="23">
        <v>81</v>
      </c>
      <c r="AL3458" s="23"/>
      <c r="AM3458" s="23"/>
      <c r="AN3458" s="23"/>
      <c r="AO3458" s="23">
        <v>27</v>
      </c>
      <c r="AP3458" s="23">
        <v>8</v>
      </c>
      <c r="AQ3458" s="23"/>
      <c r="AR3458" s="23">
        <v>55</v>
      </c>
      <c r="AS3458" s="23">
        <v>23</v>
      </c>
      <c r="AT3458" s="23">
        <v>8</v>
      </c>
      <c r="AU3458" s="14" t="str">
        <f>HYPERLINK("http://www.openstreetmap.org/?mlat=35.5577&amp;mlon=45.4528&amp;zoom=12#map=12/35.5577/45.4528","Maplink1")</f>
        <v>Maplink1</v>
      </c>
      <c r="AV3458" s="14" t="str">
        <f>HYPERLINK("https://www.google.iq/maps/search/+35.5577,45.4528/@35.5577,45.4528,14z?hl=en","Maplink2")</f>
        <v>Maplink2</v>
      </c>
      <c r="AW3458" s="14" t="str">
        <f>HYPERLINK("http://www.bing.com/maps/?lvl=14&amp;sty=h&amp;cp=35.5577~45.4528&amp;sp=point.35.5577_45.4528_Guezhay Kun","Maplink3")</f>
        <v>Maplink3</v>
      </c>
    </row>
    <row r="3459" spans="1:49" ht="15" customHeight="1" x14ac:dyDescent="0.25">
      <c r="A3459" s="21">
        <v>25384</v>
      </c>
      <c r="B3459" s="22" t="s">
        <v>24</v>
      </c>
      <c r="C3459" s="22" t="s">
        <v>6568</v>
      </c>
      <c r="D3459" s="22" t="s">
        <v>6656</v>
      </c>
      <c r="E3459" s="22" t="s">
        <v>6657</v>
      </c>
      <c r="F3459" s="22">
        <v>35.52749</v>
      </c>
      <c r="G3459" s="22">
        <v>45.435110000000002</v>
      </c>
      <c r="H3459" s="21" t="s">
        <v>6283</v>
      </c>
      <c r="I3459" s="21" t="s">
        <v>6571</v>
      </c>
      <c r="J3459" s="21"/>
      <c r="K3459" s="24">
        <v>169</v>
      </c>
      <c r="L3459" s="24">
        <v>1014</v>
      </c>
      <c r="M3459" s="23">
        <v>129</v>
      </c>
      <c r="N3459" s="23"/>
      <c r="O3459" s="23">
        <v>18</v>
      </c>
      <c r="P3459" s="23"/>
      <c r="Q3459" s="23"/>
      <c r="R3459" s="23">
        <v>2</v>
      </c>
      <c r="S3459" s="23"/>
      <c r="T3459" s="23"/>
      <c r="U3459" s="23"/>
      <c r="V3459" s="23"/>
      <c r="W3459" s="23"/>
      <c r="X3459" s="23"/>
      <c r="Y3459" s="23">
        <v>4</v>
      </c>
      <c r="Z3459" s="23"/>
      <c r="AA3459" s="23">
        <v>16</v>
      </c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>
        <v>169</v>
      </c>
      <c r="AL3459" s="23"/>
      <c r="AM3459" s="23"/>
      <c r="AN3459" s="23"/>
      <c r="AO3459" s="23">
        <v>8</v>
      </c>
      <c r="AP3459" s="23">
        <v>24</v>
      </c>
      <c r="AQ3459" s="23">
        <v>12</v>
      </c>
      <c r="AR3459" s="23">
        <v>32</v>
      </c>
      <c r="AS3459" s="23">
        <v>73</v>
      </c>
      <c r="AT3459" s="23">
        <v>20</v>
      </c>
      <c r="AU3459" s="14" t="str">
        <f>HYPERLINK("http://www.openstreetmap.org/?mlat=35.5275&amp;mlon=45.4351&amp;zoom=12#map=12/35.5275/45.4351","Maplink1")</f>
        <v>Maplink1</v>
      </c>
      <c r="AV3459" s="14" t="str">
        <f>HYPERLINK("https://www.google.iq/maps/search/+35.5275,45.4351/@35.5275,45.4351,14z?hl=en","Maplink2")</f>
        <v>Maplink2</v>
      </c>
      <c r="AW3459" s="14" t="str">
        <f>HYPERLINK("http://www.bing.com/maps/?lvl=14&amp;sty=h&amp;cp=35.5275~45.4351&amp;sp=point.35.5275_45.4351_Gulli Shar","Maplink3")</f>
        <v>Maplink3</v>
      </c>
    </row>
    <row r="3460" spans="1:49" ht="15" customHeight="1" x14ac:dyDescent="0.25">
      <c r="A3460" s="21">
        <v>21061</v>
      </c>
      <c r="B3460" s="22" t="s">
        <v>24</v>
      </c>
      <c r="C3460" s="22" t="s">
        <v>6568</v>
      </c>
      <c r="D3460" s="22" t="s">
        <v>6658</v>
      </c>
      <c r="E3460" s="22" t="s">
        <v>6659</v>
      </c>
      <c r="F3460" s="22">
        <v>35.581049999999998</v>
      </c>
      <c r="G3460" s="22">
        <v>45.453890000000001</v>
      </c>
      <c r="H3460" s="21" t="s">
        <v>6283</v>
      </c>
      <c r="I3460" s="21" t="s">
        <v>6571</v>
      </c>
      <c r="J3460" s="21" t="s">
        <v>6660</v>
      </c>
      <c r="K3460" s="24">
        <v>57</v>
      </c>
      <c r="L3460" s="24">
        <v>342</v>
      </c>
      <c r="M3460" s="23">
        <v>33</v>
      </c>
      <c r="N3460" s="23"/>
      <c r="O3460" s="23">
        <v>4</v>
      </c>
      <c r="P3460" s="23"/>
      <c r="Q3460" s="23"/>
      <c r="R3460" s="23"/>
      <c r="S3460" s="23"/>
      <c r="T3460" s="23"/>
      <c r="U3460" s="23"/>
      <c r="V3460" s="23"/>
      <c r="W3460" s="23"/>
      <c r="X3460" s="23"/>
      <c r="Y3460" s="23">
        <v>7</v>
      </c>
      <c r="Z3460" s="23"/>
      <c r="AA3460" s="23">
        <v>13</v>
      </c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>
        <v>57</v>
      </c>
      <c r="AL3460" s="23"/>
      <c r="AM3460" s="23"/>
      <c r="AN3460" s="23"/>
      <c r="AO3460" s="23">
        <v>19</v>
      </c>
      <c r="AP3460" s="23">
        <v>13</v>
      </c>
      <c r="AQ3460" s="23">
        <v>7</v>
      </c>
      <c r="AR3460" s="23">
        <v>2</v>
      </c>
      <c r="AS3460" s="23">
        <v>14</v>
      </c>
      <c r="AT3460" s="23">
        <v>2</v>
      </c>
      <c r="AU3460" s="14" t="str">
        <f>HYPERLINK("http://www.openstreetmap.org/?mlat=35.581&amp;mlon=45.4539&amp;zoom=12#map=12/35.581/45.4539","Maplink1")</f>
        <v>Maplink1</v>
      </c>
      <c r="AV3460" s="14" t="str">
        <f>HYPERLINK("https://www.google.iq/maps/search/+35.581,45.4539/@35.581,45.4539,14z?hl=en","Maplink2")</f>
        <v>Maplink2</v>
      </c>
      <c r="AW3460" s="14" t="str">
        <f>HYPERLINK("http://www.bing.com/maps/?lvl=14&amp;sty=h&amp;cp=35.581~45.4539&amp;sp=point.35.581_45.4539_Gundy Almany","Maplink3")</f>
        <v>Maplink3</v>
      </c>
    </row>
    <row r="3461" spans="1:49" ht="15" customHeight="1" x14ac:dyDescent="0.25">
      <c r="A3461" s="21">
        <v>23718</v>
      </c>
      <c r="B3461" s="22" t="s">
        <v>24</v>
      </c>
      <c r="C3461" s="22" t="s">
        <v>6568</v>
      </c>
      <c r="D3461" s="22" t="s">
        <v>6662</v>
      </c>
      <c r="E3461" s="22" t="s">
        <v>6663</v>
      </c>
      <c r="F3461" s="22">
        <v>35.600729999999999</v>
      </c>
      <c r="G3461" s="22">
        <v>45.402349999999998</v>
      </c>
      <c r="H3461" s="21" t="s">
        <v>6283</v>
      </c>
      <c r="I3461" s="21" t="s">
        <v>6571</v>
      </c>
      <c r="J3461" s="21" t="s">
        <v>6664</v>
      </c>
      <c r="K3461" s="24">
        <v>222</v>
      </c>
      <c r="L3461" s="24">
        <v>1332</v>
      </c>
      <c r="M3461" s="23">
        <v>195</v>
      </c>
      <c r="N3461" s="23"/>
      <c r="O3461" s="23">
        <v>14</v>
      </c>
      <c r="P3461" s="23"/>
      <c r="Q3461" s="23"/>
      <c r="R3461" s="23">
        <v>4</v>
      </c>
      <c r="S3461" s="23"/>
      <c r="T3461" s="23"/>
      <c r="U3461" s="23"/>
      <c r="V3461" s="23"/>
      <c r="W3461" s="23"/>
      <c r="X3461" s="23"/>
      <c r="Y3461" s="23">
        <v>3</v>
      </c>
      <c r="Z3461" s="23"/>
      <c r="AA3461" s="23">
        <v>6</v>
      </c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>
        <v>222</v>
      </c>
      <c r="AL3461" s="23"/>
      <c r="AM3461" s="23"/>
      <c r="AN3461" s="23"/>
      <c r="AO3461" s="23">
        <v>48</v>
      </c>
      <c r="AP3461" s="23">
        <v>45</v>
      </c>
      <c r="AQ3461" s="23">
        <v>30</v>
      </c>
      <c r="AR3461" s="23">
        <v>38</v>
      </c>
      <c r="AS3461" s="23">
        <v>35</v>
      </c>
      <c r="AT3461" s="23">
        <v>26</v>
      </c>
      <c r="AU3461" s="14" t="str">
        <f>HYPERLINK("http://www.openstreetmap.org/?mlat=35.6007&amp;mlon=45.4023&amp;zoom=12#map=12/35.6007/45.4023","Maplink1")</f>
        <v>Maplink1</v>
      </c>
      <c r="AV3461" s="14" t="str">
        <f>HYPERLINK("https://www.google.iq/maps/search/+35.6007,45.4023/@35.6007,45.4023,14z?hl=en","Maplink2")</f>
        <v>Maplink2</v>
      </c>
      <c r="AW3461" s="14" t="str">
        <f>HYPERLINK("http://www.bing.com/maps/?lvl=14&amp;sty=h&amp;cp=35.6007~45.4023&amp;sp=point.35.6007_45.4023_Haware Shar","Maplink3")</f>
        <v>Maplink3</v>
      </c>
    </row>
    <row r="3462" spans="1:49" ht="15" customHeight="1" x14ac:dyDescent="0.25">
      <c r="A3462" s="21">
        <v>23870</v>
      </c>
      <c r="B3462" s="22" t="s">
        <v>24</v>
      </c>
      <c r="C3462" s="22" t="s">
        <v>6568</v>
      </c>
      <c r="D3462" s="22" t="s">
        <v>6665</v>
      </c>
      <c r="E3462" s="22" t="s">
        <v>6666</v>
      </c>
      <c r="F3462" s="22">
        <v>35.577759999999998</v>
      </c>
      <c r="G3462" s="22">
        <v>45.44744</v>
      </c>
      <c r="H3462" s="21" t="s">
        <v>6283</v>
      </c>
      <c r="I3462" s="21" t="s">
        <v>6571</v>
      </c>
      <c r="J3462" s="21" t="s">
        <v>6667</v>
      </c>
      <c r="K3462" s="24">
        <v>24</v>
      </c>
      <c r="L3462" s="24">
        <v>144</v>
      </c>
      <c r="M3462" s="23">
        <v>17</v>
      </c>
      <c r="N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23"/>
      <c r="Y3462" s="23">
        <v>4</v>
      </c>
      <c r="Z3462" s="23"/>
      <c r="AA3462" s="23">
        <v>3</v>
      </c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>
        <v>24</v>
      </c>
      <c r="AL3462" s="23"/>
      <c r="AM3462" s="23"/>
      <c r="AN3462" s="23"/>
      <c r="AO3462" s="23"/>
      <c r="AP3462" s="23">
        <v>2</v>
      </c>
      <c r="AQ3462" s="23">
        <v>4</v>
      </c>
      <c r="AR3462" s="23">
        <v>10</v>
      </c>
      <c r="AS3462" s="23">
        <v>8</v>
      </c>
      <c r="AT3462" s="23"/>
      <c r="AU3462" s="14" t="str">
        <f>HYPERLINK("http://www.openstreetmap.org/?mlat=35.5778&amp;mlon=45.4474&amp;zoom=12#map=12/35.5778/45.4474","Maplink1")</f>
        <v>Maplink1</v>
      </c>
      <c r="AV3462" s="14" t="str">
        <f>HYPERLINK("https://www.google.iq/maps/search/+35.5778,45.4474/@35.5778,45.4474,14z?hl=en","Maplink2")</f>
        <v>Maplink2</v>
      </c>
      <c r="AW3462" s="14" t="str">
        <f>HYPERLINK("http://www.bing.com/maps/?lvl=14&amp;sty=h&amp;cp=35.5778~45.4474&amp;sp=point.35.5778_45.4474_Hawari Taza","Maplink3")</f>
        <v>Maplink3</v>
      </c>
    </row>
    <row r="3463" spans="1:49" ht="15" customHeight="1" x14ac:dyDescent="0.25">
      <c r="A3463" s="21">
        <v>4486</v>
      </c>
      <c r="B3463" s="22" t="s">
        <v>24</v>
      </c>
      <c r="C3463" s="22" t="s">
        <v>6568</v>
      </c>
      <c r="D3463" s="22" t="s">
        <v>6668</v>
      </c>
      <c r="E3463" s="22" t="s">
        <v>6669</v>
      </c>
      <c r="F3463" s="22">
        <v>35.498199999999997</v>
      </c>
      <c r="G3463" s="22">
        <v>45.44012</v>
      </c>
      <c r="H3463" s="21" t="s">
        <v>6283</v>
      </c>
      <c r="I3463" s="21" t="s">
        <v>6571</v>
      </c>
      <c r="J3463" s="21" t="s">
        <v>6670</v>
      </c>
      <c r="K3463" s="24">
        <v>72</v>
      </c>
      <c r="L3463" s="24">
        <v>432</v>
      </c>
      <c r="M3463" s="23">
        <v>21</v>
      </c>
      <c r="N3463" s="23"/>
      <c r="O3463" s="23">
        <v>9</v>
      </c>
      <c r="P3463" s="23"/>
      <c r="Q3463" s="23"/>
      <c r="R3463" s="23">
        <v>18</v>
      </c>
      <c r="S3463" s="23"/>
      <c r="T3463" s="23"/>
      <c r="U3463" s="23"/>
      <c r="V3463" s="23"/>
      <c r="W3463" s="23"/>
      <c r="X3463" s="23"/>
      <c r="Y3463" s="23">
        <v>14</v>
      </c>
      <c r="Z3463" s="23"/>
      <c r="AA3463" s="23">
        <v>10</v>
      </c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>
        <v>72</v>
      </c>
      <c r="AL3463" s="23"/>
      <c r="AM3463" s="23"/>
      <c r="AN3463" s="23"/>
      <c r="AO3463" s="23"/>
      <c r="AP3463" s="23">
        <v>39</v>
      </c>
      <c r="AQ3463" s="23">
        <v>4</v>
      </c>
      <c r="AR3463" s="23">
        <v>5</v>
      </c>
      <c r="AS3463" s="23">
        <v>8</v>
      </c>
      <c r="AT3463" s="23">
        <v>16</v>
      </c>
      <c r="AU3463" s="14" t="str">
        <f>HYPERLINK("http://www.openstreetmap.org/?mlat=35.49&amp;mlon=45.44&amp;zoom=12#map=12/35.49/45.44","Maplink1")</f>
        <v>Maplink1</v>
      </c>
      <c r="AV3463" s="14" t="str">
        <f>HYPERLINK("https://www.google.iq/maps/search/+35.49,45.44/@35.49,45.44,14z?hl=en","Maplink2")</f>
        <v>Maplink2</v>
      </c>
      <c r="AW3463" s="14" t="str">
        <f>HYPERLINK("http://www.bing.com/maps/?lvl=14&amp;sty=h&amp;cp=35.49~45.44&amp;sp=point.35.49_45.44_Hwana","Maplink3")</f>
        <v>Maplink3</v>
      </c>
    </row>
    <row r="3464" spans="1:49" ht="15" customHeight="1" x14ac:dyDescent="0.25">
      <c r="A3464" s="21">
        <v>21205</v>
      </c>
      <c r="B3464" s="22" t="s">
        <v>24</v>
      </c>
      <c r="C3464" s="22" t="s">
        <v>6568</v>
      </c>
      <c r="D3464" s="22" t="s">
        <v>6671</v>
      </c>
      <c r="E3464" s="22" t="s">
        <v>6672</v>
      </c>
      <c r="F3464" s="22">
        <v>35.54372</v>
      </c>
      <c r="G3464" s="22">
        <v>45.462829999999997</v>
      </c>
      <c r="H3464" s="21" t="s">
        <v>6283</v>
      </c>
      <c r="I3464" s="21" t="s">
        <v>6571</v>
      </c>
      <c r="J3464" s="21" t="s">
        <v>6673</v>
      </c>
      <c r="K3464" s="24">
        <v>185</v>
      </c>
      <c r="L3464" s="24">
        <v>1110</v>
      </c>
      <c r="M3464" s="23">
        <v>140</v>
      </c>
      <c r="N3464" s="23"/>
      <c r="O3464" s="23">
        <v>16</v>
      </c>
      <c r="P3464" s="23"/>
      <c r="Q3464" s="23"/>
      <c r="R3464" s="23">
        <v>6</v>
      </c>
      <c r="S3464" s="23"/>
      <c r="T3464" s="23"/>
      <c r="U3464" s="23"/>
      <c r="V3464" s="23"/>
      <c r="W3464" s="23"/>
      <c r="X3464" s="23"/>
      <c r="Y3464" s="23">
        <v>4</v>
      </c>
      <c r="Z3464" s="23"/>
      <c r="AA3464" s="23">
        <v>19</v>
      </c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>
        <v>185</v>
      </c>
      <c r="AL3464" s="23"/>
      <c r="AM3464" s="23"/>
      <c r="AN3464" s="23"/>
      <c r="AO3464" s="23">
        <v>10</v>
      </c>
      <c r="AP3464" s="23">
        <v>18</v>
      </c>
      <c r="AQ3464" s="23">
        <v>12</v>
      </c>
      <c r="AR3464" s="23">
        <v>70</v>
      </c>
      <c r="AS3464" s="23">
        <v>69</v>
      </c>
      <c r="AT3464" s="23">
        <v>6</v>
      </c>
      <c r="AU3464" s="14" t="str">
        <f>HYPERLINK("http://www.openstreetmap.org/?mlat=35.5437&amp;mlon=45.4628&amp;zoom=12#map=12/35.5437/45.4628","Maplink1")</f>
        <v>Maplink1</v>
      </c>
      <c r="AV3464" s="14" t="str">
        <f>HYPERLINK("https://www.google.iq/maps/search/+35.5437,45.4628/@35.5437,45.4628,14z?hl=en","Maplink2")</f>
        <v>Maplink2</v>
      </c>
      <c r="AW3464" s="14" t="str">
        <f>HYPERLINK("http://www.bing.com/maps/?lvl=14&amp;sty=h&amp;cp=35.5437~45.4628&amp;sp=point.35.5437_45.4628_Ibrahim Ahmad","Maplink3")</f>
        <v>Maplink3</v>
      </c>
    </row>
    <row r="3465" spans="1:49" ht="15" customHeight="1" x14ac:dyDescent="0.25">
      <c r="A3465" s="21">
        <v>25302</v>
      </c>
      <c r="B3465" s="22" t="s">
        <v>24</v>
      </c>
      <c r="C3465" s="22" t="s">
        <v>6568</v>
      </c>
      <c r="D3465" s="22" t="s">
        <v>6674</v>
      </c>
      <c r="E3465" s="22" t="s">
        <v>9179</v>
      </c>
      <c r="F3465" s="22">
        <v>35.557659999999998</v>
      </c>
      <c r="G3465" s="22">
        <v>45.451520000000002</v>
      </c>
      <c r="H3465" s="21" t="s">
        <v>6283</v>
      </c>
      <c r="I3465" s="21" t="s">
        <v>6571</v>
      </c>
      <c r="J3465" s="21"/>
      <c r="K3465" s="24">
        <v>89</v>
      </c>
      <c r="L3465" s="24">
        <v>534</v>
      </c>
      <c r="M3465" s="23">
        <v>79</v>
      </c>
      <c r="N3465" s="23"/>
      <c r="O3465" s="23">
        <v>2</v>
      </c>
      <c r="P3465" s="23"/>
      <c r="Q3465" s="23"/>
      <c r="R3465" s="23">
        <v>2</v>
      </c>
      <c r="S3465" s="23"/>
      <c r="T3465" s="23"/>
      <c r="U3465" s="23"/>
      <c r="V3465" s="23"/>
      <c r="W3465" s="23"/>
      <c r="X3465" s="23"/>
      <c r="Y3465" s="23"/>
      <c r="Z3465" s="23"/>
      <c r="AA3465" s="23">
        <v>6</v>
      </c>
      <c r="AB3465" s="23"/>
      <c r="AC3465" s="23"/>
      <c r="AD3465" s="23"/>
      <c r="AE3465" s="23"/>
      <c r="AF3465" s="23"/>
      <c r="AG3465" s="23">
        <v>8</v>
      </c>
      <c r="AH3465" s="23"/>
      <c r="AI3465" s="23"/>
      <c r="AJ3465" s="23"/>
      <c r="AK3465" s="23">
        <v>81</v>
      </c>
      <c r="AL3465" s="23"/>
      <c r="AM3465" s="23"/>
      <c r="AN3465" s="23"/>
      <c r="AO3465" s="23">
        <v>19</v>
      </c>
      <c r="AP3465" s="23">
        <v>3</v>
      </c>
      <c r="AQ3465" s="23">
        <v>17</v>
      </c>
      <c r="AR3465" s="23">
        <v>20</v>
      </c>
      <c r="AS3465" s="23">
        <v>17</v>
      </c>
      <c r="AT3465" s="23">
        <v>13</v>
      </c>
      <c r="AU3465" s="14" t="str">
        <f>HYPERLINK("http://www.openstreetmap.org/?mlat=35.5577&amp;mlon=45.4515&amp;zoom=12#map=12/35.5577/45.4515","Maplink1")</f>
        <v>Maplink1</v>
      </c>
      <c r="AV3465" s="14" t="str">
        <f>HYPERLINK("https://www.google.iq/maps/search/+35.5577,45.4515/@35.5577,45.4515,14z?hl=en","Maplink2")</f>
        <v>Maplink2</v>
      </c>
      <c r="AW3465" s="14" t="str">
        <f>HYPERLINK("http://www.bing.com/maps/?lvl=14&amp;sty=h&amp;cp=35.5577~45.4515&amp;sp=point.35.5577_45.4515_Ibrahim pasha","Maplink3")</f>
        <v>Maplink3</v>
      </c>
    </row>
    <row r="3466" spans="1:49" ht="15" customHeight="1" x14ac:dyDescent="0.25">
      <c r="A3466" s="21">
        <v>25304</v>
      </c>
      <c r="B3466" s="22" t="s">
        <v>24</v>
      </c>
      <c r="C3466" s="22" t="s">
        <v>6568</v>
      </c>
      <c r="D3466" s="22" t="s">
        <v>6675</v>
      </c>
      <c r="E3466" s="22" t="s">
        <v>6676</v>
      </c>
      <c r="F3466" s="22">
        <v>35.56758</v>
      </c>
      <c r="G3466" s="22">
        <v>45.447710000000001</v>
      </c>
      <c r="H3466" s="21" t="s">
        <v>6283</v>
      </c>
      <c r="I3466" s="21" t="s">
        <v>6571</v>
      </c>
      <c r="J3466" s="21"/>
      <c r="K3466" s="24">
        <v>29</v>
      </c>
      <c r="L3466" s="24">
        <v>174</v>
      </c>
      <c r="M3466" s="23">
        <v>26</v>
      </c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/>
      <c r="Y3466" s="23"/>
      <c r="Z3466" s="23"/>
      <c r="AA3466" s="23">
        <v>3</v>
      </c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>
        <v>29</v>
      </c>
      <c r="AL3466" s="23"/>
      <c r="AM3466" s="23"/>
      <c r="AN3466" s="23"/>
      <c r="AO3466" s="23">
        <v>8</v>
      </c>
      <c r="AP3466" s="23">
        <v>4</v>
      </c>
      <c r="AQ3466" s="23"/>
      <c r="AR3466" s="23">
        <v>9</v>
      </c>
      <c r="AS3466" s="23">
        <v>8</v>
      </c>
      <c r="AT3466" s="23"/>
      <c r="AU3466" s="14" t="str">
        <f>HYPERLINK("http://www.openstreetmap.org/?mlat=35.5676&amp;mlon=45.4477&amp;zoom=12#map=12/35.5676/45.4477","Maplink1")</f>
        <v>Maplink1</v>
      </c>
      <c r="AV3466" s="14" t="str">
        <f>HYPERLINK("https://www.google.iq/maps/search/+35.5676,45.4477/@35.5676,45.4477,14z?hl=en","Maplink2")</f>
        <v>Maplink2</v>
      </c>
      <c r="AW3466" s="14" t="str">
        <f>HYPERLINK("http://www.bing.com/maps/?lvl=14&amp;sty=h&amp;cp=35.5676~45.4477&amp;sp=point.35.5676_45.4477_Iskan","Maplink3")</f>
        <v>Maplink3</v>
      </c>
    </row>
    <row r="3467" spans="1:49" ht="15" customHeight="1" x14ac:dyDescent="0.25">
      <c r="A3467" s="21">
        <v>5766</v>
      </c>
      <c r="B3467" s="22" t="s">
        <v>24</v>
      </c>
      <c r="C3467" s="22" t="s">
        <v>6568</v>
      </c>
      <c r="D3467" s="22" t="s">
        <v>6677</v>
      </c>
      <c r="E3467" s="22" t="s">
        <v>6678</v>
      </c>
      <c r="F3467" s="22">
        <v>35.588819999999998</v>
      </c>
      <c r="G3467" s="22">
        <v>45.42756</v>
      </c>
      <c r="H3467" s="21" t="s">
        <v>6283</v>
      </c>
      <c r="I3467" s="21" t="s">
        <v>6571</v>
      </c>
      <c r="J3467" s="21" t="s">
        <v>6679</v>
      </c>
      <c r="K3467" s="24">
        <v>40</v>
      </c>
      <c r="L3467" s="24">
        <v>240</v>
      </c>
      <c r="M3467" s="23">
        <v>27</v>
      </c>
      <c r="N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>
        <v>10</v>
      </c>
      <c r="Z3467" s="23"/>
      <c r="AA3467" s="23">
        <v>3</v>
      </c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>
        <v>40</v>
      </c>
      <c r="AL3467" s="23"/>
      <c r="AM3467" s="23"/>
      <c r="AN3467" s="23"/>
      <c r="AO3467" s="23">
        <v>12</v>
      </c>
      <c r="AP3467" s="23">
        <v>3</v>
      </c>
      <c r="AQ3467" s="23">
        <v>10</v>
      </c>
      <c r="AR3467" s="23">
        <v>9</v>
      </c>
      <c r="AS3467" s="23">
        <v>6</v>
      </c>
      <c r="AT3467" s="23"/>
      <c r="AU3467" s="14" t="str">
        <f>HYPERLINK("http://www.openstreetmap.org/?mlat=35.49&amp;mlon=45.19&amp;zoom=12#map=12/35.49/45.19","Maplink1")</f>
        <v>Maplink1</v>
      </c>
      <c r="AV3467" s="14" t="str">
        <f>HYPERLINK("https://www.google.iq/maps/search/+35.49,45.19/@35.49,45.19,14z?hl=en","Maplink2")</f>
        <v>Maplink2</v>
      </c>
      <c r="AW3467" s="14" t="str">
        <f>HYPERLINK("http://www.bing.com/maps/?lvl=14&amp;sty=h&amp;cp=35.49~45.19&amp;sp=point.35.49_45.19_Kalakn","Maplink3")</f>
        <v>Maplink3</v>
      </c>
    </row>
    <row r="3468" spans="1:49" ht="15" customHeight="1" x14ac:dyDescent="0.25">
      <c r="A3468" s="21">
        <v>24254</v>
      </c>
      <c r="B3468" s="22" t="s">
        <v>24</v>
      </c>
      <c r="C3468" s="22" t="s">
        <v>6568</v>
      </c>
      <c r="D3468" s="22" t="s">
        <v>6680</v>
      </c>
      <c r="E3468" s="22" t="s">
        <v>6681</v>
      </c>
      <c r="F3468" s="22">
        <v>35.58952</v>
      </c>
      <c r="G3468" s="22">
        <v>45.264539999999997</v>
      </c>
      <c r="H3468" s="21" t="s">
        <v>6283</v>
      </c>
      <c r="I3468" s="21" t="s">
        <v>6571</v>
      </c>
      <c r="J3468" s="21" t="s">
        <v>6682</v>
      </c>
      <c r="K3468" s="24">
        <v>90</v>
      </c>
      <c r="L3468" s="24">
        <v>540</v>
      </c>
      <c r="M3468" s="23">
        <v>25</v>
      </c>
      <c r="N3468" s="23">
        <v>2</v>
      </c>
      <c r="O3468" s="23">
        <v>2</v>
      </c>
      <c r="P3468" s="23"/>
      <c r="Q3468" s="23"/>
      <c r="R3468" s="23">
        <v>3</v>
      </c>
      <c r="S3468" s="23"/>
      <c r="T3468" s="23"/>
      <c r="U3468" s="23"/>
      <c r="V3468" s="23"/>
      <c r="W3468" s="23"/>
      <c r="X3468" s="23"/>
      <c r="Y3468" s="23">
        <v>56</v>
      </c>
      <c r="Z3468" s="23"/>
      <c r="AA3468" s="23">
        <v>2</v>
      </c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>
        <v>82</v>
      </c>
      <c r="AL3468" s="23"/>
      <c r="AM3468" s="23">
        <v>8</v>
      </c>
      <c r="AN3468" s="23"/>
      <c r="AO3468" s="23">
        <v>11</v>
      </c>
      <c r="AP3468" s="23">
        <v>6</v>
      </c>
      <c r="AQ3468" s="23">
        <v>59</v>
      </c>
      <c r="AR3468" s="23">
        <v>5</v>
      </c>
      <c r="AS3468" s="23">
        <v>9</v>
      </c>
      <c r="AT3468" s="23"/>
      <c r="AU3468" s="14" t="str">
        <f>HYPERLINK("http://www.openstreetmap.org/?mlat=35.5895&amp;mlon=45.2645&amp;zoom=12#map=12/35.5895/45.2645","Maplink1")</f>
        <v>Maplink1</v>
      </c>
      <c r="AV3468" s="14" t="str">
        <f>HYPERLINK("https://www.google.iq/maps/search/+35.5895,45.2645/@35.5895,45.2645,14z?hl=en","Maplink2")</f>
        <v>Maplink2</v>
      </c>
      <c r="AW3468" s="14" t="str">
        <f>HYPERLINK("http://www.bing.com/maps/?lvl=14&amp;sty=h&amp;cp=35.5895~45.2645&amp;sp=point.35.5895_45.2645_Kanakawa","Maplink3")</f>
        <v>Maplink3</v>
      </c>
    </row>
    <row r="3469" spans="1:49" ht="15" customHeight="1" x14ac:dyDescent="0.25">
      <c r="A3469" s="21">
        <v>5771</v>
      </c>
      <c r="B3469" s="22" t="s">
        <v>24</v>
      </c>
      <c r="C3469" s="22" t="s">
        <v>6568</v>
      </c>
      <c r="D3469" s="22" t="s">
        <v>6683</v>
      </c>
      <c r="E3469" s="22" t="s">
        <v>6684</v>
      </c>
      <c r="F3469" s="22">
        <v>35.536459999999998</v>
      </c>
      <c r="G3469" s="22">
        <v>45.39002</v>
      </c>
      <c r="H3469" s="21" t="s">
        <v>6283</v>
      </c>
      <c r="I3469" s="21" t="s">
        <v>6571</v>
      </c>
      <c r="J3469" s="21" t="s">
        <v>6685</v>
      </c>
      <c r="K3469" s="24">
        <v>52</v>
      </c>
      <c r="L3469" s="24">
        <v>312</v>
      </c>
      <c r="M3469" s="23">
        <v>26</v>
      </c>
      <c r="N3469" s="23"/>
      <c r="O3469" s="23">
        <v>17</v>
      </c>
      <c r="P3469" s="23"/>
      <c r="Q3469" s="23"/>
      <c r="R3469" s="23">
        <v>2</v>
      </c>
      <c r="S3469" s="23"/>
      <c r="T3469" s="23"/>
      <c r="U3469" s="23"/>
      <c r="V3469" s="23"/>
      <c r="W3469" s="23"/>
      <c r="X3469" s="23"/>
      <c r="Y3469" s="23"/>
      <c r="Z3469" s="23"/>
      <c r="AA3469" s="23">
        <v>7</v>
      </c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>
        <v>52</v>
      </c>
      <c r="AL3469" s="23"/>
      <c r="AM3469" s="23"/>
      <c r="AN3469" s="23"/>
      <c r="AO3469" s="23">
        <v>6</v>
      </c>
      <c r="AP3469" s="23">
        <v>16</v>
      </c>
      <c r="AQ3469" s="23">
        <v>3</v>
      </c>
      <c r="AR3469" s="23">
        <v>13</v>
      </c>
      <c r="AS3469" s="23">
        <v>9</v>
      </c>
      <c r="AT3469" s="23">
        <v>5</v>
      </c>
      <c r="AU3469" s="14" t="str">
        <f>HYPERLINK("http://www.openstreetmap.org/?mlat=35.52&amp;mlon=45.39&amp;zoom=12#map=12/35.52/45.39","Maplink1")</f>
        <v>Maplink1</v>
      </c>
      <c r="AV3469" s="14" t="str">
        <f>HYPERLINK("https://www.google.iq/maps/search/+35.52,45.39/@35.52,45.39,14z?hl=en","Maplink2")</f>
        <v>Maplink2</v>
      </c>
      <c r="AW3469" s="14" t="str">
        <f>HYPERLINK("http://www.bing.com/maps/?lvl=14&amp;sty=h&amp;cp=35.52~45.39&amp;sp=point.35.52_45.39_Kanda Sura","Maplink3")</f>
        <v>Maplink3</v>
      </c>
    </row>
    <row r="3470" spans="1:49" ht="15" customHeight="1" x14ac:dyDescent="0.25">
      <c r="A3470" s="21">
        <v>5882</v>
      </c>
      <c r="B3470" s="22" t="s">
        <v>24</v>
      </c>
      <c r="C3470" s="22" t="s">
        <v>6568</v>
      </c>
      <c r="D3470" s="22" t="s">
        <v>6686</v>
      </c>
      <c r="E3470" s="22" t="s">
        <v>6687</v>
      </c>
      <c r="F3470" s="22">
        <v>35.524450000000002</v>
      </c>
      <c r="G3470" s="22">
        <v>45.383069999999996</v>
      </c>
      <c r="H3470" s="21" t="s">
        <v>6283</v>
      </c>
      <c r="I3470" s="21" t="s">
        <v>6571</v>
      </c>
      <c r="J3470" s="21" t="s">
        <v>6688</v>
      </c>
      <c r="K3470" s="24">
        <v>107</v>
      </c>
      <c r="L3470" s="24">
        <v>642</v>
      </c>
      <c r="M3470" s="23">
        <v>73</v>
      </c>
      <c r="N3470" s="23"/>
      <c r="O3470" s="23">
        <v>13</v>
      </c>
      <c r="P3470" s="23"/>
      <c r="Q3470" s="23"/>
      <c r="R3470" s="23">
        <v>18</v>
      </c>
      <c r="S3470" s="23"/>
      <c r="T3470" s="23"/>
      <c r="U3470" s="23"/>
      <c r="V3470" s="23"/>
      <c r="W3470" s="23"/>
      <c r="X3470" s="23"/>
      <c r="Y3470" s="23"/>
      <c r="Z3470" s="23"/>
      <c r="AA3470" s="23">
        <v>3</v>
      </c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>
        <v>107</v>
      </c>
      <c r="AL3470" s="23"/>
      <c r="AM3470" s="23"/>
      <c r="AN3470" s="23"/>
      <c r="AO3470" s="23">
        <v>52</v>
      </c>
      <c r="AP3470" s="23">
        <v>17</v>
      </c>
      <c r="AQ3470" s="23"/>
      <c r="AR3470" s="23">
        <v>16</v>
      </c>
      <c r="AS3470" s="23">
        <v>19</v>
      </c>
      <c r="AT3470" s="23">
        <v>3</v>
      </c>
      <c r="AU3470" s="14" t="str">
        <f>HYPERLINK("http://www.openstreetmap.org/?mlat=35.51&amp;mlon=45.39&amp;zoom=12#map=12/35.51/45.39","Maplink1")</f>
        <v>Maplink1</v>
      </c>
      <c r="AV3470" s="14" t="str">
        <f>HYPERLINK("https://www.google.iq/maps/search/+35.51,45.39/@35.51,45.39,14z?hl=en","Maplink2")</f>
        <v>Maplink2</v>
      </c>
      <c r="AW3470" s="14" t="str">
        <f>HYPERLINK("http://www.bing.com/maps/?lvl=14&amp;sty=h&amp;cp=35.51~45.39&amp;sp=point.35.51_45.39_Kani Goma","Maplink3")</f>
        <v>Maplink3</v>
      </c>
    </row>
    <row r="3471" spans="1:49" ht="15" customHeight="1" x14ac:dyDescent="0.25">
      <c r="A3471" s="21">
        <v>25303</v>
      </c>
      <c r="B3471" s="22" t="s">
        <v>24</v>
      </c>
      <c r="C3471" s="22" t="s">
        <v>6568</v>
      </c>
      <c r="D3471" s="22" t="s">
        <v>6689</v>
      </c>
      <c r="E3471" s="22" t="s">
        <v>6690</v>
      </c>
      <c r="F3471" s="22">
        <v>35.560049999999997</v>
      </c>
      <c r="G3471" s="22">
        <v>45.437950000000001</v>
      </c>
      <c r="H3471" s="21" t="s">
        <v>6283</v>
      </c>
      <c r="I3471" s="21" t="s">
        <v>6571</v>
      </c>
      <c r="J3471" s="21"/>
      <c r="K3471" s="24">
        <v>98</v>
      </c>
      <c r="L3471" s="24">
        <v>588</v>
      </c>
      <c r="M3471" s="23">
        <v>78</v>
      </c>
      <c r="N3471" s="23"/>
      <c r="O3471" s="23">
        <v>5</v>
      </c>
      <c r="P3471" s="23"/>
      <c r="Q3471" s="23"/>
      <c r="R3471" s="23">
        <v>2</v>
      </c>
      <c r="S3471" s="23"/>
      <c r="T3471" s="23"/>
      <c r="U3471" s="23"/>
      <c r="V3471" s="23"/>
      <c r="W3471" s="23"/>
      <c r="X3471" s="23"/>
      <c r="Y3471" s="23">
        <v>4</v>
      </c>
      <c r="Z3471" s="23"/>
      <c r="AA3471" s="23">
        <v>9</v>
      </c>
      <c r="AB3471" s="23"/>
      <c r="AC3471" s="23"/>
      <c r="AD3471" s="23"/>
      <c r="AE3471" s="23"/>
      <c r="AF3471" s="23"/>
      <c r="AG3471" s="23">
        <v>69</v>
      </c>
      <c r="AH3471" s="23"/>
      <c r="AI3471" s="23"/>
      <c r="AJ3471" s="23"/>
      <c r="AK3471" s="23">
        <v>29</v>
      </c>
      <c r="AL3471" s="23"/>
      <c r="AM3471" s="23"/>
      <c r="AN3471" s="23"/>
      <c r="AO3471" s="23"/>
      <c r="AP3471" s="23">
        <v>7</v>
      </c>
      <c r="AQ3471" s="23">
        <v>2</v>
      </c>
      <c r="AR3471" s="23">
        <v>25</v>
      </c>
      <c r="AS3471" s="23">
        <v>54</v>
      </c>
      <c r="AT3471" s="23">
        <v>10</v>
      </c>
      <c r="AU3471" s="14" t="str">
        <f>HYPERLINK("http://www.openstreetmap.org/?mlat=35.56&amp;mlon=45.438&amp;zoom=12#map=12/35.56/45.438","Maplink1")</f>
        <v>Maplink1</v>
      </c>
      <c r="AV3471" s="14" t="str">
        <f>HYPERLINK("https://www.google.iq/maps/search/+35.56,45.438/@35.56,45.438,14z?hl=en","Maplink2")</f>
        <v>Maplink2</v>
      </c>
      <c r="AW3471" s="14" t="str">
        <f>HYPERLINK("http://www.bing.com/maps/?lvl=14&amp;sty=h&amp;cp=35.56~45.438&amp;sp=point.35.56_45.438_Kani Iskan","Maplink3")</f>
        <v>Maplink3</v>
      </c>
    </row>
    <row r="3472" spans="1:49" ht="15" customHeight="1" x14ac:dyDescent="0.25">
      <c r="A3472" s="21">
        <v>5779</v>
      </c>
      <c r="B3472" s="22" t="s">
        <v>24</v>
      </c>
      <c r="C3472" s="22" t="s">
        <v>6568</v>
      </c>
      <c r="D3472" s="22" t="s">
        <v>6691</v>
      </c>
      <c r="E3472" s="22" t="s">
        <v>6692</v>
      </c>
      <c r="F3472" s="22">
        <v>35.592019999999998</v>
      </c>
      <c r="G3472" s="22">
        <v>45.402650000000001</v>
      </c>
      <c r="H3472" s="21" t="s">
        <v>6283</v>
      </c>
      <c r="I3472" s="21" t="s">
        <v>6571</v>
      </c>
      <c r="J3472" s="21" t="s">
        <v>6693</v>
      </c>
      <c r="K3472" s="24">
        <v>303</v>
      </c>
      <c r="L3472" s="24">
        <v>1818</v>
      </c>
      <c r="M3472" s="23">
        <v>221</v>
      </c>
      <c r="N3472" s="23">
        <v>5</v>
      </c>
      <c r="O3472" s="23">
        <v>23</v>
      </c>
      <c r="P3472" s="23"/>
      <c r="Q3472" s="23"/>
      <c r="R3472" s="23">
        <v>6</v>
      </c>
      <c r="S3472" s="23"/>
      <c r="T3472" s="23"/>
      <c r="U3472" s="23"/>
      <c r="V3472" s="23"/>
      <c r="W3472" s="23"/>
      <c r="X3472" s="23"/>
      <c r="Y3472" s="23">
        <v>39</v>
      </c>
      <c r="Z3472" s="23"/>
      <c r="AA3472" s="23">
        <v>9</v>
      </c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>
        <v>303</v>
      </c>
      <c r="AL3472" s="23"/>
      <c r="AM3472" s="23"/>
      <c r="AN3472" s="23"/>
      <c r="AO3472" s="23">
        <v>74</v>
      </c>
      <c r="AP3472" s="23">
        <v>30</v>
      </c>
      <c r="AQ3472" s="23">
        <v>19</v>
      </c>
      <c r="AR3472" s="23">
        <v>138</v>
      </c>
      <c r="AS3472" s="23">
        <v>23</v>
      </c>
      <c r="AT3472" s="23">
        <v>19</v>
      </c>
      <c r="AU3472" s="14" t="str">
        <f>HYPERLINK("http://www.openstreetmap.org/?mlat=35.58&amp;mlon=45.39&amp;zoom=12#map=12/35.58/45.39","Maplink1")</f>
        <v>Maplink1</v>
      </c>
      <c r="AV3472" s="14" t="str">
        <f>HYPERLINK("https://www.google.iq/maps/search/+35.58,45.39/@35.58,45.39,14z?hl=en","Maplink2")</f>
        <v>Maplink2</v>
      </c>
      <c r="AW3472" s="14" t="str">
        <f>HYPERLINK("http://www.bing.com/maps/?lvl=14&amp;sty=h&amp;cp=35.58~45.39&amp;sp=point.35.58_45.39_Kani Kurda","Maplink3")</f>
        <v>Maplink3</v>
      </c>
    </row>
    <row r="3473" spans="1:49" ht="15" customHeight="1" x14ac:dyDescent="0.25">
      <c r="A3473" s="21">
        <v>4599</v>
      </c>
      <c r="B3473" s="22" t="s">
        <v>24</v>
      </c>
      <c r="C3473" s="22" t="s">
        <v>6568</v>
      </c>
      <c r="D3473" s="22" t="s">
        <v>6694</v>
      </c>
      <c r="E3473" s="22" t="s">
        <v>6695</v>
      </c>
      <c r="F3473" s="22">
        <v>35.642319999999998</v>
      </c>
      <c r="G3473" s="22">
        <v>45.00179</v>
      </c>
      <c r="H3473" s="21" t="s">
        <v>6283</v>
      </c>
      <c r="I3473" s="21" t="s">
        <v>6571</v>
      </c>
      <c r="J3473" s="21" t="s">
        <v>6696</v>
      </c>
      <c r="K3473" s="24">
        <v>49</v>
      </c>
      <c r="L3473" s="24">
        <v>294</v>
      </c>
      <c r="M3473" s="23"/>
      <c r="N3473" s="23">
        <v>10</v>
      </c>
      <c r="O3473" s="23">
        <v>21</v>
      </c>
      <c r="P3473" s="23"/>
      <c r="Q3473" s="23"/>
      <c r="R3473" s="23">
        <v>5</v>
      </c>
      <c r="S3473" s="23"/>
      <c r="T3473" s="23"/>
      <c r="U3473" s="23"/>
      <c r="V3473" s="23"/>
      <c r="W3473" s="23"/>
      <c r="X3473" s="23"/>
      <c r="Y3473" s="23">
        <v>13</v>
      </c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>
        <v>49</v>
      </c>
      <c r="AL3473" s="23"/>
      <c r="AM3473" s="23"/>
      <c r="AN3473" s="23"/>
      <c r="AO3473" s="23">
        <v>10</v>
      </c>
      <c r="AP3473" s="23">
        <v>23</v>
      </c>
      <c r="AQ3473" s="23">
        <v>13</v>
      </c>
      <c r="AR3473" s="23">
        <v>3</v>
      </c>
      <c r="AS3473" s="23"/>
      <c r="AT3473" s="23"/>
      <c r="AU3473" s="14" t="str">
        <f>HYPERLINK("http://www.openstreetmap.org/?mlat=35.6423&amp;mlon=45.0018&amp;zoom=12#map=12/35.6423/45.0018","Maplink1")</f>
        <v>Maplink1</v>
      </c>
      <c r="AV3473" s="14" t="str">
        <f>HYPERLINK("https://www.google.iq/maps/search/+35.6423,45.0018/@35.6423,45.0018,14z?hl=en","Maplink2")</f>
        <v>Maplink2</v>
      </c>
      <c r="AW3473" s="14" t="str">
        <f>HYPERLINK("http://www.bing.com/maps/?lvl=14&amp;sty=h&amp;cp=35.6423~45.0018&amp;sp=point.35.6423_45.0018_Kani shaitan-Kani Shaitan","Maplink3")</f>
        <v>Maplink3</v>
      </c>
    </row>
    <row r="3474" spans="1:49" ht="15" customHeight="1" x14ac:dyDescent="0.25">
      <c r="A3474" s="21">
        <v>23925</v>
      </c>
      <c r="B3474" s="22" t="s">
        <v>24</v>
      </c>
      <c r="C3474" s="22" t="s">
        <v>6568</v>
      </c>
      <c r="D3474" s="22" t="s">
        <v>6697</v>
      </c>
      <c r="E3474" s="22" t="s">
        <v>6698</v>
      </c>
      <c r="F3474" s="22">
        <v>35.596989999999998</v>
      </c>
      <c r="G3474" s="22">
        <v>45.411639999999998</v>
      </c>
      <c r="H3474" s="21" t="s">
        <v>6283</v>
      </c>
      <c r="I3474" s="21" t="s">
        <v>6571</v>
      </c>
      <c r="J3474" s="21" t="s">
        <v>6699</v>
      </c>
      <c r="K3474" s="24">
        <v>315</v>
      </c>
      <c r="L3474" s="24">
        <v>1890</v>
      </c>
      <c r="M3474" s="23">
        <v>254</v>
      </c>
      <c r="N3474" s="23"/>
      <c r="O3474" s="23">
        <v>35</v>
      </c>
      <c r="P3474" s="23"/>
      <c r="Q3474" s="23"/>
      <c r="R3474" s="23">
        <v>6</v>
      </c>
      <c r="S3474" s="23"/>
      <c r="T3474" s="23"/>
      <c r="U3474" s="23"/>
      <c r="V3474" s="23"/>
      <c r="W3474" s="23"/>
      <c r="X3474" s="23"/>
      <c r="Y3474" s="23">
        <v>17</v>
      </c>
      <c r="Z3474" s="23"/>
      <c r="AA3474" s="23">
        <v>3</v>
      </c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>
        <v>315</v>
      </c>
      <c r="AL3474" s="23"/>
      <c r="AM3474" s="23"/>
      <c r="AN3474" s="23"/>
      <c r="AO3474" s="23">
        <v>40</v>
      </c>
      <c r="AP3474" s="23">
        <v>59</v>
      </c>
      <c r="AQ3474" s="23">
        <v>44</v>
      </c>
      <c r="AR3474" s="23">
        <v>81</v>
      </c>
      <c r="AS3474" s="23">
        <v>68</v>
      </c>
      <c r="AT3474" s="23">
        <v>23</v>
      </c>
      <c r="AU3474" s="14" t="str">
        <f>HYPERLINK("http://www.openstreetmap.org/?mlat=35.597&amp;mlon=45.4116&amp;zoom=12#map=12/35.597/45.4116","Maplink1")</f>
        <v>Maplink1</v>
      </c>
      <c r="AV3474" s="14" t="str">
        <f>HYPERLINK("https://www.google.iq/maps/search/+35.597,45.4116/@35.597,45.4116,14z?hl=en","Maplink2")</f>
        <v>Maplink2</v>
      </c>
      <c r="AW3474" s="14" t="str">
        <f>HYPERLINK("http://www.bing.com/maps/?lvl=14&amp;sty=h&amp;cp=35.597~45.4116&amp;sp=point.35.597_45.4116_Kani spika","Maplink3")</f>
        <v>Maplink3</v>
      </c>
    </row>
    <row r="3475" spans="1:49" ht="15" customHeight="1" x14ac:dyDescent="0.25">
      <c r="A3475" s="21">
        <v>21059</v>
      </c>
      <c r="B3475" s="22" t="s">
        <v>24</v>
      </c>
      <c r="C3475" s="22" t="s">
        <v>6568</v>
      </c>
      <c r="D3475" s="22" t="s">
        <v>6700</v>
      </c>
      <c r="E3475" s="22" t="s">
        <v>6701</v>
      </c>
      <c r="F3475" s="22">
        <v>35.57667</v>
      </c>
      <c r="G3475" s="22">
        <v>45.427779999999998</v>
      </c>
      <c r="H3475" s="21" t="s">
        <v>6283</v>
      </c>
      <c r="I3475" s="21" t="s">
        <v>6571</v>
      </c>
      <c r="J3475" s="21" t="s">
        <v>6702</v>
      </c>
      <c r="K3475" s="24">
        <v>137</v>
      </c>
      <c r="L3475" s="24">
        <v>822</v>
      </c>
      <c r="M3475" s="23">
        <v>102</v>
      </c>
      <c r="N3475" s="23"/>
      <c r="O3475" s="23">
        <v>12</v>
      </c>
      <c r="P3475" s="23"/>
      <c r="Q3475" s="23"/>
      <c r="R3475" s="23"/>
      <c r="S3475" s="23"/>
      <c r="T3475" s="23"/>
      <c r="U3475" s="23"/>
      <c r="V3475" s="23"/>
      <c r="W3475" s="23"/>
      <c r="X3475" s="23"/>
      <c r="Y3475" s="23"/>
      <c r="Z3475" s="23"/>
      <c r="AA3475" s="23">
        <v>23</v>
      </c>
      <c r="AB3475" s="23"/>
      <c r="AC3475" s="23"/>
      <c r="AD3475" s="23"/>
      <c r="AE3475" s="23"/>
      <c r="AF3475" s="23"/>
      <c r="AG3475" s="23">
        <v>1</v>
      </c>
      <c r="AH3475" s="23"/>
      <c r="AI3475" s="23"/>
      <c r="AJ3475" s="23"/>
      <c r="AK3475" s="23">
        <v>136</v>
      </c>
      <c r="AL3475" s="23"/>
      <c r="AM3475" s="23"/>
      <c r="AN3475" s="23"/>
      <c r="AO3475" s="23">
        <v>10</v>
      </c>
      <c r="AP3475" s="23">
        <v>21</v>
      </c>
      <c r="AQ3475" s="23">
        <v>4</v>
      </c>
      <c r="AR3475" s="23">
        <v>46</v>
      </c>
      <c r="AS3475" s="23">
        <v>38</v>
      </c>
      <c r="AT3475" s="23">
        <v>18</v>
      </c>
      <c r="AU3475" s="14" t="str">
        <f>HYPERLINK("http://www.openstreetmap.org/?mlat=35.5767&amp;mlon=45.4278&amp;zoom=12#map=12/35.5767/45.4278","Maplink1")</f>
        <v>Maplink1</v>
      </c>
      <c r="AV3475" s="14" t="str">
        <f>HYPERLINK("https://www.google.iq/maps/search/+35.5767,45.4278/@35.5767,45.4278,14z?hl=en","Maplink2")</f>
        <v>Maplink2</v>
      </c>
      <c r="AW3475" s="14" t="str">
        <f>HYPERLINK("http://www.bing.com/maps/?lvl=14&amp;sty=h&amp;cp=35.5767~45.4278&amp;sp=point.35.5767_45.4278_Karezawshk","Maplink3")</f>
        <v>Maplink3</v>
      </c>
    </row>
    <row r="3476" spans="1:49" ht="15" customHeight="1" x14ac:dyDescent="0.25">
      <c r="A3476" s="21">
        <v>4471</v>
      </c>
      <c r="B3476" s="22" t="s">
        <v>24</v>
      </c>
      <c r="C3476" s="22" t="s">
        <v>6568</v>
      </c>
      <c r="D3476" s="22" t="s">
        <v>6703</v>
      </c>
      <c r="E3476" s="22" t="s">
        <v>6704</v>
      </c>
      <c r="F3476" s="22">
        <v>35.573270000000001</v>
      </c>
      <c r="G3476" s="22">
        <v>45.272889999999997</v>
      </c>
      <c r="H3476" s="21" t="s">
        <v>6283</v>
      </c>
      <c r="I3476" s="21" t="s">
        <v>6571</v>
      </c>
      <c r="J3476" s="21" t="s">
        <v>6705</v>
      </c>
      <c r="K3476" s="24">
        <v>40</v>
      </c>
      <c r="L3476" s="24">
        <v>240</v>
      </c>
      <c r="M3476" s="23">
        <v>3</v>
      </c>
      <c r="N3476" s="23">
        <v>6</v>
      </c>
      <c r="O3476" s="23"/>
      <c r="P3476" s="23"/>
      <c r="Q3476" s="23"/>
      <c r="R3476" s="23">
        <v>5</v>
      </c>
      <c r="S3476" s="23"/>
      <c r="T3476" s="23"/>
      <c r="U3476" s="23"/>
      <c r="V3476" s="23"/>
      <c r="W3476" s="23"/>
      <c r="X3476" s="23"/>
      <c r="Y3476" s="23">
        <v>26</v>
      </c>
      <c r="Z3476" s="23"/>
      <c r="AA3476" s="23"/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>
        <v>40</v>
      </c>
      <c r="AL3476" s="23"/>
      <c r="AM3476" s="23"/>
      <c r="AN3476" s="23"/>
      <c r="AO3476" s="23"/>
      <c r="AP3476" s="23">
        <v>9</v>
      </c>
      <c r="AQ3476" s="23">
        <v>26</v>
      </c>
      <c r="AR3476" s="23">
        <v>3</v>
      </c>
      <c r="AS3476" s="23">
        <v>2</v>
      </c>
      <c r="AT3476" s="23"/>
      <c r="AU3476" s="14" t="str">
        <f>HYPERLINK("http://www.openstreetmap.org/?mlat=35.5733&amp;mlon=45.2729&amp;zoom=12#map=12/35.5733/45.2729","Maplink1")</f>
        <v>Maplink1</v>
      </c>
      <c r="AV3476" s="14" t="str">
        <f>HYPERLINK("https://www.google.iq/maps/search/+35.5733,45.2729/@35.5733,45.2729,14z?hl=en","Maplink2")</f>
        <v>Maplink2</v>
      </c>
      <c r="AW3476" s="14" t="str">
        <f>HYPERLINK("http://www.bing.com/maps/?lvl=14&amp;sty=h&amp;cp=35.5733~45.2729&amp;sp=point.35.5733_45.2729_Al Angaa","Maplink3")</f>
        <v>Maplink3</v>
      </c>
    </row>
    <row r="3477" spans="1:49" ht="15" customHeight="1" x14ac:dyDescent="0.25">
      <c r="A3477" s="21">
        <v>21243</v>
      </c>
      <c r="B3477" s="22" t="s">
        <v>24</v>
      </c>
      <c r="C3477" s="22" t="s">
        <v>6568</v>
      </c>
      <c r="D3477" s="22" t="s">
        <v>3594</v>
      </c>
      <c r="E3477" s="22" t="s">
        <v>3595</v>
      </c>
      <c r="F3477" s="22">
        <v>35.541089999999997</v>
      </c>
      <c r="G3477" s="22">
        <v>45.445599999999999</v>
      </c>
      <c r="H3477" s="21" t="s">
        <v>6283</v>
      </c>
      <c r="I3477" s="21" t="s">
        <v>6571</v>
      </c>
      <c r="J3477" s="21" t="s">
        <v>6706</v>
      </c>
      <c r="K3477" s="24">
        <v>195</v>
      </c>
      <c r="L3477" s="24">
        <v>1170</v>
      </c>
      <c r="M3477" s="23">
        <v>168</v>
      </c>
      <c r="N3477" s="23">
        <v>1</v>
      </c>
      <c r="O3477" s="23">
        <v>11</v>
      </c>
      <c r="P3477" s="23"/>
      <c r="Q3477" s="23"/>
      <c r="R3477" s="23">
        <v>1</v>
      </c>
      <c r="S3477" s="23"/>
      <c r="T3477" s="23"/>
      <c r="U3477" s="23"/>
      <c r="V3477" s="23"/>
      <c r="W3477" s="23"/>
      <c r="X3477" s="23"/>
      <c r="Y3477" s="23"/>
      <c r="Z3477" s="23"/>
      <c r="AA3477" s="23">
        <v>14</v>
      </c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195</v>
      </c>
      <c r="AL3477" s="23"/>
      <c r="AM3477" s="23"/>
      <c r="AN3477" s="23"/>
      <c r="AO3477" s="23">
        <v>24</v>
      </c>
      <c r="AP3477" s="23">
        <v>9</v>
      </c>
      <c r="AQ3477" s="23">
        <v>2</v>
      </c>
      <c r="AR3477" s="23">
        <v>86</v>
      </c>
      <c r="AS3477" s="23">
        <v>55</v>
      </c>
      <c r="AT3477" s="23">
        <v>19</v>
      </c>
      <c r="AU3477" s="14" t="str">
        <f>HYPERLINK("http://www.openstreetmap.org/?mlat=35.5411&amp;mlon=45.4456&amp;zoom=12#map=12/35.5411/45.4456","Maplink1")</f>
        <v>Maplink1</v>
      </c>
      <c r="AV3477" s="14" t="str">
        <f>HYPERLINK("https://www.google.iq/maps/search/+35.5411,45.4456/@35.5411,45.4456,14z?hl=en","Maplink2")</f>
        <v>Maplink2</v>
      </c>
      <c r="AW3477" s="14" t="str">
        <f>HYPERLINK("http://www.bing.com/maps/?lvl=14&amp;sty=h&amp;cp=35.5411~45.4456&amp;sp=point.35.5411_45.4456_Khabat","Maplink3")</f>
        <v>Maplink3</v>
      </c>
    </row>
    <row r="3478" spans="1:49" ht="15" customHeight="1" x14ac:dyDescent="0.25">
      <c r="A3478" s="21">
        <v>25570</v>
      </c>
      <c r="B3478" s="22" t="s">
        <v>24</v>
      </c>
      <c r="C3478" s="22" t="s">
        <v>6568</v>
      </c>
      <c r="D3478" s="22" t="s">
        <v>6707</v>
      </c>
      <c r="E3478" s="22" t="s">
        <v>6708</v>
      </c>
      <c r="F3478" s="22">
        <v>35.585050000000003</v>
      </c>
      <c r="G3478" s="22">
        <v>45.315869999999997</v>
      </c>
      <c r="H3478" s="21" t="s">
        <v>6283</v>
      </c>
      <c r="I3478" s="21" t="s">
        <v>6571</v>
      </c>
      <c r="J3478" s="21"/>
      <c r="K3478" s="24">
        <v>72</v>
      </c>
      <c r="L3478" s="24">
        <v>432</v>
      </c>
      <c r="M3478" s="23">
        <v>14</v>
      </c>
      <c r="N3478" s="23"/>
      <c r="O3478" s="23"/>
      <c r="P3478" s="23"/>
      <c r="Q3478" s="23"/>
      <c r="R3478" s="23">
        <v>6</v>
      </c>
      <c r="S3478" s="23"/>
      <c r="T3478" s="23"/>
      <c r="U3478" s="23"/>
      <c r="V3478" s="23"/>
      <c r="W3478" s="23"/>
      <c r="X3478" s="23"/>
      <c r="Y3478" s="23">
        <v>52</v>
      </c>
      <c r="Z3478" s="23"/>
      <c r="AA3478" s="23"/>
      <c r="AB3478" s="23"/>
      <c r="AC3478" s="23"/>
      <c r="AD3478" s="23"/>
      <c r="AE3478" s="23"/>
      <c r="AF3478" s="23"/>
      <c r="AG3478" s="23"/>
      <c r="AH3478" s="23">
        <v>38</v>
      </c>
      <c r="AI3478" s="23"/>
      <c r="AJ3478" s="23"/>
      <c r="AK3478" s="23">
        <v>29</v>
      </c>
      <c r="AL3478" s="23">
        <v>2</v>
      </c>
      <c r="AM3478" s="23">
        <v>3</v>
      </c>
      <c r="AN3478" s="23"/>
      <c r="AO3478" s="23">
        <v>4</v>
      </c>
      <c r="AP3478" s="23">
        <v>4</v>
      </c>
      <c r="AQ3478" s="23">
        <v>52</v>
      </c>
      <c r="AR3478" s="23">
        <v>3</v>
      </c>
      <c r="AS3478" s="23">
        <v>9</v>
      </c>
      <c r="AT3478" s="23"/>
      <c r="AU3478" s="14" t="str">
        <f>HYPERLINK("http://www.openstreetmap.org/?mlat=35.5851&amp;mlon=45.3159&amp;zoom=12#map=12/35.5851/45.3159","Maplink1")</f>
        <v>Maplink1</v>
      </c>
      <c r="AV3478" s="14" t="str">
        <f>HYPERLINK("https://www.google.iq/maps/search/+35.5851,45.3159/@35.5851,45.3159,14z?hl=en","Maplink2")</f>
        <v>Maplink2</v>
      </c>
      <c r="AW3478" s="14" t="str">
        <f>HYPERLINK("http://www.bing.com/maps/?lvl=14&amp;sty=h&amp;cp=35.5851~45.3159&amp;sp=point.35.5851_45.3159_Khak","Maplink3")</f>
        <v>Maplink3</v>
      </c>
    </row>
    <row r="3479" spans="1:49" ht="15" customHeight="1" x14ac:dyDescent="0.25">
      <c r="A3479" s="21">
        <v>24899</v>
      </c>
      <c r="B3479" s="22" t="s">
        <v>24</v>
      </c>
      <c r="C3479" s="22" t="s">
        <v>6568</v>
      </c>
      <c r="D3479" s="22" t="s">
        <v>6709</v>
      </c>
      <c r="E3479" s="22" t="s">
        <v>6710</v>
      </c>
      <c r="F3479" s="22">
        <v>35.54889</v>
      </c>
      <c r="G3479" s="22">
        <v>45.37077</v>
      </c>
      <c r="H3479" s="21" t="s">
        <v>6283</v>
      </c>
      <c r="I3479" s="21" t="s">
        <v>6571</v>
      </c>
      <c r="J3479" s="21"/>
      <c r="K3479" s="24">
        <v>40</v>
      </c>
      <c r="L3479" s="24">
        <v>240</v>
      </c>
      <c r="M3479" s="23">
        <v>25</v>
      </c>
      <c r="N3479" s="23"/>
      <c r="O3479" s="23"/>
      <c r="P3479" s="23"/>
      <c r="Q3479" s="23"/>
      <c r="R3479" s="23">
        <v>5</v>
      </c>
      <c r="S3479" s="23"/>
      <c r="T3479" s="23"/>
      <c r="U3479" s="23"/>
      <c r="V3479" s="23"/>
      <c r="W3479" s="23"/>
      <c r="X3479" s="23"/>
      <c r="Y3479" s="23">
        <v>10</v>
      </c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40</v>
      </c>
      <c r="AL3479" s="23"/>
      <c r="AM3479" s="23"/>
      <c r="AN3479" s="23"/>
      <c r="AO3479" s="23">
        <v>13</v>
      </c>
      <c r="AP3479" s="23">
        <v>11</v>
      </c>
      <c r="AQ3479" s="23">
        <v>4</v>
      </c>
      <c r="AR3479" s="23">
        <v>9</v>
      </c>
      <c r="AS3479" s="23">
        <v>3</v>
      </c>
      <c r="AT3479" s="23"/>
      <c r="AU3479" s="14" t="str">
        <f>HYPERLINK("http://www.openstreetmap.org/?mlat=35.5489&amp;mlon=45.3708&amp;zoom=12#map=12/35.5489/45.3708","Maplink1")</f>
        <v>Maplink1</v>
      </c>
      <c r="AV3479" s="14" t="str">
        <f>HYPERLINK("https://www.google.iq/maps/search/+35.5489,45.3708/@35.5489,45.3708,14z?hl=en","Maplink2")</f>
        <v>Maplink2</v>
      </c>
      <c r="AW3479" s="14" t="str">
        <f>HYPERLINK("http://www.bing.com/maps/?lvl=14&amp;sty=h&amp;cp=35.5489~45.3708&amp;sp=point.35.5489_45.3708_Kostay Cham","Maplink3")</f>
        <v>Maplink3</v>
      </c>
    </row>
    <row r="3480" spans="1:49" ht="15" customHeight="1" x14ac:dyDescent="0.25">
      <c r="A3480" s="21">
        <v>24260</v>
      </c>
      <c r="B3480" s="22" t="s">
        <v>24</v>
      </c>
      <c r="C3480" s="22" t="s">
        <v>6568</v>
      </c>
      <c r="D3480" s="22" t="s">
        <v>6712</v>
      </c>
      <c r="E3480" s="22" t="s">
        <v>6713</v>
      </c>
      <c r="F3480" s="22">
        <v>35.540570000000002</v>
      </c>
      <c r="G3480" s="22">
        <v>45.417110000000001</v>
      </c>
      <c r="H3480" s="21" t="s">
        <v>6283</v>
      </c>
      <c r="I3480" s="21" t="s">
        <v>6571</v>
      </c>
      <c r="J3480" s="21" t="s">
        <v>6714</v>
      </c>
      <c r="K3480" s="24">
        <v>109</v>
      </c>
      <c r="L3480" s="24">
        <v>654</v>
      </c>
      <c r="M3480" s="23">
        <v>53</v>
      </c>
      <c r="N3480" s="23"/>
      <c r="O3480" s="23">
        <v>40</v>
      </c>
      <c r="P3480" s="23"/>
      <c r="Q3480" s="23"/>
      <c r="R3480" s="23">
        <v>4</v>
      </c>
      <c r="S3480" s="23"/>
      <c r="T3480" s="23"/>
      <c r="U3480" s="23"/>
      <c r="V3480" s="23"/>
      <c r="W3480" s="23"/>
      <c r="X3480" s="23"/>
      <c r="Y3480" s="23">
        <v>8</v>
      </c>
      <c r="Z3480" s="23"/>
      <c r="AA3480" s="23">
        <v>4</v>
      </c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>
        <v>109</v>
      </c>
      <c r="AL3480" s="23"/>
      <c r="AM3480" s="23"/>
      <c r="AN3480" s="23"/>
      <c r="AO3480" s="23">
        <v>8</v>
      </c>
      <c r="AP3480" s="23">
        <v>19</v>
      </c>
      <c r="AQ3480" s="23"/>
      <c r="AR3480" s="23">
        <v>36</v>
      </c>
      <c r="AS3480" s="23">
        <v>26</v>
      </c>
      <c r="AT3480" s="23">
        <v>20</v>
      </c>
      <c r="AU3480" s="14" t="str">
        <f>HYPERLINK("http://www.openstreetmap.org/?mlat=35.5406&amp;mlon=45.4171&amp;zoom=12#map=12/35.5406/45.4171","Maplink1")</f>
        <v>Maplink1</v>
      </c>
      <c r="AV3480" s="14" t="str">
        <f>HYPERLINK("https://www.google.iq/maps/search/+35.5406,45.4171/@35.5406,45.4171,14z?hl=en","Maplink2")</f>
        <v>Maplink2</v>
      </c>
      <c r="AW3480" s="14" t="str">
        <f>HYPERLINK("http://www.bing.com/maps/?lvl=14&amp;sty=h&amp;cp=35.5406~45.4171&amp;sp=point.35.5406_45.4171_Kurd city","Maplink3")</f>
        <v>Maplink3</v>
      </c>
    </row>
    <row r="3481" spans="1:49" ht="15" customHeight="1" x14ac:dyDescent="0.25">
      <c r="A3481" s="21">
        <v>23719</v>
      </c>
      <c r="B3481" s="22" t="s">
        <v>24</v>
      </c>
      <c r="C3481" s="22" t="s">
        <v>6568</v>
      </c>
      <c r="D3481" s="22" t="s">
        <v>6715</v>
      </c>
      <c r="E3481" s="22" t="s">
        <v>6716</v>
      </c>
      <c r="F3481" s="22">
        <v>35.590710000000001</v>
      </c>
      <c r="G3481" s="22">
        <v>45.431959999999997</v>
      </c>
      <c r="H3481" s="21" t="s">
        <v>6283</v>
      </c>
      <c r="I3481" s="21" t="s">
        <v>6571</v>
      </c>
      <c r="J3481" s="21" t="s">
        <v>6717</v>
      </c>
      <c r="K3481" s="24">
        <v>98</v>
      </c>
      <c r="L3481" s="24">
        <v>588</v>
      </c>
      <c r="M3481" s="23">
        <v>79</v>
      </c>
      <c r="N3481" s="23"/>
      <c r="O3481" s="23">
        <v>10</v>
      </c>
      <c r="P3481" s="23"/>
      <c r="Q3481" s="23"/>
      <c r="R3481" s="23"/>
      <c r="S3481" s="23"/>
      <c r="T3481" s="23"/>
      <c r="U3481" s="23"/>
      <c r="V3481" s="23"/>
      <c r="W3481" s="23"/>
      <c r="X3481" s="23"/>
      <c r="Y3481" s="23">
        <v>6</v>
      </c>
      <c r="Z3481" s="23"/>
      <c r="AA3481" s="23">
        <v>3</v>
      </c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>
        <v>98</v>
      </c>
      <c r="AL3481" s="23"/>
      <c r="AM3481" s="23"/>
      <c r="AN3481" s="23"/>
      <c r="AO3481" s="23">
        <v>6</v>
      </c>
      <c r="AP3481" s="23">
        <v>17</v>
      </c>
      <c r="AQ3481" s="23">
        <v>6</v>
      </c>
      <c r="AR3481" s="23">
        <v>40</v>
      </c>
      <c r="AS3481" s="23">
        <v>21</v>
      </c>
      <c r="AT3481" s="23">
        <v>8</v>
      </c>
      <c r="AU3481" s="14" t="str">
        <f>HYPERLINK("http://www.openstreetmap.org/?mlat=35.5907&amp;mlon=45.432&amp;zoom=12#map=12/35.5907/45.432","Maplink1")</f>
        <v>Maplink1</v>
      </c>
      <c r="AV3481" s="14" t="str">
        <f>HYPERLINK("https://www.google.iq/maps/search/+35.5907,45.432/@35.5907,45.432,14z?hl=en","Maplink2")</f>
        <v>Maplink2</v>
      </c>
      <c r="AW3481" s="14" t="str">
        <f>HYPERLINK("http://www.bing.com/maps/?lvl=14&amp;sty=h&amp;cp=35.5907~45.432&amp;sp=point.35.5907_45.432_Kurdsat","Maplink3")</f>
        <v>Maplink3</v>
      </c>
    </row>
    <row r="3482" spans="1:49" ht="15" customHeight="1" x14ac:dyDescent="0.25">
      <c r="A3482" s="21">
        <v>24817</v>
      </c>
      <c r="B3482" s="22" t="s">
        <v>24</v>
      </c>
      <c r="C3482" s="22" t="s">
        <v>6568</v>
      </c>
      <c r="D3482" s="22" t="s">
        <v>6718</v>
      </c>
      <c r="E3482" s="22" t="s">
        <v>6719</v>
      </c>
      <c r="F3482" s="22">
        <v>35.539940000000001</v>
      </c>
      <c r="G3482" s="22">
        <v>45.419119999999999</v>
      </c>
      <c r="H3482" s="21" t="s">
        <v>6283</v>
      </c>
      <c r="I3482" s="21" t="s">
        <v>6571</v>
      </c>
      <c r="J3482" s="21"/>
      <c r="K3482" s="24">
        <v>17</v>
      </c>
      <c r="L3482" s="24">
        <v>102</v>
      </c>
      <c r="M3482" s="23">
        <v>7</v>
      </c>
      <c r="N3482" s="23"/>
      <c r="O3482" s="23">
        <v>8</v>
      </c>
      <c r="P3482" s="23"/>
      <c r="Q3482" s="23"/>
      <c r="R3482" s="23"/>
      <c r="S3482" s="23"/>
      <c r="T3482" s="23"/>
      <c r="U3482" s="23"/>
      <c r="V3482" s="23"/>
      <c r="W3482" s="23"/>
      <c r="X3482" s="23"/>
      <c r="Y3482" s="23"/>
      <c r="Z3482" s="23"/>
      <c r="AA3482" s="23">
        <v>2</v>
      </c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>
        <v>17</v>
      </c>
      <c r="AL3482" s="23"/>
      <c r="AM3482" s="23"/>
      <c r="AN3482" s="23"/>
      <c r="AO3482" s="23">
        <v>4</v>
      </c>
      <c r="AP3482" s="23">
        <v>2</v>
      </c>
      <c r="AQ3482" s="23">
        <v>4</v>
      </c>
      <c r="AR3482" s="23">
        <v>4</v>
      </c>
      <c r="AS3482" s="23">
        <v>3</v>
      </c>
      <c r="AT3482" s="23"/>
      <c r="AU3482" s="14" t="str">
        <f>HYPERLINK("http://www.openstreetmap.org/?mlat=35.5399&amp;mlon=45.4191&amp;zoom=12#map=12/35.5399/45.4191","Maplink1")</f>
        <v>Maplink1</v>
      </c>
      <c r="AV3482" s="14" t="str">
        <f>HYPERLINK("https://www.google.iq/maps/search/+35.5399,45.4191/@35.5399,45.4191,14z?hl=en","Maplink2")</f>
        <v>Maplink2</v>
      </c>
      <c r="AW3482" s="14" t="str">
        <f>HYPERLINK("http://www.bing.com/maps/?lvl=14&amp;sty=h&amp;cp=35.5399~45.4191&amp;sp=point.35.5399_45.4191_Lebanon City","Maplink3")</f>
        <v>Maplink3</v>
      </c>
    </row>
    <row r="3483" spans="1:49" ht="15" customHeight="1" x14ac:dyDescent="0.25">
      <c r="A3483" s="21">
        <v>23720</v>
      </c>
      <c r="B3483" s="22" t="s">
        <v>24</v>
      </c>
      <c r="C3483" s="22" t="s">
        <v>6568</v>
      </c>
      <c r="D3483" s="22" t="s">
        <v>6720</v>
      </c>
      <c r="E3483" s="22" t="s">
        <v>6721</v>
      </c>
      <c r="F3483" s="22">
        <v>35.57526</v>
      </c>
      <c r="G3483" s="22">
        <v>45.447949999999999</v>
      </c>
      <c r="H3483" s="21" t="s">
        <v>6283</v>
      </c>
      <c r="I3483" s="21" t="s">
        <v>6571</v>
      </c>
      <c r="J3483" s="21" t="s">
        <v>6722</v>
      </c>
      <c r="K3483" s="24">
        <v>64</v>
      </c>
      <c r="L3483" s="24">
        <v>384</v>
      </c>
      <c r="M3483" s="23">
        <v>59</v>
      </c>
      <c r="N3483" s="23"/>
      <c r="O3483" s="23">
        <v>1</v>
      </c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/>
      <c r="AA3483" s="23">
        <v>4</v>
      </c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>
        <v>64</v>
      </c>
      <c r="AL3483" s="23"/>
      <c r="AM3483" s="23"/>
      <c r="AN3483" s="23"/>
      <c r="AO3483" s="23">
        <v>23</v>
      </c>
      <c r="AP3483" s="23">
        <v>4</v>
      </c>
      <c r="AQ3483" s="23"/>
      <c r="AR3483" s="23">
        <v>4</v>
      </c>
      <c r="AS3483" s="23">
        <v>32</v>
      </c>
      <c r="AT3483" s="23">
        <v>1</v>
      </c>
      <c r="AU3483" s="14" t="str">
        <f>HYPERLINK("http://www.openstreetmap.org/?mlat=35.5753&amp;mlon=45.4479&amp;zoom=12#map=12/35.5753/45.4479","Maplink1")</f>
        <v>Maplink1</v>
      </c>
      <c r="AV3483" s="14" t="str">
        <f>HYPERLINK("https://www.google.iq/maps/search/+35.5753,45.4479/@35.5753,45.4479,14z?hl=en","Maplink2")</f>
        <v>Maplink2</v>
      </c>
      <c r="AW3483" s="14" t="str">
        <f>HYPERLINK("http://www.bing.com/maps/?lvl=14&amp;sty=h&amp;cp=35.5753~45.4479&amp;sp=point.35.5753_45.4479_Majeed Bag","Maplink3")</f>
        <v>Maplink3</v>
      </c>
    </row>
    <row r="3484" spans="1:49" ht="15" customHeight="1" x14ac:dyDescent="0.25">
      <c r="A3484" s="21">
        <v>4456</v>
      </c>
      <c r="B3484" s="22" t="s">
        <v>24</v>
      </c>
      <c r="C3484" s="22" t="s">
        <v>6568</v>
      </c>
      <c r="D3484" s="22" t="s">
        <v>6723</v>
      </c>
      <c r="E3484" s="22" t="s">
        <v>6724</v>
      </c>
      <c r="F3484" s="22">
        <v>35.630450000000003</v>
      </c>
      <c r="G3484" s="22">
        <v>45.420200000000001</v>
      </c>
      <c r="H3484" s="21" t="s">
        <v>6283</v>
      </c>
      <c r="I3484" s="21" t="s">
        <v>6571</v>
      </c>
      <c r="J3484" s="21" t="s">
        <v>6725</v>
      </c>
      <c r="K3484" s="24">
        <v>12</v>
      </c>
      <c r="L3484" s="24">
        <v>72</v>
      </c>
      <c r="M3484" s="23">
        <v>12</v>
      </c>
      <c r="N3484" s="23"/>
      <c r="O3484" s="23"/>
      <c r="P3484" s="23"/>
      <c r="Q3484" s="23"/>
      <c r="R3484" s="23"/>
      <c r="S3484" s="23"/>
      <c r="T3484" s="23"/>
      <c r="U3484" s="23"/>
      <c r="V3484" s="23"/>
      <c r="W3484" s="23"/>
      <c r="X3484" s="23"/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12</v>
      </c>
      <c r="AL3484" s="23"/>
      <c r="AM3484" s="23"/>
      <c r="AN3484" s="23"/>
      <c r="AO3484" s="23"/>
      <c r="AP3484" s="23">
        <v>3</v>
      </c>
      <c r="AQ3484" s="23"/>
      <c r="AR3484" s="23">
        <v>7</v>
      </c>
      <c r="AS3484" s="23"/>
      <c r="AT3484" s="23">
        <v>2</v>
      </c>
      <c r="AU3484" s="14" t="str">
        <f>HYPERLINK("http://www.openstreetmap.org/?mlat=35.63&amp;mlon=45.42&amp;zoom=12#map=12/35.63/45.42","Maplink1")</f>
        <v>Maplink1</v>
      </c>
      <c r="AV3484" s="14" t="str">
        <f>HYPERLINK("https://www.google.iq/maps/search/+35.63,45.42/@35.63,45.42,14z?hl=en","Maplink2")</f>
        <v>Maplink2</v>
      </c>
      <c r="AW3484" s="14" t="str">
        <f>HYPERLINK("http://www.bing.com/maps/?lvl=14&amp;sty=h&amp;cp=35.63~45.42&amp;sp=point.35.63_45.42_Mala Dawud","Maplink3")</f>
        <v>Maplink3</v>
      </c>
    </row>
    <row r="3485" spans="1:49" ht="15" customHeight="1" x14ac:dyDescent="0.25">
      <c r="A3485" s="21">
        <v>24257</v>
      </c>
      <c r="B3485" s="22" t="s">
        <v>24</v>
      </c>
      <c r="C3485" s="22" t="s">
        <v>6568</v>
      </c>
      <c r="D3485" s="22" t="s">
        <v>6726</v>
      </c>
      <c r="E3485" s="22" t="s">
        <v>6727</v>
      </c>
      <c r="F3485" s="22">
        <v>35.558869999999999</v>
      </c>
      <c r="G3485" s="22">
        <v>45.445799999999998</v>
      </c>
      <c r="H3485" s="21" t="s">
        <v>6283</v>
      </c>
      <c r="I3485" s="21" t="s">
        <v>6571</v>
      </c>
      <c r="J3485" s="21" t="s">
        <v>6728</v>
      </c>
      <c r="K3485" s="24">
        <v>96</v>
      </c>
      <c r="L3485" s="24">
        <v>576</v>
      </c>
      <c r="M3485" s="23">
        <v>89</v>
      </c>
      <c r="N3485" s="23">
        <v>3</v>
      </c>
      <c r="O3485" s="23">
        <v>2</v>
      </c>
      <c r="P3485" s="23"/>
      <c r="Q3485" s="23"/>
      <c r="R3485" s="23"/>
      <c r="S3485" s="23"/>
      <c r="T3485" s="23"/>
      <c r="U3485" s="23"/>
      <c r="V3485" s="23"/>
      <c r="W3485" s="23"/>
      <c r="X3485" s="23"/>
      <c r="Y3485" s="23"/>
      <c r="Z3485" s="23"/>
      <c r="AA3485" s="23">
        <v>2</v>
      </c>
      <c r="AB3485" s="23"/>
      <c r="AC3485" s="23"/>
      <c r="AD3485" s="23"/>
      <c r="AE3485" s="23"/>
      <c r="AF3485" s="23"/>
      <c r="AG3485" s="23">
        <v>15</v>
      </c>
      <c r="AH3485" s="23"/>
      <c r="AI3485" s="23"/>
      <c r="AJ3485" s="23"/>
      <c r="AK3485" s="23">
        <v>81</v>
      </c>
      <c r="AL3485" s="23"/>
      <c r="AM3485" s="23"/>
      <c r="AN3485" s="23"/>
      <c r="AO3485" s="23">
        <v>10</v>
      </c>
      <c r="AP3485" s="23">
        <v>7</v>
      </c>
      <c r="AQ3485" s="23">
        <v>21</v>
      </c>
      <c r="AR3485" s="23">
        <v>33</v>
      </c>
      <c r="AS3485" s="23">
        <v>18</v>
      </c>
      <c r="AT3485" s="23">
        <v>7</v>
      </c>
      <c r="AU3485" s="14" t="str">
        <f>HYPERLINK("http://www.openstreetmap.org/?mlat=35.5589&amp;mlon=45.4458&amp;zoom=12#map=12/35.5589/45.4458","Maplink1")</f>
        <v>Maplink1</v>
      </c>
      <c r="AV3485" s="14" t="str">
        <f>HYPERLINK("https://www.google.iq/maps/search/+35.5589,45.4458/@35.5589,45.4458,14z?hl=en","Maplink2")</f>
        <v>Maplink2</v>
      </c>
      <c r="AW3485" s="14" t="str">
        <f>HYPERLINK("http://www.bing.com/maps/?lvl=14&amp;sty=h&amp;cp=35.5589~45.4458&amp;sp=point.35.5589_45.4458_Malkanidy","Maplink3")</f>
        <v>Maplink3</v>
      </c>
    </row>
    <row r="3486" spans="1:49" ht="15" customHeight="1" x14ac:dyDescent="0.25">
      <c r="A3486" s="21">
        <v>21050</v>
      </c>
      <c r="B3486" s="22" t="s">
        <v>24</v>
      </c>
      <c r="C3486" s="22" t="s">
        <v>6568</v>
      </c>
      <c r="D3486" s="22" t="s">
        <v>6729</v>
      </c>
      <c r="E3486" s="22" t="s">
        <v>3485</v>
      </c>
      <c r="F3486" s="22">
        <v>35.569600000000001</v>
      </c>
      <c r="G3486" s="22">
        <v>45.436439999999997</v>
      </c>
      <c r="H3486" s="21" t="s">
        <v>6283</v>
      </c>
      <c r="I3486" s="21" t="s">
        <v>6571</v>
      </c>
      <c r="J3486" s="21" t="s">
        <v>6730</v>
      </c>
      <c r="K3486" s="24">
        <v>140</v>
      </c>
      <c r="L3486" s="24">
        <v>840</v>
      </c>
      <c r="M3486" s="23">
        <v>119</v>
      </c>
      <c r="N3486" s="23"/>
      <c r="O3486" s="23">
        <v>5</v>
      </c>
      <c r="P3486" s="23"/>
      <c r="Q3486" s="23"/>
      <c r="R3486" s="23"/>
      <c r="S3486" s="23"/>
      <c r="T3486" s="23"/>
      <c r="U3486" s="23"/>
      <c r="V3486" s="23"/>
      <c r="W3486" s="23"/>
      <c r="X3486" s="23"/>
      <c r="Y3486" s="23">
        <v>8</v>
      </c>
      <c r="Z3486" s="23"/>
      <c r="AA3486" s="23">
        <v>8</v>
      </c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140</v>
      </c>
      <c r="AL3486" s="23"/>
      <c r="AM3486" s="23"/>
      <c r="AN3486" s="23"/>
      <c r="AO3486" s="23">
        <v>46</v>
      </c>
      <c r="AP3486" s="23">
        <v>20</v>
      </c>
      <c r="AQ3486" s="23">
        <v>19</v>
      </c>
      <c r="AR3486" s="23">
        <v>26</v>
      </c>
      <c r="AS3486" s="23">
        <v>17</v>
      </c>
      <c r="AT3486" s="23">
        <v>12</v>
      </c>
      <c r="AU3486" s="14" t="str">
        <f>HYPERLINK("http://www.openstreetmap.org/?mlat=35.5696&amp;mlon=45.4364&amp;zoom=12#map=12/35.5696/45.4364","Maplink1")</f>
        <v>Maplink1</v>
      </c>
      <c r="AV3486" s="14" t="str">
        <f>HYPERLINK("https://www.google.iq/maps/search/+35.5696,45.4364/@35.5696,45.4364,14z?hl=en","Maplink2")</f>
        <v>Maplink2</v>
      </c>
      <c r="AW3486" s="14" t="str">
        <f>HYPERLINK("http://www.bing.com/maps/?lvl=14&amp;sty=h&amp;cp=35.5696~45.4364&amp;sp=point.35.5696_45.4364_MAMOSTAYAN","Maplink3")</f>
        <v>Maplink3</v>
      </c>
    </row>
    <row r="3487" spans="1:49" ht="15" customHeight="1" x14ac:dyDescent="0.25">
      <c r="A3487" s="21">
        <v>24901</v>
      </c>
      <c r="B3487" s="22" t="s">
        <v>24</v>
      </c>
      <c r="C3487" s="22" t="s">
        <v>6568</v>
      </c>
      <c r="D3487" s="22" t="s">
        <v>6731</v>
      </c>
      <c r="E3487" s="22" t="s">
        <v>6732</v>
      </c>
      <c r="F3487" s="22">
        <v>35.585639999999998</v>
      </c>
      <c r="G3487" s="22">
        <v>45.391240000000003</v>
      </c>
      <c r="H3487" s="21" t="s">
        <v>6283</v>
      </c>
      <c r="I3487" s="21" t="s">
        <v>6571</v>
      </c>
      <c r="J3487" s="21"/>
      <c r="K3487" s="24">
        <v>293</v>
      </c>
      <c r="L3487" s="24">
        <v>1758</v>
      </c>
      <c r="M3487" s="23">
        <v>252</v>
      </c>
      <c r="N3487" s="23"/>
      <c r="O3487" s="23">
        <v>11</v>
      </c>
      <c r="P3487" s="23"/>
      <c r="Q3487" s="23"/>
      <c r="R3487" s="23">
        <v>4</v>
      </c>
      <c r="S3487" s="23"/>
      <c r="T3487" s="23"/>
      <c r="U3487" s="23"/>
      <c r="V3487" s="23"/>
      <c r="W3487" s="23"/>
      <c r="X3487" s="23"/>
      <c r="Y3487" s="23">
        <v>22</v>
      </c>
      <c r="Z3487" s="23"/>
      <c r="AA3487" s="23">
        <v>4</v>
      </c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>
        <v>293</v>
      </c>
      <c r="AL3487" s="23"/>
      <c r="AM3487" s="23"/>
      <c r="AN3487" s="23"/>
      <c r="AO3487" s="23">
        <v>47</v>
      </c>
      <c r="AP3487" s="23">
        <v>43</v>
      </c>
      <c r="AQ3487" s="23">
        <v>44</v>
      </c>
      <c r="AR3487" s="23">
        <v>74</v>
      </c>
      <c r="AS3487" s="23">
        <v>83</v>
      </c>
      <c r="AT3487" s="23">
        <v>2</v>
      </c>
      <c r="AU3487" s="14" t="str">
        <f>HYPERLINK("http://www.openstreetmap.org/?mlat=35.5856&amp;mlon=45.3912&amp;zoom=12#map=12/35.5856/45.3912","Maplink1")</f>
        <v>Maplink1</v>
      </c>
      <c r="AV3487" s="14" t="str">
        <f>HYPERLINK("https://www.google.iq/maps/search/+35.5856,45.3912/@35.5856,45.3912,14z?hl=en","Maplink2")</f>
        <v>Maplink2</v>
      </c>
      <c r="AW3487" s="14" t="str">
        <f>HYPERLINK("http://www.bing.com/maps/?lvl=14&amp;sty=h&amp;cp=35.5856~45.3912&amp;sp=point.35.5856_45.3912_Mashkhalan","Maplink3")</f>
        <v>Maplink3</v>
      </c>
    </row>
    <row r="3488" spans="1:49" ht="15" customHeight="1" x14ac:dyDescent="0.25">
      <c r="A3488" s="21">
        <v>25575</v>
      </c>
      <c r="B3488" s="22" t="s">
        <v>24</v>
      </c>
      <c r="C3488" s="22" t="s">
        <v>6568</v>
      </c>
      <c r="D3488" s="22" t="s">
        <v>6733</v>
      </c>
      <c r="E3488" s="22" t="s">
        <v>6734</v>
      </c>
      <c r="F3488" s="22">
        <v>35.615830000000003</v>
      </c>
      <c r="G3488" s="22">
        <v>45.300289999999997</v>
      </c>
      <c r="H3488" s="21" t="s">
        <v>6283</v>
      </c>
      <c r="I3488" s="21" t="s">
        <v>6571</v>
      </c>
      <c r="J3488" s="21"/>
      <c r="K3488" s="24">
        <v>7</v>
      </c>
      <c r="L3488" s="24">
        <v>42</v>
      </c>
      <c r="M3488" s="23"/>
      <c r="N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>
        <v>7</v>
      </c>
      <c r="Z3488" s="23"/>
      <c r="AA3488" s="23"/>
      <c r="AB3488" s="23"/>
      <c r="AC3488" s="23"/>
      <c r="AD3488" s="23"/>
      <c r="AE3488" s="23"/>
      <c r="AF3488" s="23"/>
      <c r="AG3488" s="23"/>
      <c r="AH3488" s="23">
        <v>1</v>
      </c>
      <c r="AI3488" s="23"/>
      <c r="AJ3488" s="23"/>
      <c r="AK3488" s="23"/>
      <c r="AL3488" s="23"/>
      <c r="AM3488" s="23">
        <v>6</v>
      </c>
      <c r="AN3488" s="23"/>
      <c r="AO3488" s="23"/>
      <c r="AP3488" s="23"/>
      <c r="AQ3488" s="23">
        <v>7</v>
      </c>
      <c r="AR3488" s="23"/>
      <c r="AS3488" s="23"/>
      <c r="AT3488" s="23"/>
      <c r="AU3488" s="14" t="str">
        <f>HYPERLINK("http://www.openstreetmap.org/?mlat=35.6158&amp;mlon=45.3003&amp;zoom=12#map=12/35.6158/45.3003","Maplink1")</f>
        <v>Maplink1</v>
      </c>
      <c r="AV3488" s="14" t="str">
        <f>HYPERLINK("https://www.google.iq/maps/search/+35.6158,45.3003/@35.6158,45.3003,14z?hl=en","Maplink2")</f>
        <v>Maplink2</v>
      </c>
      <c r="AW3488" s="14" t="str">
        <f>HYPERLINK("http://www.bing.com/maps/?lvl=14&amp;sty=h&amp;cp=35.6158~45.3003&amp;sp=point.35.6158_45.3003_Muaskar Al-Salam","Maplink3")</f>
        <v>Maplink3</v>
      </c>
    </row>
    <row r="3489" spans="1:49" ht="15" customHeight="1" x14ac:dyDescent="0.25">
      <c r="A3489" s="21">
        <v>25524</v>
      </c>
      <c r="B3489" s="22" t="s">
        <v>24</v>
      </c>
      <c r="C3489" s="22" t="s">
        <v>6568</v>
      </c>
      <c r="D3489" s="22" t="s">
        <v>6735</v>
      </c>
      <c r="E3489" s="22" t="s">
        <v>3487</v>
      </c>
      <c r="F3489" s="22">
        <v>35.538409999999999</v>
      </c>
      <c r="G3489" s="22">
        <v>45.441499999999998</v>
      </c>
      <c r="H3489" s="21" t="s">
        <v>6283</v>
      </c>
      <c r="I3489" s="21" t="s">
        <v>6571</v>
      </c>
      <c r="J3489" s="21"/>
      <c r="K3489" s="24">
        <v>77</v>
      </c>
      <c r="L3489" s="24">
        <v>462</v>
      </c>
      <c r="M3489" s="23">
        <v>48</v>
      </c>
      <c r="N3489" s="23">
        <v>2</v>
      </c>
      <c r="O3489" s="23">
        <v>9</v>
      </c>
      <c r="P3489" s="23"/>
      <c r="Q3489" s="23"/>
      <c r="R3489" s="23">
        <v>5</v>
      </c>
      <c r="S3489" s="23"/>
      <c r="T3489" s="23"/>
      <c r="U3489" s="23"/>
      <c r="V3489" s="23"/>
      <c r="W3489" s="23"/>
      <c r="X3489" s="23"/>
      <c r="Y3489" s="23">
        <v>9</v>
      </c>
      <c r="Z3489" s="23"/>
      <c r="AA3489" s="23">
        <v>4</v>
      </c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>
        <v>77</v>
      </c>
      <c r="AL3489" s="23"/>
      <c r="AM3489" s="23"/>
      <c r="AN3489" s="23"/>
      <c r="AO3489" s="23">
        <v>20</v>
      </c>
      <c r="AP3489" s="23">
        <v>19</v>
      </c>
      <c r="AQ3489" s="23">
        <v>16</v>
      </c>
      <c r="AR3489" s="23">
        <v>12</v>
      </c>
      <c r="AS3489" s="23">
        <v>10</v>
      </c>
      <c r="AT3489" s="23"/>
      <c r="AU3489" s="14" t="str">
        <f>HYPERLINK("http://www.openstreetmap.org/?mlat=35.5384&amp;mlon=45.4415&amp;zoom=12#map=12/35.5384/45.4415","Maplink1")</f>
        <v>Maplink1</v>
      </c>
      <c r="AV3489" s="14" t="str">
        <f>HYPERLINK("https://www.google.iq/maps/search/+35.5384,45.4415/@35.5384,45.4415,14z?hl=en","Maplink2")</f>
        <v>Maplink2</v>
      </c>
      <c r="AW3489" s="14" t="str">
        <f>HYPERLINK("http://www.bing.com/maps/?lvl=14&amp;sty=h&amp;cp=35.5384~45.4415&amp;sp=point.35.5384_45.4415_Newroz","Maplink3")</f>
        <v>Maplink3</v>
      </c>
    </row>
    <row r="3490" spans="1:49" ht="15" customHeight="1" x14ac:dyDescent="0.25">
      <c r="A3490" s="21">
        <v>21320</v>
      </c>
      <c r="B3490" s="22" t="s">
        <v>24</v>
      </c>
      <c r="C3490" s="22" t="s">
        <v>6568</v>
      </c>
      <c r="D3490" s="22" t="s">
        <v>6738</v>
      </c>
      <c r="E3490" s="22" t="s">
        <v>6739</v>
      </c>
      <c r="F3490" s="22">
        <v>35.540579999999999</v>
      </c>
      <c r="G3490" s="22">
        <v>45.418959999999998</v>
      </c>
      <c r="H3490" s="21" t="s">
        <v>6283</v>
      </c>
      <c r="I3490" s="21" t="s">
        <v>6571</v>
      </c>
      <c r="J3490" s="21" t="s">
        <v>6740</v>
      </c>
      <c r="K3490" s="24">
        <v>36</v>
      </c>
      <c r="L3490" s="24">
        <v>216</v>
      </c>
      <c r="M3490" s="23">
        <v>28</v>
      </c>
      <c r="N3490" s="23">
        <v>2</v>
      </c>
      <c r="O3490" s="23">
        <v>6</v>
      </c>
      <c r="P3490" s="23"/>
      <c r="Q3490" s="23"/>
      <c r="R3490" s="23"/>
      <c r="S3490" s="23"/>
      <c r="T3490" s="23"/>
      <c r="U3490" s="23"/>
      <c r="V3490" s="23"/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>
        <v>36</v>
      </c>
      <c r="AL3490" s="23"/>
      <c r="AM3490" s="23"/>
      <c r="AN3490" s="23"/>
      <c r="AO3490" s="23">
        <v>3</v>
      </c>
      <c r="AP3490" s="23">
        <v>5</v>
      </c>
      <c r="AQ3490" s="23"/>
      <c r="AR3490" s="23">
        <v>11</v>
      </c>
      <c r="AS3490" s="23">
        <v>13</v>
      </c>
      <c r="AT3490" s="23">
        <v>4</v>
      </c>
      <c r="AU3490" s="14" t="str">
        <f>HYPERLINK("http://www.openstreetmap.org/?mlat=35.5406&amp;mlon=45.419&amp;zoom=12#map=12/35.5406/45.419","Maplink1")</f>
        <v>Maplink1</v>
      </c>
      <c r="AV3490" s="14" t="str">
        <f>HYPERLINK("https://www.google.iq/maps/search/+35.5406,45.419/@35.5406,45.419,14z?hl=en","Maplink2")</f>
        <v>Maplink2</v>
      </c>
      <c r="AW3490" s="14" t="str">
        <f>HYPERLINK("http://www.bing.com/maps/?lvl=14&amp;sty=h&amp;cp=35.5406~45.419&amp;sp=point.35.5406_45.419_Qalawa Camp","Maplink3")</f>
        <v>Maplink3</v>
      </c>
    </row>
    <row r="3491" spans="1:49" ht="15" customHeight="1" x14ac:dyDescent="0.25">
      <c r="A3491" s="21">
        <v>4450</v>
      </c>
      <c r="B3491" s="22" t="s">
        <v>24</v>
      </c>
      <c r="C3491" s="22" t="s">
        <v>6568</v>
      </c>
      <c r="D3491" s="22" t="s">
        <v>6741</v>
      </c>
      <c r="E3491" s="22" t="s">
        <v>6742</v>
      </c>
      <c r="F3491" s="22">
        <v>35.310270000000003</v>
      </c>
      <c r="G3491" s="22">
        <v>45.3904</v>
      </c>
      <c r="H3491" s="21" t="s">
        <v>6283</v>
      </c>
      <c r="I3491" s="21" t="s">
        <v>6571</v>
      </c>
      <c r="J3491" s="21" t="s">
        <v>6743</v>
      </c>
      <c r="K3491" s="24">
        <v>30</v>
      </c>
      <c r="L3491" s="24">
        <v>180</v>
      </c>
      <c r="M3491" s="23">
        <v>4</v>
      </c>
      <c r="N3491" s="23"/>
      <c r="O3491" s="23">
        <v>1</v>
      </c>
      <c r="P3491" s="23"/>
      <c r="Q3491" s="23"/>
      <c r="R3491" s="23">
        <v>10</v>
      </c>
      <c r="S3491" s="23"/>
      <c r="T3491" s="23"/>
      <c r="U3491" s="23"/>
      <c r="V3491" s="23"/>
      <c r="W3491" s="23"/>
      <c r="X3491" s="23"/>
      <c r="Y3491" s="23">
        <v>12</v>
      </c>
      <c r="Z3491" s="23"/>
      <c r="AA3491" s="23">
        <v>3</v>
      </c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>
        <v>30</v>
      </c>
      <c r="AL3491" s="23"/>
      <c r="AM3491" s="23"/>
      <c r="AN3491" s="23"/>
      <c r="AO3491" s="23"/>
      <c r="AP3491" s="23">
        <v>3</v>
      </c>
      <c r="AQ3491" s="23">
        <v>7</v>
      </c>
      <c r="AR3491" s="23">
        <v>8</v>
      </c>
      <c r="AS3491" s="23">
        <v>9</v>
      </c>
      <c r="AT3491" s="23">
        <v>3</v>
      </c>
      <c r="AU3491" s="14" t="str">
        <f>HYPERLINK("http://www.openstreetmap.org/?mlat=35.31&amp;mlon=45.39&amp;zoom=12#map=12/35.31/45.39","Maplink1")</f>
        <v>Maplink1</v>
      </c>
      <c r="AV3491" s="14" t="str">
        <f>HYPERLINK("https://www.google.iq/maps/search/+35.31,45.39/@35.31,45.39,14z?hl=en","Maplink2")</f>
        <v>Maplink2</v>
      </c>
      <c r="AW3491" s="14" t="str">
        <f>HYPERLINK("http://www.bing.com/maps/?lvl=14&amp;sty=h&amp;cp=35.31~45.39&amp;sp=point.35.31_45.39_Qaradagh","Maplink3")</f>
        <v>Maplink3</v>
      </c>
    </row>
    <row r="3492" spans="1:49" ht="15" customHeight="1" x14ac:dyDescent="0.25">
      <c r="A3492" s="21">
        <v>4448</v>
      </c>
      <c r="B3492" s="22" t="s">
        <v>24</v>
      </c>
      <c r="C3492" s="22" t="s">
        <v>6568</v>
      </c>
      <c r="D3492" s="22" t="s">
        <v>6746</v>
      </c>
      <c r="E3492" s="22" t="s">
        <v>6747</v>
      </c>
      <c r="F3492" s="22">
        <v>35.382649999999998</v>
      </c>
      <c r="G3492" s="22">
        <v>45.413040000000002</v>
      </c>
      <c r="H3492" s="21" t="s">
        <v>6283</v>
      </c>
      <c r="I3492" s="21" t="s">
        <v>6571</v>
      </c>
      <c r="J3492" s="21" t="s">
        <v>6748</v>
      </c>
      <c r="K3492" s="24">
        <v>2</v>
      </c>
      <c r="L3492" s="24">
        <v>12</v>
      </c>
      <c r="M3492" s="23"/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>
        <v>2</v>
      </c>
      <c r="Z3492" s="23"/>
      <c r="AA3492" s="23"/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>
        <v>2</v>
      </c>
      <c r="AL3492" s="23"/>
      <c r="AM3492" s="23"/>
      <c r="AN3492" s="23"/>
      <c r="AO3492" s="23"/>
      <c r="AP3492" s="23"/>
      <c r="AQ3492" s="23">
        <v>2</v>
      </c>
      <c r="AR3492" s="23"/>
      <c r="AS3492" s="23"/>
      <c r="AT3492" s="23"/>
      <c r="AU3492" s="14" t="str">
        <f>HYPERLINK("http://www.openstreetmap.org/?mlat=35.38&amp;mlon=45.41&amp;zoom=12#map=12/35.38/45.41","Maplink1")</f>
        <v>Maplink1</v>
      </c>
      <c r="AV3492" s="14" t="str">
        <f>HYPERLINK("https://www.google.iq/maps/search/+35.38,45.41/@35.38,45.41,14z?hl=en","Maplink2")</f>
        <v>Maplink2</v>
      </c>
      <c r="AW3492" s="14" t="str">
        <f>HYPERLINK("http://www.bing.com/maps/?lvl=14&amp;sty=h&amp;cp=35.38~45.41&amp;sp=point.35.38_45.41_Qaraman","Maplink3")</f>
        <v>Maplink3</v>
      </c>
    </row>
    <row r="3493" spans="1:49" ht="15" customHeight="1" x14ac:dyDescent="0.25">
      <c r="A3493" s="21">
        <v>4449</v>
      </c>
      <c r="B3493" s="22" t="s">
        <v>24</v>
      </c>
      <c r="C3493" s="22" t="s">
        <v>6568</v>
      </c>
      <c r="D3493" s="22" t="s">
        <v>6749</v>
      </c>
      <c r="E3493" s="22" t="s">
        <v>6750</v>
      </c>
      <c r="F3493" s="22">
        <v>35.512410000000003</v>
      </c>
      <c r="G3493" s="22">
        <v>45.437170000000002</v>
      </c>
      <c r="H3493" s="21" t="s">
        <v>6283</v>
      </c>
      <c r="I3493" s="21" t="s">
        <v>6571</v>
      </c>
      <c r="J3493" s="21" t="s">
        <v>6751</v>
      </c>
      <c r="K3493" s="24">
        <v>7</v>
      </c>
      <c r="L3493" s="24">
        <v>42</v>
      </c>
      <c r="M3493" s="23">
        <v>5</v>
      </c>
      <c r="N3493" s="23"/>
      <c r="O3493" s="23"/>
      <c r="P3493" s="23"/>
      <c r="Q3493" s="23"/>
      <c r="R3493" s="23">
        <v>2</v>
      </c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>
        <v>7</v>
      </c>
      <c r="AL3493" s="23"/>
      <c r="AM3493" s="23"/>
      <c r="AN3493" s="23"/>
      <c r="AO3493" s="23">
        <v>6</v>
      </c>
      <c r="AP3493" s="23"/>
      <c r="AQ3493" s="23"/>
      <c r="AR3493" s="23"/>
      <c r="AS3493" s="23">
        <v>1</v>
      </c>
      <c r="AT3493" s="23"/>
      <c r="AU3493" s="14" t="str">
        <f>HYPERLINK("http://www.openstreetmap.org/?mlat=35.51&amp;mlon=45.43&amp;zoom=12#map=12/35.51/45.43","Maplink1")</f>
        <v>Maplink1</v>
      </c>
      <c r="AV3493" s="14" t="str">
        <f>HYPERLINK("https://www.google.iq/maps/search/+35.51,45.43/@35.51,45.43,14z?hl=en","Maplink2")</f>
        <v>Maplink2</v>
      </c>
      <c r="AW3493" s="14" t="str">
        <f>HYPERLINK("http://www.bing.com/maps/?lvl=14&amp;sty=h&amp;cp=35.51~45.43&amp;sp=point.35.51_45.43_Qaratughan","Maplink3")</f>
        <v>Maplink3</v>
      </c>
    </row>
    <row r="3494" spans="1:49" ht="15" customHeight="1" x14ac:dyDescent="0.25">
      <c r="A3494" s="21">
        <v>4549</v>
      </c>
      <c r="B3494" s="22" t="s">
        <v>24</v>
      </c>
      <c r="C3494" s="22" t="s">
        <v>6568</v>
      </c>
      <c r="D3494" s="22" t="s">
        <v>6752</v>
      </c>
      <c r="E3494" s="22" t="s">
        <v>6753</v>
      </c>
      <c r="F3494" s="22">
        <v>35.530009999999997</v>
      </c>
      <c r="G3494" s="22">
        <v>45.47025</v>
      </c>
      <c r="H3494" s="21" t="s">
        <v>6283</v>
      </c>
      <c r="I3494" s="21" t="s">
        <v>6571</v>
      </c>
      <c r="J3494" s="21" t="s">
        <v>6754</v>
      </c>
      <c r="K3494" s="24">
        <v>713</v>
      </c>
      <c r="L3494" s="24">
        <v>4278</v>
      </c>
      <c r="M3494" s="23">
        <v>471</v>
      </c>
      <c r="N3494" s="23">
        <v>3</v>
      </c>
      <c r="O3494" s="23">
        <v>128</v>
      </c>
      <c r="P3494" s="23"/>
      <c r="Q3494" s="23"/>
      <c r="R3494" s="23">
        <v>11</v>
      </c>
      <c r="S3494" s="23"/>
      <c r="T3494" s="23"/>
      <c r="U3494" s="23"/>
      <c r="V3494" s="23"/>
      <c r="W3494" s="23"/>
      <c r="X3494" s="23"/>
      <c r="Y3494" s="23">
        <v>60</v>
      </c>
      <c r="Z3494" s="23"/>
      <c r="AA3494" s="23">
        <v>40</v>
      </c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>
        <v>713</v>
      </c>
      <c r="AL3494" s="23"/>
      <c r="AM3494" s="23"/>
      <c r="AN3494" s="23"/>
      <c r="AO3494" s="23">
        <v>52</v>
      </c>
      <c r="AP3494" s="23">
        <v>79</v>
      </c>
      <c r="AQ3494" s="23">
        <v>47</v>
      </c>
      <c r="AR3494" s="23">
        <v>272</v>
      </c>
      <c r="AS3494" s="23">
        <v>245</v>
      </c>
      <c r="AT3494" s="23">
        <v>18</v>
      </c>
      <c r="AU3494" s="14" t="str">
        <f>HYPERLINK("http://www.openstreetmap.org/?mlat=35.53&amp;mlon=45.47&amp;zoom=12#map=12/35.53/45.47","Maplink1")</f>
        <v>Maplink1</v>
      </c>
      <c r="AV3494" s="14" t="str">
        <f>HYPERLINK("https://www.google.iq/maps/search/+35.53,45.47/@35.53,45.47,14z?hl=en","Maplink2")</f>
        <v>Maplink2</v>
      </c>
      <c r="AW3494" s="14" t="str">
        <f>HYPERLINK("http://www.bing.com/maps/?lvl=14&amp;sty=h&amp;cp=35.53~45.47&amp;sp=point.35.53_45.47_Qirga","Maplink3")</f>
        <v>Maplink3</v>
      </c>
    </row>
    <row r="3495" spans="1:49" ht="15" customHeight="1" x14ac:dyDescent="0.25">
      <c r="A3495" s="21">
        <v>6139</v>
      </c>
      <c r="B3495" s="22" t="s">
        <v>24</v>
      </c>
      <c r="C3495" s="22" t="s">
        <v>6568</v>
      </c>
      <c r="D3495" s="22" t="s">
        <v>6755</v>
      </c>
      <c r="E3495" s="22" t="s">
        <v>6756</v>
      </c>
      <c r="F3495" s="22">
        <v>35.580109999999998</v>
      </c>
      <c r="G3495" s="22">
        <v>45.372520000000002</v>
      </c>
      <c r="H3495" s="21" t="s">
        <v>6283</v>
      </c>
      <c r="I3495" s="21" t="s">
        <v>6571</v>
      </c>
      <c r="J3495" s="21" t="s">
        <v>6757</v>
      </c>
      <c r="K3495" s="24">
        <v>49</v>
      </c>
      <c r="L3495" s="24">
        <v>294</v>
      </c>
      <c r="M3495" s="23">
        <v>36</v>
      </c>
      <c r="N3495" s="23"/>
      <c r="O3495" s="23">
        <v>6</v>
      </c>
      <c r="P3495" s="23"/>
      <c r="Q3495" s="23"/>
      <c r="R3495" s="23">
        <v>1</v>
      </c>
      <c r="S3495" s="23"/>
      <c r="T3495" s="23"/>
      <c r="U3495" s="23"/>
      <c r="V3495" s="23"/>
      <c r="W3495" s="23"/>
      <c r="X3495" s="23"/>
      <c r="Y3495" s="23">
        <v>5</v>
      </c>
      <c r="Z3495" s="23"/>
      <c r="AA3495" s="23">
        <v>1</v>
      </c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>
        <v>49</v>
      </c>
      <c r="AL3495" s="23"/>
      <c r="AM3495" s="23"/>
      <c r="AN3495" s="23"/>
      <c r="AO3495" s="23">
        <v>2</v>
      </c>
      <c r="AP3495" s="23">
        <v>7</v>
      </c>
      <c r="AQ3495" s="23">
        <v>6</v>
      </c>
      <c r="AR3495" s="23">
        <v>15</v>
      </c>
      <c r="AS3495" s="23">
        <v>19</v>
      </c>
      <c r="AT3495" s="23"/>
      <c r="AU3495" s="14" t="str">
        <f>HYPERLINK("http://www.openstreetmap.org/?mlat=35.58&amp;mlon=45.37&amp;zoom=12#map=12/35.58/45.37","Maplink1")</f>
        <v>Maplink1</v>
      </c>
      <c r="AV3495" s="14" t="str">
        <f>HYPERLINK("https://www.google.iq/maps/search/+35.58,45.37/@35.58,45.37,14z?hl=en","Maplink2")</f>
        <v>Maplink2</v>
      </c>
      <c r="AW3495" s="14" t="str">
        <f>HYPERLINK("http://www.bing.com/maps/?lvl=14&amp;sty=h&amp;cp=35.58~45.37&amp;sp=point.35.58_45.37_Qliasan","Maplink3")</f>
        <v>Maplink3</v>
      </c>
    </row>
    <row r="3496" spans="1:49" ht="15" customHeight="1" x14ac:dyDescent="0.25">
      <c r="A3496" s="21">
        <v>6251</v>
      </c>
      <c r="B3496" s="22" t="s">
        <v>24</v>
      </c>
      <c r="C3496" s="22" t="s">
        <v>6568</v>
      </c>
      <c r="D3496" s="22" t="s">
        <v>6758</v>
      </c>
      <c r="E3496" s="22" t="s">
        <v>9180</v>
      </c>
      <c r="F3496" s="22">
        <v>35.597299999999997</v>
      </c>
      <c r="G3496" s="22">
        <v>45.347700000000003</v>
      </c>
      <c r="H3496" s="21" t="s">
        <v>6283</v>
      </c>
      <c r="I3496" s="21" t="s">
        <v>6571</v>
      </c>
      <c r="J3496" s="21" t="s">
        <v>6759</v>
      </c>
      <c r="K3496" s="24">
        <v>71</v>
      </c>
      <c r="L3496" s="24">
        <v>426</v>
      </c>
      <c r="M3496" s="23">
        <v>48</v>
      </c>
      <c r="N3496" s="23"/>
      <c r="O3496" s="23">
        <v>9</v>
      </c>
      <c r="P3496" s="23"/>
      <c r="Q3496" s="23"/>
      <c r="R3496" s="23">
        <v>6</v>
      </c>
      <c r="S3496" s="23"/>
      <c r="T3496" s="23"/>
      <c r="U3496" s="23"/>
      <c r="V3496" s="23"/>
      <c r="W3496" s="23"/>
      <c r="X3496" s="23"/>
      <c r="Y3496" s="23">
        <v>8</v>
      </c>
      <c r="Z3496" s="23"/>
      <c r="AA3496" s="23"/>
      <c r="AB3496" s="23"/>
      <c r="AC3496" s="23"/>
      <c r="AD3496" s="23"/>
      <c r="AE3496" s="23"/>
      <c r="AF3496" s="23"/>
      <c r="AG3496" s="23"/>
      <c r="AH3496" s="23">
        <v>8</v>
      </c>
      <c r="AI3496" s="23"/>
      <c r="AJ3496" s="23"/>
      <c r="AK3496" s="23">
        <v>63</v>
      </c>
      <c r="AL3496" s="23"/>
      <c r="AM3496" s="23"/>
      <c r="AN3496" s="23"/>
      <c r="AO3496" s="23">
        <v>11</v>
      </c>
      <c r="AP3496" s="23">
        <v>12</v>
      </c>
      <c r="AQ3496" s="23">
        <v>20</v>
      </c>
      <c r="AR3496" s="23">
        <v>13</v>
      </c>
      <c r="AS3496" s="23">
        <v>13</v>
      </c>
      <c r="AT3496" s="23">
        <v>2</v>
      </c>
      <c r="AU3496" s="14" t="str">
        <f>HYPERLINK("http://www.openstreetmap.org/?mlat=35.5973&amp;mlon=45.3477&amp;zoom=12#map=12/35.5973/45.3477","Maplink1")</f>
        <v>Maplink1</v>
      </c>
      <c r="AV3496" s="14" t="str">
        <f>HYPERLINK("https://www.google.iq/maps/search/+35.5973,45.3477/@35.5973,45.3477,14z?hl=en","Maplink2")</f>
        <v>Maplink2</v>
      </c>
      <c r="AW3496" s="14" t="str">
        <f>HYPERLINK("http://www.bing.com/maps/?lvl=14&amp;sty=h&amp;cp=35.5973~45.3477&amp;sp=point.35.5973_45.3477_Qularaese Kon","Maplink3")</f>
        <v>Maplink3</v>
      </c>
    </row>
    <row r="3497" spans="1:49" ht="15" customHeight="1" x14ac:dyDescent="0.25">
      <c r="A3497" s="21">
        <v>5896</v>
      </c>
      <c r="B3497" s="22" t="s">
        <v>24</v>
      </c>
      <c r="C3497" s="22" t="s">
        <v>6568</v>
      </c>
      <c r="D3497" s="22" t="s">
        <v>6760</v>
      </c>
      <c r="E3497" s="22" t="s">
        <v>8125</v>
      </c>
      <c r="F3497" s="22">
        <v>35.592449999999999</v>
      </c>
      <c r="G3497" s="22">
        <v>45.330109999999998</v>
      </c>
      <c r="H3497" s="21" t="s">
        <v>6283</v>
      </c>
      <c r="I3497" s="21" t="s">
        <v>6571</v>
      </c>
      <c r="J3497" s="21" t="s">
        <v>6761</v>
      </c>
      <c r="K3497" s="24">
        <v>119</v>
      </c>
      <c r="L3497" s="24">
        <v>714</v>
      </c>
      <c r="M3497" s="23">
        <v>54</v>
      </c>
      <c r="N3497" s="23">
        <v>5</v>
      </c>
      <c r="O3497" s="23">
        <v>14</v>
      </c>
      <c r="P3497" s="23"/>
      <c r="Q3497" s="23"/>
      <c r="R3497" s="23">
        <v>3</v>
      </c>
      <c r="S3497" s="23"/>
      <c r="T3497" s="23"/>
      <c r="U3497" s="23"/>
      <c r="V3497" s="23"/>
      <c r="W3497" s="23"/>
      <c r="X3497" s="23"/>
      <c r="Y3497" s="23">
        <v>27</v>
      </c>
      <c r="Z3497" s="23"/>
      <c r="AA3497" s="23">
        <v>16</v>
      </c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>
        <v>110</v>
      </c>
      <c r="AL3497" s="23"/>
      <c r="AM3497" s="23">
        <v>9</v>
      </c>
      <c r="AN3497" s="23"/>
      <c r="AO3497" s="23">
        <v>16</v>
      </c>
      <c r="AP3497" s="23">
        <v>40</v>
      </c>
      <c r="AQ3497" s="23">
        <v>17</v>
      </c>
      <c r="AR3497" s="23">
        <v>40</v>
      </c>
      <c r="AS3497" s="23">
        <v>6</v>
      </c>
      <c r="AT3497" s="23"/>
      <c r="AU3497" s="14" t="str">
        <f>HYPERLINK("http://www.openstreetmap.org/?mlat=35.5924&amp;mlon=45.3301&amp;zoom=12#map=12/35.5924/45.3301","Maplink1")</f>
        <v>Maplink1</v>
      </c>
      <c r="AV3497" s="14" t="str">
        <f>HYPERLINK("https://www.google.iq/maps/search/+35.5924,45.3301/@35.5924,45.3301,14z?hl=en","Maplink2")</f>
        <v>Maplink2</v>
      </c>
      <c r="AW3497" s="14" t="str">
        <f>HYPERLINK("http://www.bing.com/maps/?lvl=14&amp;sty=h&amp;cp=35.5924~45.3301&amp;sp=point.35.5924_45.3301_Raparin-Bawa Mrda","Maplink3")</f>
        <v>Maplink3</v>
      </c>
    </row>
    <row r="3498" spans="1:49" ht="15" customHeight="1" x14ac:dyDescent="0.25">
      <c r="A3498" s="21">
        <v>5798</v>
      </c>
      <c r="B3498" s="22" t="s">
        <v>24</v>
      </c>
      <c r="C3498" s="22" t="s">
        <v>6568</v>
      </c>
      <c r="D3498" s="22" t="s">
        <v>6762</v>
      </c>
      <c r="E3498" s="22" t="s">
        <v>3492</v>
      </c>
      <c r="F3498" s="22">
        <v>35.573520000000002</v>
      </c>
      <c r="G3498" s="22">
        <v>45.333970000000001</v>
      </c>
      <c r="H3498" s="21" t="s">
        <v>6283</v>
      </c>
      <c r="I3498" s="21" t="s">
        <v>6571</v>
      </c>
      <c r="J3498" s="21" t="s">
        <v>6763</v>
      </c>
      <c r="K3498" s="24">
        <v>673</v>
      </c>
      <c r="L3498" s="24">
        <v>4038</v>
      </c>
      <c r="M3498" s="23">
        <v>461</v>
      </c>
      <c r="N3498" s="23">
        <v>19</v>
      </c>
      <c r="O3498" s="23">
        <v>45</v>
      </c>
      <c r="P3498" s="23"/>
      <c r="Q3498" s="23"/>
      <c r="R3498" s="23">
        <v>25</v>
      </c>
      <c r="S3498" s="23"/>
      <c r="T3498" s="23"/>
      <c r="U3498" s="23"/>
      <c r="V3498" s="23"/>
      <c r="W3498" s="23"/>
      <c r="X3498" s="23"/>
      <c r="Y3498" s="23">
        <v>90</v>
      </c>
      <c r="Z3498" s="23"/>
      <c r="AA3498" s="23">
        <v>33</v>
      </c>
      <c r="AB3498" s="23"/>
      <c r="AC3498" s="23"/>
      <c r="AD3498" s="23"/>
      <c r="AE3498" s="23"/>
      <c r="AF3498" s="23"/>
      <c r="AG3498" s="23"/>
      <c r="AH3498" s="23"/>
      <c r="AI3498" s="23"/>
      <c r="AJ3498" s="23"/>
      <c r="AK3498" s="23">
        <v>673</v>
      </c>
      <c r="AL3498" s="23"/>
      <c r="AM3498" s="23"/>
      <c r="AN3498" s="23"/>
      <c r="AO3498" s="23">
        <v>140</v>
      </c>
      <c r="AP3498" s="23">
        <v>132</v>
      </c>
      <c r="AQ3498" s="23">
        <v>67</v>
      </c>
      <c r="AR3498" s="23">
        <v>48</v>
      </c>
      <c r="AS3498" s="23">
        <v>286</v>
      </c>
      <c r="AT3498" s="23"/>
      <c r="AU3498" s="14" t="str">
        <f>HYPERLINK("http://www.openstreetmap.org/?mlat=35.57&amp;mlon=45.33&amp;zoom=12#map=12/35.57/45.33","Maplink1")</f>
        <v>Maplink1</v>
      </c>
      <c r="AV3498" s="14" t="str">
        <f>HYPERLINK("https://www.google.iq/maps/search/+35.57,45.33/@35.57,45.33,14z?hl=en","Maplink2")</f>
        <v>Maplink2</v>
      </c>
      <c r="AW3498" s="14" t="str">
        <f>HYPERLINK("http://www.bing.com/maps/?lvl=14&amp;sty=h&amp;cp=35.57~45.33&amp;sp=point.35.57_45.33_Raparrin","Maplink3")</f>
        <v>Maplink3</v>
      </c>
    </row>
    <row r="3499" spans="1:49" ht="15" customHeight="1" x14ac:dyDescent="0.25">
      <c r="A3499" s="21">
        <v>6311</v>
      </c>
      <c r="B3499" s="22" t="s">
        <v>24</v>
      </c>
      <c r="C3499" s="22" t="s">
        <v>6568</v>
      </c>
      <c r="D3499" s="22" t="s">
        <v>6764</v>
      </c>
      <c r="E3499" s="22" t="s">
        <v>6474</v>
      </c>
      <c r="F3499" s="22">
        <v>35.55744</v>
      </c>
      <c r="G3499" s="22">
        <v>45.40522</v>
      </c>
      <c r="H3499" s="21" t="s">
        <v>6283</v>
      </c>
      <c r="I3499" s="21" t="s">
        <v>6571</v>
      </c>
      <c r="J3499" s="21" t="s">
        <v>6765</v>
      </c>
      <c r="K3499" s="24">
        <v>227</v>
      </c>
      <c r="L3499" s="24">
        <v>1362</v>
      </c>
      <c r="M3499" s="23">
        <v>180</v>
      </c>
      <c r="N3499" s="23"/>
      <c r="O3499" s="23">
        <v>16</v>
      </c>
      <c r="P3499" s="23"/>
      <c r="Q3499" s="23"/>
      <c r="R3499" s="23">
        <v>4</v>
      </c>
      <c r="S3499" s="23"/>
      <c r="T3499" s="23"/>
      <c r="U3499" s="23"/>
      <c r="V3499" s="23"/>
      <c r="W3499" s="23"/>
      <c r="X3499" s="23"/>
      <c r="Y3499" s="23">
        <v>11</v>
      </c>
      <c r="Z3499" s="23"/>
      <c r="AA3499" s="23">
        <v>16</v>
      </c>
      <c r="AB3499" s="23"/>
      <c r="AC3499" s="23"/>
      <c r="AD3499" s="23"/>
      <c r="AE3499" s="23"/>
      <c r="AF3499" s="23"/>
      <c r="AG3499" s="23"/>
      <c r="AH3499" s="23"/>
      <c r="AI3499" s="23"/>
      <c r="AJ3499" s="23">
        <v>11</v>
      </c>
      <c r="AK3499" s="23">
        <v>216</v>
      </c>
      <c r="AL3499" s="23"/>
      <c r="AM3499" s="23"/>
      <c r="AN3499" s="23"/>
      <c r="AO3499" s="23">
        <v>40</v>
      </c>
      <c r="AP3499" s="23">
        <v>38</v>
      </c>
      <c r="AQ3499" s="23">
        <v>28</v>
      </c>
      <c r="AR3499" s="23">
        <v>82</v>
      </c>
      <c r="AS3499" s="23">
        <v>32</v>
      </c>
      <c r="AT3499" s="23">
        <v>7</v>
      </c>
      <c r="AU3499" s="14" t="str">
        <f>HYPERLINK("http://www.openstreetmap.org/?mlat=35.5574&amp;mlon=45.4052&amp;zoom=12#map=12/35.5574/45.4052","Maplink1")</f>
        <v>Maplink1</v>
      </c>
      <c r="AV3499" s="14" t="str">
        <f>HYPERLINK("https://www.google.iq/maps/search/+35.5574,45.4052/@35.5574,45.4052,14z?hl=en","Maplink2")</f>
        <v>Maplink2</v>
      </c>
      <c r="AW3499" s="14" t="str">
        <f>HYPERLINK("http://www.bing.com/maps/?lvl=14&amp;sty=h&amp;cp=35.5574~45.4052&amp;sp=point.35.5574_45.4052_Rizgare","Maplink3")</f>
        <v>Maplink3</v>
      </c>
    </row>
    <row r="3500" spans="1:49" ht="15" customHeight="1" x14ac:dyDescent="0.25">
      <c r="A3500" s="21">
        <v>24095</v>
      </c>
      <c r="B3500" s="22" t="s">
        <v>24</v>
      </c>
      <c r="C3500" s="22" t="s">
        <v>6568</v>
      </c>
      <c r="D3500" s="22" t="s">
        <v>6766</v>
      </c>
      <c r="E3500" s="22" t="s">
        <v>6474</v>
      </c>
      <c r="F3500" s="22">
        <v>35.42586</v>
      </c>
      <c r="G3500" s="22">
        <v>45.581609999999998</v>
      </c>
      <c r="H3500" s="21" t="s">
        <v>6283</v>
      </c>
      <c r="I3500" s="21" t="s">
        <v>6571</v>
      </c>
      <c r="J3500" s="21" t="s">
        <v>6767</v>
      </c>
      <c r="K3500" s="24">
        <v>100</v>
      </c>
      <c r="L3500" s="24">
        <v>600</v>
      </c>
      <c r="M3500" s="23">
        <v>35</v>
      </c>
      <c r="N3500" s="23">
        <v>23</v>
      </c>
      <c r="O3500" s="23">
        <v>23</v>
      </c>
      <c r="P3500" s="23"/>
      <c r="Q3500" s="23"/>
      <c r="R3500" s="23">
        <v>2</v>
      </c>
      <c r="S3500" s="23"/>
      <c r="T3500" s="23"/>
      <c r="U3500" s="23"/>
      <c r="V3500" s="23"/>
      <c r="W3500" s="23"/>
      <c r="X3500" s="23"/>
      <c r="Y3500" s="23"/>
      <c r="Z3500" s="23"/>
      <c r="AA3500" s="23">
        <v>17</v>
      </c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>
        <v>80</v>
      </c>
      <c r="AL3500" s="23"/>
      <c r="AM3500" s="23">
        <v>20</v>
      </c>
      <c r="AN3500" s="23"/>
      <c r="AO3500" s="23">
        <v>9</v>
      </c>
      <c r="AP3500" s="23">
        <v>30</v>
      </c>
      <c r="AQ3500" s="23">
        <v>14</v>
      </c>
      <c r="AR3500" s="23">
        <v>38</v>
      </c>
      <c r="AS3500" s="23">
        <v>8</v>
      </c>
      <c r="AT3500" s="23">
        <v>1</v>
      </c>
      <c r="AU3500" s="14" t="str">
        <f>HYPERLINK("http://www.openstreetmap.org/?mlat=35.4259&amp;mlon=45.5816&amp;zoom=12#map=12/35.4259/45.5816","Maplink1")</f>
        <v>Maplink1</v>
      </c>
      <c r="AV3500" s="14" t="str">
        <f>HYPERLINK("https://www.google.iq/maps/search/+35.4259,45.5816/@35.4259,45.5816,14z?hl=en","Maplink2")</f>
        <v>Maplink2</v>
      </c>
      <c r="AW3500" s="14" t="str">
        <f>HYPERLINK("http://www.bing.com/maps/?lvl=14&amp;sty=h&amp;cp=35.4259~45.5816&amp;sp=point.35.4259_45.5816_Rizgari-Arbat","Maplink3")</f>
        <v>Maplink3</v>
      </c>
    </row>
    <row r="3501" spans="1:49" x14ac:dyDescent="0.25">
      <c r="A3501" s="21">
        <v>24259</v>
      </c>
      <c r="B3501" s="22" t="s">
        <v>24</v>
      </c>
      <c r="C3501" s="22" t="s">
        <v>6568</v>
      </c>
      <c r="D3501" s="22" t="s">
        <v>6768</v>
      </c>
      <c r="E3501" s="22" t="s">
        <v>6769</v>
      </c>
      <c r="F3501" s="22">
        <v>35.587069999999997</v>
      </c>
      <c r="G3501" s="22">
        <v>45.426450000000003</v>
      </c>
      <c r="H3501" s="21" t="s">
        <v>6283</v>
      </c>
      <c r="I3501" s="21" t="s">
        <v>6571</v>
      </c>
      <c r="J3501" s="21" t="s">
        <v>6770</v>
      </c>
      <c r="K3501" s="24">
        <v>177</v>
      </c>
      <c r="L3501" s="24">
        <v>1062</v>
      </c>
      <c r="M3501" s="23">
        <v>148</v>
      </c>
      <c r="N3501" s="23"/>
      <c r="O3501" s="23">
        <v>8</v>
      </c>
      <c r="P3501" s="23"/>
      <c r="Q3501" s="23"/>
      <c r="R3501" s="23"/>
      <c r="S3501" s="23"/>
      <c r="T3501" s="23"/>
      <c r="U3501" s="23"/>
      <c r="V3501" s="23"/>
      <c r="W3501" s="23"/>
      <c r="X3501" s="23"/>
      <c r="Y3501" s="23">
        <v>5</v>
      </c>
      <c r="Z3501" s="23"/>
      <c r="AA3501" s="23">
        <v>16</v>
      </c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>
        <v>177</v>
      </c>
      <c r="AL3501" s="23"/>
      <c r="AM3501" s="23"/>
      <c r="AN3501" s="23"/>
      <c r="AO3501" s="23">
        <v>18</v>
      </c>
      <c r="AP3501" s="23">
        <v>24</v>
      </c>
      <c r="AQ3501" s="23">
        <v>8</v>
      </c>
      <c r="AR3501" s="23">
        <v>74</v>
      </c>
      <c r="AS3501" s="23">
        <v>53</v>
      </c>
      <c r="AT3501" s="23"/>
      <c r="AU3501" s="14" t="str">
        <f>HYPERLINK("http://www.openstreetmap.org/?mlat=35.5871&amp;mlon=45.4265&amp;zoom=12#map=12/35.5871/45.4265","Maplink1")</f>
        <v>Maplink1</v>
      </c>
      <c r="AV3501" s="14" t="str">
        <f>HYPERLINK("https://www.google.iq/maps/search/+35.5871,45.4265/@35.5871,45.4265,14z?hl=en","Maplink2")</f>
        <v>Maplink2</v>
      </c>
      <c r="AW3501" s="14" t="str">
        <f>HYPERLINK("http://www.bing.com/maps/?lvl=14&amp;sty=h&amp;cp=35.5871~45.4265&amp;sp=point.35.5871_45.4265_Roz city","Maplink3")</f>
        <v>Maplink3</v>
      </c>
    </row>
    <row r="3502" spans="1:49" x14ac:dyDescent="0.25">
      <c r="A3502" s="21">
        <v>24256</v>
      </c>
      <c r="B3502" s="22" t="s">
        <v>24</v>
      </c>
      <c r="C3502" s="22" t="s">
        <v>6568</v>
      </c>
      <c r="D3502" s="22" t="s">
        <v>6771</v>
      </c>
      <c r="E3502" s="22" t="s">
        <v>6541</v>
      </c>
      <c r="F3502" s="22">
        <v>35.548900000000003</v>
      </c>
      <c r="G3502" s="22">
        <v>45.457279999999997</v>
      </c>
      <c r="H3502" s="21" t="s">
        <v>6283</v>
      </c>
      <c r="I3502" s="21" t="s">
        <v>6571</v>
      </c>
      <c r="J3502" s="21" t="s">
        <v>6772</v>
      </c>
      <c r="K3502" s="24">
        <v>67</v>
      </c>
      <c r="L3502" s="24">
        <v>402</v>
      </c>
      <c r="M3502" s="23">
        <v>52</v>
      </c>
      <c r="N3502" s="23"/>
      <c r="O3502" s="23">
        <v>7</v>
      </c>
      <c r="P3502" s="23"/>
      <c r="Q3502" s="23"/>
      <c r="R3502" s="23">
        <v>2</v>
      </c>
      <c r="S3502" s="23"/>
      <c r="T3502" s="23"/>
      <c r="U3502" s="23"/>
      <c r="V3502" s="23"/>
      <c r="W3502" s="23"/>
      <c r="X3502" s="23"/>
      <c r="Y3502" s="23">
        <v>6</v>
      </c>
      <c r="Z3502" s="23"/>
      <c r="AA3502" s="23"/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>
        <v>67</v>
      </c>
      <c r="AL3502" s="23"/>
      <c r="AM3502" s="23"/>
      <c r="AN3502" s="23"/>
      <c r="AO3502" s="23">
        <v>10</v>
      </c>
      <c r="AP3502" s="23">
        <v>4</v>
      </c>
      <c r="AQ3502" s="23">
        <v>24</v>
      </c>
      <c r="AR3502" s="23">
        <v>5</v>
      </c>
      <c r="AS3502" s="23">
        <v>22</v>
      </c>
      <c r="AT3502" s="23">
        <v>2</v>
      </c>
      <c r="AU3502" s="14" t="str">
        <f>HYPERLINK("http://www.openstreetmap.org/?mlat=35.5489&amp;mlon=45.4573&amp;zoom=12#map=12/35.5489/45.4573","Maplink1")</f>
        <v>Maplink1</v>
      </c>
      <c r="AV3502" s="14" t="str">
        <f>HYPERLINK("https://www.google.iq/maps/search/+35.5489,45.4573/@35.5489,45.4573,14z?hl=en","Maplink2")</f>
        <v>Maplink2</v>
      </c>
      <c r="AW3502" s="14" t="str">
        <f>HYPERLINK("http://www.bing.com/maps/?lvl=14&amp;sty=h&amp;cp=35.5489~45.4573&amp;sp=point.35.5489_45.4573_Rozhlat","Maplink3")</f>
        <v>Maplink3</v>
      </c>
    </row>
    <row r="3503" spans="1:49" x14ac:dyDescent="0.25">
      <c r="A3503" s="21">
        <v>24819</v>
      </c>
      <c r="B3503" s="22" t="s">
        <v>24</v>
      </c>
      <c r="C3503" s="22" t="s">
        <v>6568</v>
      </c>
      <c r="D3503" s="22" t="s">
        <v>6773</v>
      </c>
      <c r="E3503" s="22" t="s">
        <v>6774</v>
      </c>
      <c r="F3503" s="22">
        <v>35.593290000000003</v>
      </c>
      <c r="G3503" s="22">
        <v>45.351239999999997</v>
      </c>
      <c r="H3503" s="21" t="s">
        <v>6283</v>
      </c>
      <c r="I3503" s="21" t="s">
        <v>6571</v>
      </c>
      <c r="J3503" s="21"/>
      <c r="K3503" s="24">
        <v>127</v>
      </c>
      <c r="L3503" s="24">
        <v>762</v>
      </c>
      <c r="M3503" s="23">
        <v>105</v>
      </c>
      <c r="N3503" s="23"/>
      <c r="O3503" s="23">
        <v>3</v>
      </c>
      <c r="P3503" s="23"/>
      <c r="Q3503" s="23"/>
      <c r="R3503" s="23"/>
      <c r="S3503" s="23"/>
      <c r="T3503" s="23"/>
      <c r="U3503" s="23"/>
      <c r="V3503" s="23"/>
      <c r="W3503" s="23"/>
      <c r="X3503" s="23"/>
      <c r="Y3503" s="23"/>
      <c r="Z3503" s="23"/>
      <c r="AA3503" s="23">
        <v>19</v>
      </c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>
        <v>127</v>
      </c>
      <c r="AL3503" s="23"/>
      <c r="AM3503" s="23"/>
      <c r="AN3503" s="23"/>
      <c r="AO3503" s="23">
        <v>48</v>
      </c>
      <c r="AP3503" s="23">
        <v>11</v>
      </c>
      <c r="AQ3503" s="23"/>
      <c r="AR3503" s="23">
        <v>66</v>
      </c>
      <c r="AS3503" s="23">
        <v>2</v>
      </c>
      <c r="AT3503" s="23"/>
      <c r="AU3503" s="14" t="str">
        <f>HYPERLINK("http://www.openstreetmap.org/?mlat=35.5933&amp;mlon=45.3512&amp;zoom=12#map=12/35.5933/45.3512","Maplink1")</f>
        <v>Maplink1</v>
      </c>
      <c r="AV3503" s="14" t="str">
        <f>HYPERLINK("https://www.google.iq/maps/search/+35.5933,45.3512/@35.5933,45.3512,14z?hl=en","Maplink2")</f>
        <v>Maplink2</v>
      </c>
      <c r="AW3503" s="14" t="str">
        <f>HYPERLINK("http://www.bing.com/maps/?lvl=14&amp;sty=h&amp;cp=35.5933~45.3512&amp;sp=point.35.5933_45.3512_Runaki City","Maplink3")</f>
        <v>Maplink3</v>
      </c>
    </row>
    <row r="3504" spans="1:49" x14ac:dyDescent="0.25">
      <c r="A3504" s="21">
        <v>21021</v>
      </c>
      <c r="B3504" s="22" t="s">
        <v>24</v>
      </c>
      <c r="C3504" s="22" t="s">
        <v>6568</v>
      </c>
      <c r="D3504" s="22" t="s">
        <v>6775</v>
      </c>
      <c r="E3504" s="22" t="s">
        <v>6776</v>
      </c>
      <c r="F3504" s="22">
        <v>35.55585</v>
      </c>
      <c r="G3504" s="22">
        <v>45.444760000000002</v>
      </c>
      <c r="H3504" s="21" t="s">
        <v>6283</v>
      </c>
      <c r="I3504" s="21" t="s">
        <v>6571</v>
      </c>
      <c r="J3504" s="21" t="s">
        <v>6777</v>
      </c>
      <c r="K3504" s="24">
        <v>99</v>
      </c>
      <c r="L3504" s="24">
        <v>594</v>
      </c>
      <c r="M3504" s="23">
        <v>61</v>
      </c>
      <c r="N3504" s="23"/>
      <c r="O3504" s="23">
        <v>2</v>
      </c>
      <c r="P3504" s="23"/>
      <c r="Q3504" s="23"/>
      <c r="R3504" s="23"/>
      <c r="S3504" s="23"/>
      <c r="T3504" s="23"/>
      <c r="U3504" s="23"/>
      <c r="V3504" s="23"/>
      <c r="W3504" s="23"/>
      <c r="X3504" s="23"/>
      <c r="Y3504" s="23">
        <v>32</v>
      </c>
      <c r="Z3504" s="23"/>
      <c r="AA3504" s="23">
        <v>4</v>
      </c>
      <c r="AB3504" s="23"/>
      <c r="AC3504" s="23"/>
      <c r="AD3504" s="23"/>
      <c r="AE3504" s="23"/>
      <c r="AF3504" s="23"/>
      <c r="AG3504" s="23">
        <v>29</v>
      </c>
      <c r="AH3504" s="23"/>
      <c r="AI3504" s="23"/>
      <c r="AJ3504" s="23">
        <v>14</v>
      </c>
      <c r="AK3504" s="23">
        <v>56</v>
      </c>
      <c r="AL3504" s="23"/>
      <c r="AM3504" s="23"/>
      <c r="AN3504" s="23"/>
      <c r="AO3504" s="23">
        <v>4</v>
      </c>
      <c r="AP3504" s="23">
        <v>4</v>
      </c>
      <c r="AQ3504" s="23">
        <v>32</v>
      </c>
      <c r="AR3504" s="23">
        <v>10</v>
      </c>
      <c r="AS3504" s="23">
        <v>40</v>
      </c>
      <c r="AT3504" s="23">
        <v>9</v>
      </c>
      <c r="AU3504" s="14" t="str">
        <f>HYPERLINK("http://www.openstreetmap.org/?mlat=35.5559&amp;mlon=45.4448&amp;zoom=12#map=12/35.5559/45.4448","Maplink1")</f>
        <v>Maplink1</v>
      </c>
      <c r="AV3504" s="14" t="str">
        <f>HYPERLINK("https://www.google.iq/maps/search/+35.5559,45.4448/@35.5559,45.4448,14z?hl=en","Maplink2")</f>
        <v>Maplink2</v>
      </c>
      <c r="AW3504" s="14" t="str">
        <f>HYPERLINK("http://www.bing.com/maps/?lvl=14&amp;sty=h&amp;cp=35.5559~45.4448&amp;sp=point.35.5559_45.4448_Sabun karan Qt","Maplink3")</f>
        <v>Maplink3</v>
      </c>
    </row>
    <row r="3505" spans="1:49" x14ac:dyDescent="0.25">
      <c r="A3505" s="21">
        <v>24816</v>
      </c>
      <c r="B3505" s="22" t="s">
        <v>24</v>
      </c>
      <c r="C3505" s="22" t="s">
        <v>6568</v>
      </c>
      <c r="D3505" s="22" t="s">
        <v>6778</v>
      </c>
      <c r="E3505" s="22" t="s">
        <v>6779</v>
      </c>
      <c r="F3505" s="22">
        <v>35.534950000000002</v>
      </c>
      <c r="G3505" s="22">
        <v>45.41422</v>
      </c>
      <c r="H3505" s="21" t="s">
        <v>6283</v>
      </c>
      <c r="I3505" s="21" t="s">
        <v>6571</v>
      </c>
      <c r="J3505" s="21"/>
      <c r="K3505" s="24">
        <v>158</v>
      </c>
      <c r="L3505" s="24">
        <v>948</v>
      </c>
      <c r="M3505" s="23">
        <v>74</v>
      </c>
      <c r="N3505" s="23"/>
      <c r="O3505" s="23">
        <v>54</v>
      </c>
      <c r="P3505" s="23"/>
      <c r="Q3505" s="23"/>
      <c r="R3505" s="23"/>
      <c r="S3505" s="23"/>
      <c r="T3505" s="23"/>
      <c r="U3505" s="23"/>
      <c r="V3505" s="23"/>
      <c r="W3505" s="23"/>
      <c r="X3505" s="23"/>
      <c r="Y3505" s="23">
        <v>17</v>
      </c>
      <c r="Z3505" s="23"/>
      <c r="AA3505" s="23">
        <v>13</v>
      </c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>
        <v>158</v>
      </c>
      <c r="AL3505" s="23"/>
      <c r="AM3505" s="23"/>
      <c r="AN3505" s="23"/>
      <c r="AO3505" s="23"/>
      <c r="AP3505" s="23">
        <v>31</v>
      </c>
      <c r="AQ3505" s="23">
        <v>8</v>
      </c>
      <c r="AR3505" s="23">
        <v>51</v>
      </c>
      <c r="AS3505" s="23">
        <v>28</v>
      </c>
      <c r="AT3505" s="23">
        <v>40</v>
      </c>
      <c r="AU3505" s="14" t="str">
        <f>HYPERLINK("http://www.openstreetmap.org/?mlat=35.535&amp;mlon=45.4142&amp;zoom=12#map=12/35.535/45.4142","Maplink1")</f>
        <v>Maplink1</v>
      </c>
      <c r="AV3505" s="14" t="str">
        <f>HYPERLINK("https://www.google.iq/maps/search/+35.535,45.4142/@35.535,45.4142,14z?hl=en","Maplink2")</f>
        <v>Maplink2</v>
      </c>
      <c r="AW3505" s="14" t="str">
        <f>HYPERLINK("http://www.bing.com/maps/?lvl=14&amp;sty=h&amp;cp=35.535~45.4142&amp;sp=point.35.535_45.4142_Saib City","Maplink3")</f>
        <v>Maplink3</v>
      </c>
    </row>
    <row r="3506" spans="1:49" x14ac:dyDescent="0.25">
      <c r="A3506" s="21">
        <v>4441</v>
      </c>
      <c r="B3506" s="22" t="s">
        <v>24</v>
      </c>
      <c r="C3506" s="22" t="s">
        <v>6568</v>
      </c>
      <c r="D3506" s="22" t="s">
        <v>6780</v>
      </c>
      <c r="E3506" s="22" t="s">
        <v>6781</v>
      </c>
      <c r="F3506" s="22">
        <v>35.581159999999997</v>
      </c>
      <c r="G3506" s="22">
        <v>45.383189999999999</v>
      </c>
      <c r="H3506" s="21" t="s">
        <v>6283</v>
      </c>
      <c r="I3506" s="21" t="s">
        <v>6571</v>
      </c>
      <c r="J3506" s="21" t="s">
        <v>6782</v>
      </c>
      <c r="K3506" s="24">
        <v>276</v>
      </c>
      <c r="L3506" s="24">
        <v>1656</v>
      </c>
      <c r="M3506" s="23">
        <v>268</v>
      </c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>
        <v>8</v>
      </c>
      <c r="Z3506" s="23"/>
      <c r="AA3506" s="23"/>
      <c r="AB3506" s="23"/>
      <c r="AC3506" s="23"/>
      <c r="AD3506" s="23"/>
      <c r="AE3506" s="23"/>
      <c r="AF3506" s="23"/>
      <c r="AG3506" s="23">
        <v>27</v>
      </c>
      <c r="AH3506" s="23"/>
      <c r="AI3506" s="23"/>
      <c r="AJ3506" s="23"/>
      <c r="AK3506" s="23">
        <v>249</v>
      </c>
      <c r="AL3506" s="23"/>
      <c r="AM3506" s="23"/>
      <c r="AN3506" s="23"/>
      <c r="AO3506" s="23">
        <v>28</v>
      </c>
      <c r="AP3506" s="23">
        <v>11</v>
      </c>
      <c r="AQ3506" s="23">
        <v>8</v>
      </c>
      <c r="AR3506" s="23">
        <v>68</v>
      </c>
      <c r="AS3506" s="23">
        <v>142</v>
      </c>
      <c r="AT3506" s="23">
        <v>19</v>
      </c>
      <c r="AU3506" s="14" t="str">
        <f>HYPERLINK("http://www.openstreetmap.org/?mlat=35.58&amp;mlon=45.38&amp;zoom=12#map=12/35.58/45.38","Maplink1")</f>
        <v>Maplink1</v>
      </c>
      <c r="AV3506" s="14" t="str">
        <f>HYPERLINK("https://www.google.iq/maps/search/+35.58,45.38/@35.58,45.38,14z?hl=en","Maplink2")</f>
        <v>Maplink2</v>
      </c>
      <c r="AW3506" s="14" t="str">
        <f>HYPERLINK("http://www.bing.com/maps/?lvl=14&amp;sty=h&amp;cp=35.58~45.38&amp;sp=point.35.58_45.38_Sarchnar","Maplink3")</f>
        <v>Maplink3</v>
      </c>
    </row>
    <row r="3507" spans="1:49" x14ac:dyDescent="0.25">
      <c r="A3507" s="21">
        <v>24258</v>
      </c>
      <c r="B3507" s="22" t="s">
        <v>24</v>
      </c>
      <c r="C3507" s="22" t="s">
        <v>6568</v>
      </c>
      <c r="D3507" s="22" t="s">
        <v>6783</v>
      </c>
      <c r="E3507" s="22" t="s">
        <v>6784</v>
      </c>
      <c r="F3507" s="22">
        <v>35.545659999999998</v>
      </c>
      <c r="G3507" s="22">
        <v>45.476289999999999</v>
      </c>
      <c r="H3507" s="21" t="s">
        <v>6283</v>
      </c>
      <c r="I3507" s="21" t="s">
        <v>6571</v>
      </c>
      <c r="J3507" s="21" t="s">
        <v>6785</v>
      </c>
      <c r="K3507" s="24">
        <v>48</v>
      </c>
      <c r="L3507" s="24">
        <v>288</v>
      </c>
      <c r="M3507" s="23">
        <v>36</v>
      </c>
      <c r="N3507" s="23"/>
      <c r="O3507" s="23">
        <v>5</v>
      </c>
      <c r="P3507" s="23"/>
      <c r="Q3507" s="23"/>
      <c r="R3507" s="23"/>
      <c r="S3507" s="23"/>
      <c r="T3507" s="23"/>
      <c r="U3507" s="23"/>
      <c r="V3507" s="23"/>
      <c r="W3507" s="23"/>
      <c r="X3507" s="23"/>
      <c r="Y3507" s="23">
        <v>2</v>
      </c>
      <c r="Z3507" s="23"/>
      <c r="AA3507" s="23">
        <v>5</v>
      </c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>
        <v>48</v>
      </c>
      <c r="AL3507" s="23"/>
      <c r="AM3507" s="23"/>
      <c r="AN3507" s="23"/>
      <c r="AO3507" s="23">
        <v>5</v>
      </c>
      <c r="AP3507" s="23">
        <v>19</v>
      </c>
      <c r="AQ3507" s="23"/>
      <c r="AR3507" s="23">
        <v>8</v>
      </c>
      <c r="AS3507" s="23">
        <v>12</v>
      </c>
      <c r="AT3507" s="23">
        <v>4</v>
      </c>
      <c r="AU3507" s="14" t="str">
        <f>HYPERLINK("http://www.openstreetmap.org/?mlat=35.5457&amp;mlon=45.4763&amp;zoom=12#map=12/35.5457/45.4763","Maplink1")</f>
        <v>Maplink1</v>
      </c>
      <c r="AV3507" s="14" t="str">
        <f>HYPERLINK("https://www.google.iq/maps/search/+35.5457,45.4763/@35.5457,45.4763,14z?hl=en","Maplink2")</f>
        <v>Maplink2</v>
      </c>
      <c r="AW3507" s="14" t="str">
        <f>HYPERLINK("http://www.bing.com/maps/?lvl=14&amp;sty=h&amp;cp=35.5457~45.4763&amp;sp=point.35.5457_45.4763_Sardam City","Maplink3")</f>
        <v>Maplink3</v>
      </c>
    </row>
    <row r="3508" spans="1:49" x14ac:dyDescent="0.25">
      <c r="A3508" s="21">
        <v>24961</v>
      </c>
      <c r="B3508" s="22" t="s">
        <v>24</v>
      </c>
      <c r="C3508" s="22" t="s">
        <v>6568</v>
      </c>
      <c r="D3508" s="22" t="s">
        <v>6786</v>
      </c>
      <c r="E3508" s="22" t="s">
        <v>6787</v>
      </c>
      <c r="F3508" s="22">
        <v>35.588760000000001</v>
      </c>
      <c r="G3508" s="22">
        <v>45.430779999999999</v>
      </c>
      <c r="H3508" s="21" t="s">
        <v>6283</v>
      </c>
      <c r="I3508" s="21" t="s">
        <v>6571</v>
      </c>
      <c r="J3508" s="21"/>
      <c r="K3508" s="24">
        <v>129</v>
      </c>
      <c r="L3508" s="24">
        <v>774</v>
      </c>
      <c r="M3508" s="23">
        <v>96</v>
      </c>
      <c r="N3508" s="23"/>
      <c r="O3508" s="23">
        <v>22</v>
      </c>
      <c r="P3508" s="23"/>
      <c r="Q3508" s="23"/>
      <c r="R3508" s="23"/>
      <c r="S3508" s="23"/>
      <c r="T3508" s="23"/>
      <c r="U3508" s="23"/>
      <c r="V3508" s="23"/>
      <c r="W3508" s="23"/>
      <c r="X3508" s="23"/>
      <c r="Y3508" s="23">
        <v>11</v>
      </c>
      <c r="Z3508" s="23"/>
      <c r="AA3508" s="23"/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>
        <v>129</v>
      </c>
      <c r="AL3508" s="23"/>
      <c r="AM3508" s="23"/>
      <c r="AN3508" s="23"/>
      <c r="AO3508" s="23">
        <v>5</v>
      </c>
      <c r="AP3508" s="23">
        <v>14</v>
      </c>
      <c r="AQ3508" s="23">
        <v>41</v>
      </c>
      <c r="AR3508" s="23">
        <v>40</v>
      </c>
      <c r="AS3508" s="23">
        <v>26</v>
      </c>
      <c r="AT3508" s="23">
        <v>3</v>
      </c>
      <c r="AU3508" s="14" t="str">
        <f>HYPERLINK("http://www.openstreetmap.org/?mlat=35.5888&amp;mlon=45.4308&amp;zoom=12#map=12/35.5888/45.4308","Maplink1")</f>
        <v>Maplink1</v>
      </c>
      <c r="AV3508" s="14" t="str">
        <f>HYPERLINK("https://www.google.iq/maps/search/+35.5888,45.4308/@35.5888,45.4308,14z?hl=en","Maplink2")</f>
        <v>Maplink2</v>
      </c>
      <c r="AW3508" s="14" t="str">
        <f>HYPERLINK("http://www.bing.com/maps/?lvl=14&amp;sty=h&amp;cp=35.5888~45.4308&amp;sp=point.35.5888_45.4308_Sardaw","Maplink3")</f>
        <v>Maplink3</v>
      </c>
    </row>
    <row r="3509" spans="1:49" x14ac:dyDescent="0.25">
      <c r="A3509" s="21">
        <v>25306</v>
      </c>
      <c r="B3509" s="22" t="s">
        <v>24</v>
      </c>
      <c r="C3509" s="22" t="s">
        <v>6568</v>
      </c>
      <c r="D3509" s="22" t="s">
        <v>6788</v>
      </c>
      <c r="E3509" s="22" t="s">
        <v>6789</v>
      </c>
      <c r="F3509" s="22">
        <v>35.550890000000003</v>
      </c>
      <c r="G3509" s="22">
        <v>45.44735</v>
      </c>
      <c r="H3509" s="21" t="s">
        <v>6283</v>
      </c>
      <c r="I3509" s="21" t="s">
        <v>6571</v>
      </c>
      <c r="J3509" s="21"/>
      <c r="K3509" s="24">
        <v>40</v>
      </c>
      <c r="L3509" s="24">
        <v>240</v>
      </c>
      <c r="M3509" s="23">
        <v>17</v>
      </c>
      <c r="N3509" s="23"/>
      <c r="O3509" s="23">
        <v>11</v>
      </c>
      <c r="P3509" s="23"/>
      <c r="Q3509" s="23"/>
      <c r="R3509" s="23">
        <v>2</v>
      </c>
      <c r="S3509" s="23"/>
      <c r="T3509" s="23"/>
      <c r="U3509" s="23"/>
      <c r="V3509" s="23"/>
      <c r="W3509" s="23"/>
      <c r="X3509" s="23"/>
      <c r="Y3509" s="23">
        <v>2</v>
      </c>
      <c r="Z3509" s="23"/>
      <c r="AA3509" s="23">
        <v>8</v>
      </c>
      <c r="AB3509" s="23"/>
      <c r="AC3509" s="23"/>
      <c r="AD3509" s="23"/>
      <c r="AE3509" s="23"/>
      <c r="AF3509" s="23"/>
      <c r="AG3509" s="23">
        <v>21</v>
      </c>
      <c r="AH3509" s="23"/>
      <c r="AI3509" s="23"/>
      <c r="AJ3509" s="23"/>
      <c r="AK3509" s="23">
        <v>19</v>
      </c>
      <c r="AL3509" s="23"/>
      <c r="AM3509" s="23"/>
      <c r="AN3509" s="23"/>
      <c r="AO3509" s="23">
        <v>5</v>
      </c>
      <c r="AP3509" s="23">
        <v>5</v>
      </c>
      <c r="AQ3509" s="23">
        <v>6</v>
      </c>
      <c r="AR3509" s="23">
        <v>15</v>
      </c>
      <c r="AS3509" s="23">
        <v>9</v>
      </c>
      <c r="AT3509" s="23"/>
      <c r="AU3509" s="14" t="str">
        <f>HYPERLINK("http://www.openstreetmap.org/?mlat=35.5509&amp;mlon=45.4474&amp;zoom=12#map=12/35.5509/45.4474","Maplink1")</f>
        <v>Maplink1</v>
      </c>
      <c r="AV3509" s="14" t="str">
        <f>HYPERLINK("https://www.google.iq/maps/search/+35.5509,45.4474/@35.5509,45.4474,14z?hl=en","Maplink2")</f>
        <v>Maplink2</v>
      </c>
      <c r="AW3509" s="14" t="str">
        <f>HYPERLINK("http://www.bing.com/maps/?lvl=14&amp;sty=h&amp;cp=35.5509~45.4474&amp;sp=point.35.5509_45.4474_Sarkarez","Maplink3")</f>
        <v>Maplink3</v>
      </c>
    </row>
    <row r="3510" spans="1:49" x14ac:dyDescent="0.25">
      <c r="A3510" s="21">
        <v>21023</v>
      </c>
      <c r="B3510" s="22" t="s">
        <v>24</v>
      </c>
      <c r="C3510" s="22" t="s">
        <v>6568</v>
      </c>
      <c r="D3510" s="22" t="s">
        <v>6790</v>
      </c>
      <c r="E3510" s="22" t="s">
        <v>6791</v>
      </c>
      <c r="F3510" s="22">
        <v>35.543979999999998</v>
      </c>
      <c r="G3510" s="22">
        <v>45.438409999999998</v>
      </c>
      <c r="H3510" s="21" t="s">
        <v>6283</v>
      </c>
      <c r="I3510" s="21" t="s">
        <v>6571</v>
      </c>
      <c r="J3510" s="21" t="s">
        <v>6792</v>
      </c>
      <c r="K3510" s="24">
        <v>104</v>
      </c>
      <c r="L3510" s="24">
        <v>624</v>
      </c>
      <c r="M3510" s="23">
        <v>95</v>
      </c>
      <c r="N3510" s="23"/>
      <c r="O3510" s="23">
        <v>2</v>
      </c>
      <c r="P3510" s="23"/>
      <c r="Q3510" s="23"/>
      <c r="R3510" s="23"/>
      <c r="S3510" s="23"/>
      <c r="T3510" s="23"/>
      <c r="U3510" s="23"/>
      <c r="V3510" s="23"/>
      <c r="W3510" s="23"/>
      <c r="X3510" s="23"/>
      <c r="Y3510" s="23"/>
      <c r="Z3510" s="23"/>
      <c r="AA3510" s="23">
        <v>7</v>
      </c>
      <c r="AB3510" s="23"/>
      <c r="AC3510" s="23"/>
      <c r="AD3510" s="23"/>
      <c r="AE3510" s="23"/>
      <c r="AF3510" s="23"/>
      <c r="AG3510" s="23">
        <v>18</v>
      </c>
      <c r="AH3510" s="23"/>
      <c r="AI3510" s="23"/>
      <c r="AJ3510" s="23"/>
      <c r="AK3510" s="23">
        <v>86</v>
      </c>
      <c r="AL3510" s="23"/>
      <c r="AM3510" s="23"/>
      <c r="AN3510" s="23"/>
      <c r="AO3510" s="23">
        <v>44</v>
      </c>
      <c r="AP3510" s="23">
        <v>5</v>
      </c>
      <c r="AQ3510" s="23">
        <v>3</v>
      </c>
      <c r="AR3510" s="23">
        <v>20</v>
      </c>
      <c r="AS3510" s="23">
        <v>32</v>
      </c>
      <c r="AT3510" s="23"/>
      <c r="AU3510" s="14" t="str">
        <f>HYPERLINK("http://www.openstreetmap.org/?mlat=35.544&amp;mlon=45.4384&amp;zoom=12#map=12/35.544/45.4384","Maplink1")</f>
        <v>Maplink1</v>
      </c>
      <c r="AV3510" s="14" t="str">
        <f>HYPERLINK("https://www.google.iq/maps/search/+35.544,45.4384/@35.544,45.4384,14z?hl=en","Maplink2")</f>
        <v>Maplink2</v>
      </c>
      <c r="AW3510" s="14" t="str">
        <f>HYPERLINK("http://www.bing.com/maps/?lvl=14&amp;sty=h&amp;cp=35.544~45.4384&amp;sp=point.35.544_45.4384_Sarshaqam","Maplink3")</f>
        <v>Maplink3</v>
      </c>
    </row>
    <row r="3511" spans="1:49" x14ac:dyDescent="0.25">
      <c r="A3511" s="21">
        <v>24255</v>
      </c>
      <c r="B3511" s="22" t="s">
        <v>24</v>
      </c>
      <c r="C3511" s="22" t="s">
        <v>6568</v>
      </c>
      <c r="D3511" s="22" t="s">
        <v>6793</v>
      </c>
      <c r="E3511" s="22" t="s">
        <v>6794</v>
      </c>
      <c r="F3511" s="22">
        <v>35.583419999999997</v>
      </c>
      <c r="G3511" s="22">
        <v>45.416710000000002</v>
      </c>
      <c r="H3511" s="21" t="s">
        <v>6283</v>
      </c>
      <c r="I3511" s="21" t="s">
        <v>6571</v>
      </c>
      <c r="J3511" s="21" t="s">
        <v>6795</v>
      </c>
      <c r="K3511" s="24">
        <v>196</v>
      </c>
      <c r="L3511" s="24">
        <v>1176</v>
      </c>
      <c r="M3511" s="23">
        <v>163</v>
      </c>
      <c r="N3511" s="23"/>
      <c r="O3511" s="23">
        <v>20</v>
      </c>
      <c r="P3511" s="23"/>
      <c r="Q3511" s="23"/>
      <c r="R3511" s="23">
        <v>3</v>
      </c>
      <c r="S3511" s="23"/>
      <c r="T3511" s="23"/>
      <c r="U3511" s="23"/>
      <c r="V3511" s="23"/>
      <c r="W3511" s="23"/>
      <c r="X3511" s="23"/>
      <c r="Y3511" s="23">
        <v>5</v>
      </c>
      <c r="Z3511" s="23"/>
      <c r="AA3511" s="23">
        <v>5</v>
      </c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>
        <v>196</v>
      </c>
      <c r="AL3511" s="23"/>
      <c r="AM3511" s="23"/>
      <c r="AN3511" s="23"/>
      <c r="AO3511" s="23">
        <v>103</v>
      </c>
      <c r="AP3511" s="23">
        <v>5</v>
      </c>
      <c r="AQ3511" s="23">
        <v>25</v>
      </c>
      <c r="AR3511" s="23">
        <v>37</v>
      </c>
      <c r="AS3511" s="23">
        <v>18</v>
      </c>
      <c r="AT3511" s="23">
        <v>8</v>
      </c>
      <c r="AU3511" s="14" t="str">
        <f>HYPERLINK("http://www.openstreetmap.org/?mlat=35.5834&amp;mlon=45.4167&amp;zoom=12#map=12/35.5834/45.4167","Maplink1")</f>
        <v>Maplink1</v>
      </c>
      <c r="AV3511" s="14" t="str">
        <f>HYPERLINK("https://www.google.iq/maps/search/+35.5834,45.4167/@35.5834,45.4167,14z?hl=en","Maplink2")</f>
        <v>Maplink2</v>
      </c>
      <c r="AW3511" s="14" t="str">
        <f>HYPERLINK("http://www.bing.com/maps/?lvl=14&amp;sty=h&amp;cp=35.5834~45.4167&amp;sp=point.35.5834_45.4167_Sarwary","Maplink3")</f>
        <v>Maplink3</v>
      </c>
    </row>
    <row r="3512" spans="1:49" x14ac:dyDescent="0.25">
      <c r="A3512" s="21">
        <v>24815</v>
      </c>
      <c r="B3512" s="22" t="s">
        <v>24</v>
      </c>
      <c r="C3512" s="22" t="s">
        <v>6568</v>
      </c>
      <c r="D3512" s="22" t="s">
        <v>6796</v>
      </c>
      <c r="E3512" s="22" t="s">
        <v>6797</v>
      </c>
      <c r="F3512" s="22">
        <v>35.608350000000002</v>
      </c>
      <c r="G3512" s="22">
        <v>45.34328</v>
      </c>
      <c r="H3512" s="21" t="s">
        <v>6283</v>
      </c>
      <c r="I3512" s="21" t="s">
        <v>6571</v>
      </c>
      <c r="J3512" s="21"/>
      <c r="K3512" s="24">
        <v>200</v>
      </c>
      <c r="L3512" s="24">
        <v>1200</v>
      </c>
      <c r="M3512" s="23">
        <v>153</v>
      </c>
      <c r="N3512" s="23"/>
      <c r="O3512" s="23">
        <v>9</v>
      </c>
      <c r="P3512" s="23"/>
      <c r="Q3512" s="23"/>
      <c r="R3512" s="23"/>
      <c r="S3512" s="23"/>
      <c r="T3512" s="23"/>
      <c r="U3512" s="23"/>
      <c r="V3512" s="23"/>
      <c r="W3512" s="23"/>
      <c r="X3512" s="23"/>
      <c r="Y3512" s="23">
        <v>10</v>
      </c>
      <c r="Z3512" s="23"/>
      <c r="AA3512" s="23">
        <v>28</v>
      </c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>
        <v>200</v>
      </c>
      <c r="AL3512" s="23"/>
      <c r="AM3512" s="23"/>
      <c r="AN3512" s="23"/>
      <c r="AO3512" s="23">
        <v>43</v>
      </c>
      <c r="AP3512" s="23">
        <v>56</v>
      </c>
      <c r="AQ3512" s="23"/>
      <c r="AR3512" s="23">
        <v>60</v>
      </c>
      <c r="AS3512" s="23">
        <v>41</v>
      </c>
      <c r="AT3512" s="23"/>
      <c r="AU3512" s="14" t="str">
        <f>HYPERLINK("http://www.openstreetmap.org/?mlat=35.6084&amp;mlon=45.3433&amp;zoom=12#map=12/35.6084/45.3433","Maplink1")</f>
        <v>Maplink1</v>
      </c>
      <c r="AV3512" s="14" t="str">
        <f>HYPERLINK("https://www.google.iq/maps/search/+35.6084,45.3433/@35.6084,45.3433,14z?hl=en","Maplink2")</f>
        <v>Maplink2</v>
      </c>
      <c r="AW3512" s="14" t="str">
        <f>HYPERLINK("http://www.bing.com/maps/?lvl=14&amp;sty=h&amp;cp=35.6084~45.3433&amp;sp=point.35.6084_45.3433_Saya City","Maplink3")</f>
        <v>Maplink3</v>
      </c>
    </row>
    <row r="3513" spans="1:49" x14ac:dyDescent="0.25">
      <c r="A3513" s="21">
        <v>4575</v>
      </c>
      <c r="B3513" s="22" t="s">
        <v>24</v>
      </c>
      <c r="C3513" s="22" t="s">
        <v>6568</v>
      </c>
      <c r="D3513" s="22" t="s">
        <v>9181</v>
      </c>
      <c r="E3513" s="22" t="s">
        <v>6744</v>
      </c>
      <c r="F3513" s="22">
        <v>35.315019999999997</v>
      </c>
      <c r="G3513" s="22">
        <v>45.335410000000003</v>
      </c>
      <c r="H3513" s="21" t="s">
        <v>6283</v>
      </c>
      <c r="I3513" s="21" t="s">
        <v>6571</v>
      </c>
      <c r="J3513" s="21" t="s">
        <v>6745</v>
      </c>
      <c r="K3513" s="24">
        <v>12</v>
      </c>
      <c r="L3513" s="24">
        <v>72</v>
      </c>
      <c r="M3513" s="23"/>
      <c r="N3513" s="23"/>
      <c r="O3513" s="23">
        <v>3</v>
      </c>
      <c r="P3513" s="23"/>
      <c r="Q3513" s="23"/>
      <c r="R3513" s="23">
        <v>3</v>
      </c>
      <c r="S3513" s="23"/>
      <c r="T3513" s="23"/>
      <c r="U3513" s="23"/>
      <c r="V3513" s="23"/>
      <c r="W3513" s="23"/>
      <c r="X3513" s="23"/>
      <c r="Y3513" s="23">
        <v>3</v>
      </c>
      <c r="Z3513" s="23"/>
      <c r="AA3513" s="23">
        <v>3</v>
      </c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>
        <v>12</v>
      </c>
      <c r="AL3513" s="23"/>
      <c r="AM3513" s="23"/>
      <c r="AN3513" s="23"/>
      <c r="AO3513" s="23">
        <v>4</v>
      </c>
      <c r="AP3513" s="23"/>
      <c r="AQ3513" s="23">
        <v>4</v>
      </c>
      <c r="AR3513" s="23">
        <v>1</v>
      </c>
      <c r="AS3513" s="23">
        <v>3</v>
      </c>
      <c r="AT3513" s="23"/>
      <c r="AU3513" s="14" t="str">
        <f>HYPERLINK("http://www.openstreetmap.org/?mlat=35.315&amp;mlon=45.3354&amp;zoom=12#map=12/35.315/45.3354","Maplink1")</f>
        <v>Maplink1</v>
      </c>
      <c r="AV3513" s="14" t="str">
        <f>HYPERLINK("https://www.google.iq/maps/search/+35.315,45.3354/@35.315,45.3354,14z?hl=en","Maplink2")</f>
        <v>Maplink2</v>
      </c>
      <c r="AW3513" s="14" t="str">
        <f>HYPERLINK("http://www.bing.com/maps/?lvl=14&amp;sty=h&amp;cp=35.315~45.3354&amp;sp=point.35.315_45.3354_Qaradagh-Sewsenan","Maplink3")</f>
        <v>Maplink3</v>
      </c>
    </row>
    <row r="3514" spans="1:49" x14ac:dyDescent="0.25">
      <c r="A3514" s="21">
        <v>24902</v>
      </c>
      <c r="B3514" s="22" t="s">
        <v>24</v>
      </c>
      <c r="C3514" s="22" t="s">
        <v>6568</v>
      </c>
      <c r="D3514" s="22" t="s">
        <v>6798</v>
      </c>
      <c r="E3514" s="22" t="s">
        <v>6799</v>
      </c>
      <c r="F3514" s="22">
        <v>35.56568</v>
      </c>
      <c r="G3514" s="22">
        <v>45.380110000000002</v>
      </c>
      <c r="H3514" s="21" t="s">
        <v>6283</v>
      </c>
      <c r="I3514" s="21" t="s">
        <v>6571</v>
      </c>
      <c r="J3514" s="21"/>
      <c r="K3514" s="24">
        <v>23</v>
      </c>
      <c r="L3514" s="24">
        <v>138</v>
      </c>
      <c r="M3514" s="23">
        <v>18</v>
      </c>
      <c r="N3514" s="23"/>
      <c r="O3514" s="23">
        <v>4</v>
      </c>
      <c r="P3514" s="23"/>
      <c r="Q3514" s="23"/>
      <c r="R3514" s="23">
        <v>1</v>
      </c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23</v>
      </c>
      <c r="AL3514" s="23"/>
      <c r="AM3514" s="23"/>
      <c r="AN3514" s="23"/>
      <c r="AO3514" s="23">
        <v>4</v>
      </c>
      <c r="AP3514" s="23">
        <v>3</v>
      </c>
      <c r="AQ3514" s="23">
        <v>1</v>
      </c>
      <c r="AR3514" s="23">
        <v>1</v>
      </c>
      <c r="AS3514" s="23">
        <v>10</v>
      </c>
      <c r="AT3514" s="23">
        <v>4</v>
      </c>
      <c r="AU3514" s="14" t="str">
        <f>HYPERLINK("http://www.openstreetmap.org/?mlat=35.5657&amp;mlon=45.3801&amp;zoom=12#map=12/35.5657/45.3801","Maplink1")</f>
        <v>Maplink1</v>
      </c>
      <c r="AV3514" s="14" t="str">
        <f>HYPERLINK("https://www.google.iq/maps/search/+35.5657,45.3801/@35.5657,45.3801,14z?hl=en","Maplink2")</f>
        <v>Maplink2</v>
      </c>
      <c r="AW3514" s="14" t="str">
        <f>HYPERLINK("http://www.bing.com/maps/?lvl=14&amp;sty=h&amp;cp=35.5657~45.3801&amp;sp=point.35.5657_45.3801_Shakraka","Maplink3")</f>
        <v>Maplink3</v>
      </c>
    </row>
    <row r="3515" spans="1:49" x14ac:dyDescent="0.25">
      <c r="A3515" s="21">
        <v>5800</v>
      </c>
      <c r="B3515" s="22" t="s">
        <v>24</v>
      </c>
      <c r="C3515" s="22" t="s">
        <v>6568</v>
      </c>
      <c r="D3515" s="22" t="s">
        <v>6801</v>
      </c>
      <c r="E3515" s="22" t="s">
        <v>6802</v>
      </c>
      <c r="F3515" s="22">
        <v>35.52102</v>
      </c>
      <c r="G3515" s="22">
        <v>45.420900000000003</v>
      </c>
      <c r="H3515" s="21" t="s">
        <v>6283</v>
      </c>
      <c r="I3515" s="21" t="s">
        <v>6571</v>
      </c>
      <c r="J3515" s="21" t="s">
        <v>6803</v>
      </c>
      <c r="K3515" s="24">
        <v>54</v>
      </c>
      <c r="L3515" s="24">
        <v>324</v>
      </c>
      <c r="M3515" s="23">
        <v>42</v>
      </c>
      <c r="N3515" s="23"/>
      <c r="O3515" s="23">
        <v>4</v>
      </c>
      <c r="P3515" s="23"/>
      <c r="Q3515" s="23"/>
      <c r="R3515" s="23">
        <v>1</v>
      </c>
      <c r="S3515" s="23"/>
      <c r="T3515" s="23"/>
      <c r="U3515" s="23"/>
      <c r="V3515" s="23"/>
      <c r="W3515" s="23"/>
      <c r="X3515" s="23"/>
      <c r="Y3515" s="23">
        <v>5</v>
      </c>
      <c r="Z3515" s="23"/>
      <c r="AA3515" s="23">
        <v>2</v>
      </c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>
        <v>54</v>
      </c>
      <c r="AL3515" s="23"/>
      <c r="AM3515" s="23"/>
      <c r="AN3515" s="23"/>
      <c r="AO3515" s="23">
        <v>4</v>
      </c>
      <c r="AP3515" s="23">
        <v>13</v>
      </c>
      <c r="AQ3515" s="23"/>
      <c r="AR3515" s="23">
        <v>18</v>
      </c>
      <c r="AS3515" s="23">
        <v>16</v>
      </c>
      <c r="AT3515" s="23">
        <v>3</v>
      </c>
      <c r="AU3515" s="14" t="str">
        <f>HYPERLINK("http://www.openstreetmap.org/?mlat=35.521&amp;mlon=45.4209&amp;zoom=12#map=12/35.521/45.4209","Maplink1")</f>
        <v>Maplink1</v>
      </c>
      <c r="AV3515" s="14" t="str">
        <f>HYPERLINK("https://www.google.iq/maps/search/+35.521,45.4209/@35.521,45.4209,14z?hl=en","Maplink2")</f>
        <v>Maplink2</v>
      </c>
      <c r="AW3515" s="14" t="str">
        <f>HYPERLINK("http://www.bing.com/maps/?lvl=14&amp;sty=h&amp;cp=35.521~45.4209&amp;sp=point.35.521_45.4209_Shekh Abbas","Maplink3")</f>
        <v>Maplink3</v>
      </c>
    </row>
    <row r="3516" spans="1:49" x14ac:dyDescent="0.25">
      <c r="A3516" s="21">
        <v>21284</v>
      </c>
      <c r="B3516" s="22" t="s">
        <v>24</v>
      </c>
      <c r="C3516" s="22" t="s">
        <v>6568</v>
      </c>
      <c r="D3516" s="22" t="s">
        <v>6804</v>
      </c>
      <c r="E3516" s="22" t="s">
        <v>6805</v>
      </c>
      <c r="F3516" s="22">
        <v>35.550989999999999</v>
      </c>
      <c r="G3516" s="22">
        <v>45.431310000000003</v>
      </c>
      <c r="H3516" s="21" t="s">
        <v>6283</v>
      </c>
      <c r="I3516" s="21" t="s">
        <v>6571</v>
      </c>
      <c r="J3516" s="21" t="s">
        <v>6806</v>
      </c>
      <c r="K3516" s="24">
        <v>48</v>
      </c>
      <c r="L3516" s="24">
        <v>288</v>
      </c>
      <c r="M3516" s="23">
        <v>27</v>
      </c>
      <c r="N3516" s="23">
        <v>3</v>
      </c>
      <c r="O3516" s="23">
        <v>7</v>
      </c>
      <c r="P3516" s="23"/>
      <c r="Q3516" s="23"/>
      <c r="R3516" s="23">
        <v>2</v>
      </c>
      <c r="S3516" s="23"/>
      <c r="T3516" s="23"/>
      <c r="U3516" s="23"/>
      <c r="V3516" s="23"/>
      <c r="W3516" s="23"/>
      <c r="X3516" s="23"/>
      <c r="Y3516" s="23">
        <v>9</v>
      </c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>
        <v>48</v>
      </c>
      <c r="AL3516" s="23"/>
      <c r="AM3516" s="23"/>
      <c r="AN3516" s="23"/>
      <c r="AO3516" s="23">
        <v>8</v>
      </c>
      <c r="AP3516" s="23">
        <v>9</v>
      </c>
      <c r="AQ3516" s="23">
        <v>7</v>
      </c>
      <c r="AR3516" s="23">
        <v>14</v>
      </c>
      <c r="AS3516" s="23">
        <v>5</v>
      </c>
      <c r="AT3516" s="23">
        <v>5</v>
      </c>
      <c r="AU3516" s="14" t="str">
        <f>HYPERLINK("http://www.openstreetmap.org/?mlat=35.551&amp;mlon=45.4313&amp;zoom=12#map=12/35.551/45.4313","Maplink1")</f>
        <v>Maplink1</v>
      </c>
      <c r="AV3516" s="14" t="str">
        <f>HYPERLINK("https://www.google.iq/maps/search/+35.551,45.4313/@35.551,45.4313,14z?hl=en","Maplink2")</f>
        <v>Maplink2</v>
      </c>
      <c r="AW3516" s="14" t="str">
        <f>HYPERLINK("http://www.bing.com/maps/?lvl=14&amp;sty=h&amp;cp=35.551~45.4313&amp;sp=point.35.551_45.4313_Shekh Muheden","Maplink3")</f>
        <v>Maplink3</v>
      </c>
    </row>
    <row r="3517" spans="1:49" x14ac:dyDescent="0.25">
      <c r="A3517" s="21">
        <v>25301</v>
      </c>
      <c r="B3517" s="22" t="s">
        <v>24</v>
      </c>
      <c r="C3517" s="22" t="s">
        <v>6568</v>
      </c>
      <c r="D3517" s="22" t="s">
        <v>6476</v>
      </c>
      <c r="E3517" s="22" t="s">
        <v>5293</v>
      </c>
      <c r="F3517" s="22">
        <v>35.575960000000002</v>
      </c>
      <c r="G3517" s="22">
        <v>45.433779999999999</v>
      </c>
      <c r="H3517" s="21" t="s">
        <v>6283</v>
      </c>
      <c r="I3517" s="21" t="s">
        <v>6571</v>
      </c>
      <c r="J3517" s="21"/>
      <c r="K3517" s="24">
        <v>85</v>
      </c>
      <c r="L3517" s="24">
        <v>510</v>
      </c>
      <c r="M3517" s="23">
        <v>80</v>
      </c>
      <c r="N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23"/>
      <c r="Y3517" s="23">
        <v>5</v>
      </c>
      <c r="Z3517" s="23"/>
      <c r="AA3517" s="23"/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>
        <v>85</v>
      </c>
      <c r="AL3517" s="23"/>
      <c r="AM3517" s="23"/>
      <c r="AN3517" s="23"/>
      <c r="AO3517" s="23">
        <v>26</v>
      </c>
      <c r="AP3517" s="23">
        <v>14</v>
      </c>
      <c r="AQ3517" s="23">
        <v>5</v>
      </c>
      <c r="AR3517" s="23">
        <v>27</v>
      </c>
      <c r="AS3517" s="23">
        <v>13</v>
      </c>
      <c r="AT3517" s="23"/>
      <c r="AU3517" s="14" t="str">
        <f>HYPERLINK("http://www.openstreetmap.org/?mlat=35.5616&amp;mlon=45.4395&amp;zoom=12#map=12/35.5616/45.4395","Maplink1")</f>
        <v>Maplink1</v>
      </c>
      <c r="AV3517" s="14" t="str">
        <f>HYPERLINK("https://www.google.iq/maps/search/+35.5616,45.4395/@35.5616,45.4395,14z?hl=en","Maplink2")</f>
        <v>Maplink2</v>
      </c>
      <c r="AW3517" s="14" t="str">
        <f>HYPERLINK("http://www.bing.com/maps/?lvl=14&amp;sty=h&amp;cp=35.5616~45.4395&amp;sp=point.35.5616_45.4395_Shikhan","Maplink3")</f>
        <v>Maplink3</v>
      </c>
    </row>
    <row r="3518" spans="1:49" x14ac:dyDescent="0.25">
      <c r="A3518" s="21">
        <v>24099</v>
      </c>
      <c r="B3518" s="22" t="s">
        <v>24</v>
      </c>
      <c r="C3518" s="22" t="s">
        <v>6568</v>
      </c>
      <c r="D3518" s="22" t="s">
        <v>6807</v>
      </c>
      <c r="E3518" s="22" t="s">
        <v>6808</v>
      </c>
      <c r="F3518" s="22">
        <v>35.579039999999999</v>
      </c>
      <c r="G3518" s="22">
        <v>45.33061</v>
      </c>
      <c r="H3518" s="21" t="s">
        <v>6283</v>
      </c>
      <c r="I3518" s="21" t="s">
        <v>6571</v>
      </c>
      <c r="J3518" s="21" t="s">
        <v>6809</v>
      </c>
      <c r="K3518" s="24">
        <v>48</v>
      </c>
      <c r="L3518" s="24">
        <v>288</v>
      </c>
      <c r="M3518" s="23">
        <v>38</v>
      </c>
      <c r="N3518" s="23">
        <v>1</v>
      </c>
      <c r="O3518" s="23">
        <v>6</v>
      </c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>
        <v>3</v>
      </c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>
        <v>48</v>
      </c>
      <c r="AL3518" s="23"/>
      <c r="AM3518" s="23"/>
      <c r="AN3518" s="23"/>
      <c r="AO3518" s="23">
        <v>18</v>
      </c>
      <c r="AP3518" s="23">
        <v>3</v>
      </c>
      <c r="AQ3518" s="23"/>
      <c r="AR3518" s="23">
        <v>21</v>
      </c>
      <c r="AS3518" s="23">
        <v>6</v>
      </c>
      <c r="AT3518" s="23"/>
      <c r="AU3518" s="14" t="str">
        <f>HYPERLINK("http://www.openstreetmap.org/?mlat=35.579&amp;mlon=45.3306&amp;zoom=12#map=12/35.579/45.3306","Maplink1")</f>
        <v>Maplink1</v>
      </c>
      <c r="AV3518" s="14" t="str">
        <f>HYPERLINK("https://www.google.iq/maps/search/+35.579,45.3306/@35.579,45.3306,14z?hl=en","Maplink2")</f>
        <v>Maplink2</v>
      </c>
      <c r="AW3518" s="14" t="str">
        <f>HYPERLINK("http://www.bing.com/maps/?lvl=14&amp;sty=h&amp;cp=35.579~45.3306&amp;sp=point.35.579_45.3306_Shniar City","Maplink3")</f>
        <v>Maplink3</v>
      </c>
    </row>
    <row r="3519" spans="1:49" x14ac:dyDescent="0.25">
      <c r="A3519" s="21">
        <v>25305</v>
      </c>
      <c r="B3519" s="22" t="s">
        <v>24</v>
      </c>
      <c r="C3519" s="22" t="s">
        <v>6568</v>
      </c>
      <c r="D3519" s="22" t="s">
        <v>6810</v>
      </c>
      <c r="E3519" s="22" t="s">
        <v>3690</v>
      </c>
      <c r="F3519" s="22">
        <v>35.543520000000001</v>
      </c>
      <c r="G3519" s="22">
        <v>45.424250000000001</v>
      </c>
      <c r="H3519" s="21" t="s">
        <v>6283</v>
      </c>
      <c r="I3519" s="21" t="s">
        <v>6571</v>
      </c>
      <c r="J3519" s="21"/>
      <c r="K3519" s="24">
        <v>63</v>
      </c>
      <c r="L3519" s="24">
        <v>378</v>
      </c>
      <c r="M3519" s="23">
        <v>44</v>
      </c>
      <c r="N3519" s="23"/>
      <c r="O3519" s="23">
        <v>10</v>
      </c>
      <c r="P3519" s="23"/>
      <c r="Q3519" s="23"/>
      <c r="R3519" s="23">
        <v>5</v>
      </c>
      <c r="S3519" s="23"/>
      <c r="T3519" s="23"/>
      <c r="U3519" s="23"/>
      <c r="V3519" s="23"/>
      <c r="W3519" s="23"/>
      <c r="X3519" s="23"/>
      <c r="Y3519" s="23"/>
      <c r="Z3519" s="23"/>
      <c r="AA3519" s="23">
        <v>4</v>
      </c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>
        <v>63</v>
      </c>
      <c r="AL3519" s="23"/>
      <c r="AM3519" s="23"/>
      <c r="AN3519" s="23"/>
      <c r="AO3519" s="23">
        <v>9</v>
      </c>
      <c r="AP3519" s="23">
        <v>9</v>
      </c>
      <c r="AQ3519" s="23"/>
      <c r="AR3519" s="23">
        <v>19</v>
      </c>
      <c r="AS3519" s="23">
        <v>17</v>
      </c>
      <c r="AT3519" s="23">
        <v>9</v>
      </c>
      <c r="AU3519" s="14" t="str">
        <f>HYPERLINK("http://www.openstreetmap.org/?mlat=35.5435&amp;mlon=45.4243&amp;zoom=12#map=12/35.5435/45.4243","Maplink1")</f>
        <v>Maplink1</v>
      </c>
      <c r="AV3519" s="14" t="str">
        <f>HYPERLINK("https://www.google.iq/maps/search/+35.5435,45.4243/@35.5435,45.4243,14z?hl=en","Maplink2")</f>
        <v>Maplink2</v>
      </c>
      <c r="AW3519" s="14" t="str">
        <f>HYPERLINK("http://www.bing.com/maps/?lvl=14&amp;sty=h&amp;cp=35.5435~45.4243&amp;sp=point.35.5435_45.4243_Sulaymaniya-Sharawani","Maplink3")</f>
        <v>Maplink3</v>
      </c>
    </row>
    <row r="3520" spans="1:49" x14ac:dyDescent="0.25">
      <c r="A3520" s="21">
        <v>29628</v>
      </c>
      <c r="B3520" s="22" t="s">
        <v>24</v>
      </c>
      <c r="C3520" s="22" t="s">
        <v>6568</v>
      </c>
      <c r="D3520" s="22" t="s">
        <v>9182</v>
      </c>
      <c r="E3520" s="22" t="s">
        <v>9183</v>
      </c>
      <c r="F3520" s="22">
        <v>35.538020000000003</v>
      </c>
      <c r="G3520" s="22">
        <v>45.434339999999999</v>
      </c>
      <c r="H3520" s="21" t="s">
        <v>6283</v>
      </c>
      <c r="I3520" s="21" t="s">
        <v>6571</v>
      </c>
      <c r="J3520" s="21"/>
      <c r="K3520" s="24">
        <v>122</v>
      </c>
      <c r="L3520" s="24">
        <v>732</v>
      </c>
      <c r="M3520" s="23">
        <v>60</v>
      </c>
      <c r="N3520" s="23"/>
      <c r="O3520" s="23">
        <v>20</v>
      </c>
      <c r="P3520" s="23"/>
      <c r="Q3520" s="23"/>
      <c r="R3520" s="23">
        <v>5</v>
      </c>
      <c r="S3520" s="23"/>
      <c r="T3520" s="23"/>
      <c r="U3520" s="23"/>
      <c r="V3520" s="23"/>
      <c r="W3520" s="23"/>
      <c r="X3520" s="23"/>
      <c r="Y3520" s="23">
        <v>10</v>
      </c>
      <c r="Z3520" s="23"/>
      <c r="AA3520" s="23">
        <v>27</v>
      </c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>
        <v>122</v>
      </c>
      <c r="AL3520" s="23"/>
      <c r="AM3520" s="23"/>
      <c r="AN3520" s="23"/>
      <c r="AO3520" s="23">
        <v>12</v>
      </c>
      <c r="AP3520" s="23">
        <v>37</v>
      </c>
      <c r="AQ3520" s="23">
        <v>23</v>
      </c>
      <c r="AR3520" s="23">
        <v>22</v>
      </c>
      <c r="AS3520" s="23">
        <v>16</v>
      </c>
      <c r="AT3520" s="23">
        <v>12</v>
      </c>
      <c r="AU3520" s="14" t="str">
        <f>HYPERLINK("http://www.openstreetmap.org/?mlat=35.538&amp;mlon=45.4343&amp;zoom=12#map=12/35.538/45.4343","Maplink1")</f>
        <v>Maplink1</v>
      </c>
      <c r="AV3520" s="14" t="str">
        <f>HYPERLINK("https://www.google.iq/maps/search/+35.538,45.4343/@35.538,45.4343,14z?hl=en","Maplink2")</f>
        <v>Maplink2</v>
      </c>
      <c r="AW3520" s="14" t="str">
        <f>HYPERLINK("http://www.bing.com/maps/?lvl=14&amp;sty=h&amp;cp=35.538~45.4343&amp;sp=point.35.538_45.4343","Maplink3")</f>
        <v>Maplink3</v>
      </c>
    </row>
    <row r="3521" spans="1:49" x14ac:dyDescent="0.25">
      <c r="A3521" s="21">
        <v>5809</v>
      </c>
      <c r="B3521" s="22" t="s">
        <v>24</v>
      </c>
      <c r="C3521" s="22" t="s">
        <v>6568</v>
      </c>
      <c r="D3521" s="22" t="s">
        <v>6811</v>
      </c>
      <c r="E3521" s="22" t="s">
        <v>6812</v>
      </c>
      <c r="F3521" s="22">
        <v>35.593150000000001</v>
      </c>
      <c r="G3521" s="22">
        <v>45.224510000000002</v>
      </c>
      <c r="H3521" s="21" t="s">
        <v>6283</v>
      </c>
      <c r="I3521" s="21" t="s">
        <v>6571</v>
      </c>
      <c r="J3521" s="21" t="s">
        <v>6813</v>
      </c>
      <c r="K3521" s="24">
        <v>374</v>
      </c>
      <c r="L3521" s="24">
        <v>2244</v>
      </c>
      <c r="M3521" s="23">
        <v>141</v>
      </c>
      <c r="N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23"/>
      <c r="Y3521" s="23">
        <v>225</v>
      </c>
      <c r="Z3521" s="23"/>
      <c r="AA3521" s="23">
        <v>8</v>
      </c>
      <c r="AB3521" s="23"/>
      <c r="AC3521" s="23"/>
      <c r="AD3521" s="23"/>
      <c r="AE3521" s="23"/>
      <c r="AF3521" s="23"/>
      <c r="AG3521" s="23"/>
      <c r="AH3521" s="23">
        <v>41</v>
      </c>
      <c r="AI3521" s="23"/>
      <c r="AJ3521" s="23"/>
      <c r="AK3521" s="23">
        <v>333</v>
      </c>
      <c r="AL3521" s="23"/>
      <c r="AM3521" s="23"/>
      <c r="AN3521" s="23"/>
      <c r="AO3521" s="23">
        <v>40</v>
      </c>
      <c r="AP3521" s="23">
        <v>36</v>
      </c>
      <c r="AQ3521" s="23">
        <v>239</v>
      </c>
      <c r="AR3521" s="23">
        <v>25</v>
      </c>
      <c r="AS3521" s="23">
        <v>20</v>
      </c>
      <c r="AT3521" s="23">
        <v>14</v>
      </c>
      <c r="AU3521" s="14" t="str">
        <f>HYPERLINK("http://www.openstreetmap.org/?mlat=35.59&amp;mlon=45.22&amp;zoom=12#map=12/35.59/45.22","Maplink1")</f>
        <v>Maplink1</v>
      </c>
      <c r="AV3521" s="14" t="str">
        <f>HYPERLINK("https://www.google.iq/maps/search/+35.59,45.22/@35.59,45.22,14z?hl=en","Maplink2")</f>
        <v>Maplink2</v>
      </c>
      <c r="AW3521" s="14" t="str">
        <f>HYPERLINK("http://www.bing.com/maps/?lvl=14&amp;sty=h&amp;cp=35.59~45.22&amp;sp=point.35.59_45.22_Tasluja","Maplink3")</f>
        <v>Maplink3</v>
      </c>
    </row>
    <row r="3522" spans="1:49" x14ac:dyDescent="0.25">
      <c r="A3522" s="21">
        <v>25795</v>
      </c>
      <c r="B3522" s="22" t="s">
        <v>24</v>
      </c>
      <c r="C3522" s="22" t="s">
        <v>6568</v>
      </c>
      <c r="D3522" s="22" t="s">
        <v>6814</v>
      </c>
      <c r="E3522" s="22" t="s">
        <v>6815</v>
      </c>
      <c r="F3522" s="22">
        <v>35.665430000000001</v>
      </c>
      <c r="G3522" s="22">
        <v>45.399949999999997</v>
      </c>
      <c r="H3522" s="21" t="s">
        <v>6283</v>
      </c>
      <c r="I3522" s="21" t="s">
        <v>6571</v>
      </c>
      <c r="J3522" s="21"/>
      <c r="K3522" s="24">
        <v>17</v>
      </c>
      <c r="L3522" s="24">
        <v>102</v>
      </c>
      <c r="M3522" s="23">
        <v>2</v>
      </c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>
        <v>15</v>
      </c>
      <c r="Z3522" s="23"/>
      <c r="AA3522" s="23"/>
      <c r="AB3522" s="23"/>
      <c r="AC3522" s="23"/>
      <c r="AD3522" s="23"/>
      <c r="AE3522" s="23"/>
      <c r="AF3522" s="23"/>
      <c r="AG3522" s="23"/>
      <c r="AH3522" s="23">
        <v>7</v>
      </c>
      <c r="AI3522" s="23"/>
      <c r="AJ3522" s="23"/>
      <c r="AK3522" s="23">
        <v>5</v>
      </c>
      <c r="AL3522" s="23"/>
      <c r="AM3522" s="23">
        <v>5</v>
      </c>
      <c r="AN3522" s="23"/>
      <c r="AO3522" s="23"/>
      <c r="AP3522" s="23"/>
      <c r="AQ3522" s="23">
        <v>15</v>
      </c>
      <c r="AR3522" s="23"/>
      <c r="AS3522" s="23">
        <v>2</v>
      </c>
      <c r="AT3522" s="23"/>
      <c r="AU3522" s="14" t="str">
        <f>HYPERLINK("http://www.openstreetmap.org/?mlat=35.6654&amp;mlon=45.3999&amp;zoom=12#map=12/35.6654/45.3999","Maplink1")</f>
        <v>Maplink1</v>
      </c>
      <c r="AV3522" s="14" t="str">
        <f>HYPERLINK("https://www.google.iq/maps/search/+35.6654,45.3999/@35.6654,45.3999,14z?hl=en","Maplink2")</f>
        <v>Maplink2</v>
      </c>
      <c r="AW3522" s="14" t="str">
        <f>HYPERLINK("http://www.bing.com/maps/?lvl=14&amp;sty=h&amp;cp=35.6654~45.3999&amp;sp=point.35.6654_45.3999_Toospy","Maplink3")</f>
        <v>Maplink3</v>
      </c>
    </row>
    <row r="3523" spans="1:49" x14ac:dyDescent="0.25">
      <c r="A3523" s="21">
        <v>21029</v>
      </c>
      <c r="B3523" s="22" t="s">
        <v>24</v>
      </c>
      <c r="C3523" s="22" t="s">
        <v>6568</v>
      </c>
      <c r="D3523" s="22" t="s">
        <v>6816</v>
      </c>
      <c r="E3523" s="22" t="s">
        <v>6817</v>
      </c>
      <c r="F3523" s="22">
        <v>35.565689999999996</v>
      </c>
      <c r="G3523" s="22">
        <v>45.456249999999997</v>
      </c>
      <c r="H3523" s="21" t="s">
        <v>6283</v>
      </c>
      <c r="I3523" s="21" t="s">
        <v>6571</v>
      </c>
      <c r="J3523" s="21" t="s">
        <v>6818</v>
      </c>
      <c r="K3523" s="24">
        <v>67</v>
      </c>
      <c r="L3523" s="24">
        <v>402</v>
      </c>
      <c r="M3523" s="23">
        <v>57</v>
      </c>
      <c r="N3523" s="23"/>
      <c r="O3523" s="23">
        <v>4</v>
      </c>
      <c r="P3523" s="23"/>
      <c r="Q3523" s="23"/>
      <c r="R3523" s="23">
        <v>1</v>
      </c>
      <c r="S3523" s="23"/>
      <c r="T3523" s="23"/>
      <c r="U3523" s="23"/>
      <c r="V3523" s="23"/>
      <c r="W3523" s="23"/>
      <c r="X3523" s="23"/>
      <c r="Y3523" s="23"/>
      <c r="Z3523" s="23"/>
      <c r="AA3523" s="23">
        <v>5</v>
      </c>
      <c r="AB3523" s="23"/>
      <c r="AC3523" s="23"/>
      <c r="AD3523" s="23"/>
      <c r="AE3523" s="23"/>
      <c r="AF3523" s="23"/>
      <c r="AG3523" s="23">
        <v>17</v>
      </c>
      <c r="AH3523" s="23"/>
      <c r="AI3523" s="23"/>
      <c r="AJ3523" s="23"/>
      <c r="AK3523" s="23">
        <v>50</v>
      </c>
      <c r="AL3523" s="23"/>
      <c r="AM3523" s="23"/>
      <c r="AN3523" s="23"/>
      <c r="AO3523" s="23">
        <v>26</v>
      </c>
      <c r="AP3523" s="23">
        <v>7</v>
      </c>
      <c r="AQ3523" s="23">
        <v>2</v>
      </c>
      <c r="AR3523" s="23">
        <v>15</v>
      </c>
      <c r="AS3523" s="23">
        <v>16</v>
      </c>
      <c r="AT3523" s="23">
        <v>1</v>
      </c>
      <c r="AU3523" s="14" t="str">
        <f>HYPERLINK("http://www.openstreetmap.org/?mlat=35.5657&amp;mlon=45.4562&amp;zoom=12#map=12/35.5657/45.4562","Maplink1")</f>
        <v>Maplink1</v>
      </c>
      <c r="AV3523" s="14" t="str">
        <f>HYPERLINK("https://www.google.iq/maps/search/+35.5657,45.4562/@35.5657,45.4562,14z?hl=en","Maplink2")</f>
        <v>Maplink2</v>
      </c>
      <c r="AW3523" s="14" t="str">
        <f>HYPERLINK("http://www.bing.com/maps/?lvl=14&amp;sty=h&amp;cp=35.5657~45.4562&amp;sp=point.35.5657_45.4562_Toy malik","Maplink3")</f>
        <v>Maplink3</v>
      </c>
    </row>
    <row r="3524" spans="1:49" x14ac:dyDescent="0.25">
      <c r="A3524" s="21">
        <v>25523</v>
      </c>
      <c r="B3524" s="22" t="s">
        <v>24</v>
      </c>
      <c r="C3524" s="22" t="s">
        <v>6568</v>
      </c>
      <c r="D3524" s="22" t="s">
        <v>6819</v>
      </c>
      <c r="E3524" s="22" t="s">
        <v>6820</v>
      </c>
      <c r="F3524" s="22">
        <v>35.426209999999998</v>
      </c>
      <c r="G3524" s="22">
        <v>45.447409999999998</v>
      </c>
      <c r="H3524" s="21" t="s">
        <v>6283</v>
      </c>
      <c r="I3524" s="21" t="s">
        <v>6571</v>
      </c>
      <c r="J3524" s="21"/>
      <c r="K3524" s="24">
        <v>37</v>
      </c>
      <c r="L3524" s="24">
        <v>222</v>
      </c>
      <c r="M3524" s="23">
        <v>15</v>
      </c>
      <c r="N3524" s="23">
        <v>6</v>
      </c>
      <c r="O3524" s="23">
        <v>6</v>
      </c>
      <c r="P3524" s="23"/>
      <c r="Q3524" s="23"/>
      <c r="R3524" s="23">
        <v>5</v>
      </c>
      <c r="S3524" s="23"/>
      <c r="T3524" s="23"/>
      <c r="U3524" s="23"/>
      <c r="V3524" s="23"/>
      <c r="W3524" s="23"/>
      <c r="X3524" s="23"/>
      <c r="Y3524" s="23">
        <v>5</v>
      </c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>
        <v>37</v>
      </c>
      <c r="AL3524" s="23"/>
      <c r="AM3524" s="23"/>
      <c r="AN3524" s="23"/>
      <c r="AO3524" s="23">
        <v>4</v>
      </c>
      <c r="AP3524" s="23">
        <v>9</v>
      </c>
      <c r="AQ3524" s="23">
        <v>12</v>
      </c>
      <c r="AR3524" s="23">
        <v>8</v>
      </c>
      <c r="AS3524" s="23">
        <v>4</v>
      </c>
      <c r="AT3524" s="23"/>
      <c r="AU3524" s="14" t="str">
        <f>HYPERLINK("http://www.openstreetmap.org/?mlat=35.4262&amp;mlon=45.4474&amp;zoom=12#map=12/35.4262/45.4474","Maplink1")</f>
        <v>Maplink1</v>
      </c>
      <c r="AV3524" s="14" t="str">
        <f>HYPERLINK("https://www.google.iq/maps/search/+35.4262,45.4474/@35.4262,45.4474,14z?hl=en","Maplink2")</f>
        <v>Maplink2</v>
      </c>
      <c r="AW3524" s="14" t="str">
        <f>HYPERLINK("http://www.bing.com/maps/?lvl=14&amp;sty=h&amp;cp=35.4262~45.4474&amp;sp=point.35.4262_45.4474_Village 120","Maplink3")</f>
        <v>Maplink3</v>
      </c>
    </row>
    <row r="3525" spans="1:49" x14ac:dyDescent="0.25">
      <c r="A3525" s="21">
        <v>5930</v>
      </c>
      <c r="B3525" s="22" t="s">
        <v>24</v>
      </c>
      <c r="C3525" s="22" t="s">
        <v>6568</v>
      </c>
      <c r="D3525" s="22" t="s">
        <v>6821</v>
      </c>
      <c r="E3525" s="22" t="s">
        <v>6822</v>
      </c>
      <c r="F3525" s="22">
        <v>35.53387</v>
      </c>
      <c r="G3525" s="22">
        <v>45.428190000000001</v>
      </c>
      <c r="H3525" s="21" t="s">
        <v>6283</v>
      </c>
      <c r="I3525" s="21" t="s">
        <v>6571</v>
      </c>
      <c r="J3525" s="21" t="s">
        <v>6823</v>
      </c>
      <c r="K3525" s="24">
        <v>236</v>
      </c>
      <c r="L3525" s="24">
        <v>1416</v>
      </c>
      <c r="M3525" s="23">
        <v>136</v>
      </c>
      <c r="N3525" s="23">
        <v>13</v>
      </c>
      <c r="O3525" s="23">
        <v>36</v>
      </c>
      <c r="P3525" s="23"/>
      <c r="Q3525" s="23"/>
      <c r="R3525" s="23"/>
      <c r="S3525" s="23"/>
      <c r="T3525" s="23"/>
      <c r="U3525" s="23"/>
      <c r="V3525" s="23"/>
      <c r="W3525" s="23"/>
      <c r="X3525" s="23"/>
      <c r="Y3525" s="23">
        <v>26</v>
      </c>
      <c r="Z3525" s="23"/>
      <c r="AA3525" s="23">
        <v>25</v>
      </c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236</v>
      </c>
      <c r="AL3525" s="23"/>
      <c r="AM3525" s="23"/>
      <c r="AN3525" s="23"/>
      <c r="AO3525" s="23">
        <v>8</v>
      </c>
      <c r="AP3525" s="23">
        <v>33</v>
      </c>
      <c r="AQ3525" s="23">
        <v>61</v>
      </c>
      <c r="AR3525" s="23">
        <v>104</v>
      </c>
      <c r="AS3525" s="23">
        <v>23</v>
      </c>
      <c r="AT3525" s="23">
        <v>7</v>
      </c>
      <c r="AU3525" s="14" t="str">
        <f>HYPERLINK("http://www.openstreetmap.org/?mlat=35.5339&amp;mlon=45.4282&amp;zoom=12#map=12/35.5339/45.4282","Maplink1")</f>
        <v>Maplink1</v>
      </c>
      <c r="AV3525" s="14" t="str">
        <f>HYPERLINK("https://www.google.iq/maps/search/+35.5339,45.4282/@35.5339,45.4282,14z?hl=en","Maplink2")</f>
        <v>Maplink2</v>
      </c>
      <c r="AW3525" s="14" t="str">
        <f>HYPERLINK("http://www.bing.com/maps/?lvl=14&amp;sty=h&amp;cp=35.5339~45.4282&amp;sp=point.35.5339_45.4282_Wluba","Maplink3")</f>
        <v>Maplink3</v>
      </c>
    </row>
    <row r="3526" spans="1:49" x14ac:dyDescent="0.25">
      <c r="A3526" s="21">
        <v>5813</v>
      </c>
      <c r="B3526" s="22" t="s">
        <v>24</v>
      </c>
      <c r="C3526" s="22" t="s">
        <v>6568</v>
      </c>
      <c r="D3526" s="22" t="s">
        <v>6824</v>
      </c>
      <c r="E3526" s="22" t="s">
        <v>6825</v>
      </c>
      <c r="F3526" s="22">
        <v>35.575090000000003</v>
      </c>
      <c r="G3526" s="22">
        <v>45.411940000000001</v>
      </c>
      <c r="H3526" s="21" t="s">
        <v>6283</v>
      </c>
      <c r="I3526" s="21" t="s">
        <v>6571</v>
      </c>
      <c r="J3526" s="21" t="s">
        <v>6826</v>
      </c>
      <c r="K3526" s="24">
        <v>153</v>
      </c>
      <c r="L3526" s="24">
        <v>918</v>
      </c>
      <c r="M3526" s="23">
        <v>95</v>
      </c>
      <c r="N3526" s="23"/>
      <c r="O3526" s="23">
        <v>45</v>
      </c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>
        <v>13</v>
      </c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>
        <v>153</v>
      </c>
      <c r="AL3526" s="23"/>
      <c r="AM3526" s="23"/>
      <c r="AN3526" s="23"/>
      <c r="AO3526" s="23">
        <v>26</v>
      </c>
      <c r="AP3526" s="23">
        <v>13</v>
      </c>
      <c r="AQ3526" s="23"/>
      <c r="AR3526" s="23">
        <v>30</v>
      </c>
      <c r="AS3526" s="23">
        <v>56</v>
      </c>
      <c r="AT3526" s="23">
        <v>28</v>
      </c>
      <c r="AU3526" s="14" t="str">
        <f>HYPERLINK("http://www.openstreetmap.org/?mlat=35.5751&amp;mlon=45.4119&amp;zoom=12#map=12/35.5751/45.4119","Maplink1")</f>
        <v>Maplink1</v>
      </c>
      <c r="AV3526" s="14" t="str">
        <f>HYPERLINK("https://www.google.iq/maps/search/+35.5751,45.4119/@35.5751,45.4119,14z?hl=en","Maplink2")</f>
        <v>Maplink2</v>
      </c>
      <c r="AW3526" s="14" t="str">
        <f>HYPERLINK("http://www.bing.com/maps/?lvl=14&amp;sty=h&amp;cp=35.5751~45.4119&amp;sp=point.35.5751_45.4119_Zargata","Maplink3")</f>
        <v>Maplink3</v>
      </c>
    </row>
    <row r="3527" spans="1:49" x14ac:dyDescent="0.25">
      <c r="A3527" s="21">
        <v>25076</v>
      </c>
      <c r="B3527" s="22" t="s">
        <v>24</v>
      </c>
      <c r="C3527" s="22" t="s">
        <v>6568</v>
      </c>
      <c r="D3527" s="22" t="s">
        <v>6827</v>
      </c>
      <c r="E3527" s="22" t="s">
        <v>6828</v>
      </c>
      <c r="F3527" s="22">
        <v>35.588160000000002</v>
      </c>
      <c r="G3527" s="22">
        <v>45.419969999999999</v>
      </c>
      <c r="H3527" s="21" t="s">
        <v>6283</v>
      </c>
      <c r="I3527" s="21" t="s">
        <v>6571</v>
      </c>
      <c r="J3527" s="21"/>
      <c r="K3527" s="24">
        <v>187</v>
      </c>
      <c r="L3527" s="24">
        <v>1122</v>
      </c>
      <c r="M3527" s="23">
        <v>180</v>
      </c>
      <c r="N3527" s="23">
        <v>3</v>
      </c>
      <c r="O3527" s="23">
        <v>4</v>
      </c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>
        <v>187</v>
      </c>
      <c r="AL3527" s="23"/>
      <c r="AM3527" s="23"/>
      <c r="AN3527" s="23"/>
      <c r="AO3527" s="23">
        <v>30</v>
      </c>
      <c r="AP3527" s="23">
        <v>48</v>
      </c>
      <c r="AQ3527" s="23">
        <v>20</v>
      </c>
      <c r="AR3527" s="23">
        <v>27</v>
      </c>
      <c r="AS3527" s="23">
        <v>58</v>
      </c>
      <c r="AT3527" s="23">
        <v>4</v>
      </c>
      <c r="AU3527" s="14" t="str">
        <f>HYPERLINK("http://www.openstreetmap.org/?mlat=35.5882&amp;mlon=45.42&amp;zoom=12#map=12/35.5882/45.42","Maplink1")</f>
        <v>Maplink1</v>
      </c>
      <c r="AV3527" s="14" t="str">
        <f>HYPERLINK("https://www.google.iq/maps/search/+35.5882,45.42/@35.5882,45.42,14z?hl=en","Maplink2")</f>
        <v>Maplink2</v>
      </c>
      <c r="AW3527" s="14" t="str">
        <f>HYPERLINK("http://www.bing.com/maps/?lvl=14&amp;sty=h&amp;cp=35.5882~45.42&amp;sp=point.35.5882_45.42_Zargata Kon","Maplink3")</f>
        <v>Maplink3</v>
      </c>
    </row>
    <row r="3528" spans="1:49" x14ac:dyDescent="0.25">
      <c r="A3528" s="21">
        <v>6144</v>
      </c>
      <c r="B3528" s="22" t="s">
        <v>24</v>
      </c>
      <c r="C3528" s="22" t="s">
        <v>6568</v>
      </c>
      <c r="D3528" s="22" t="s">
        <v>6829</v>
      </c>
      <c r="E3528" s="22" t="s">
        <v>6830</v>
      </c>
      <c r="F3528" s="22">
        <v>35.532409999999999</v>
      </c>
      <c r="G3528" s="22">
        <v>45.43721</v>
      </c>
      <c r="H3528" s="21" t="s">
        <v>6283</v>
      </c>
      <c r="I3528" s="21" t="s">
        <v>6571</v>
      </c>
      <c r="J3528" s="21" t="s">
        <v>6831</v>
      </c>
      <c r="K3528" s="24">
        <v>91</v>
      </c>
      <c r="L3528" s="24">
        <v>546</v>
      </c>
      <c r="M3528" s="23">
        <v>40</v>
      </c>
      <c r="N3528" s="23"/>
      <c r="O3528" s="23">
        <v>8</v>
      </c>
      <c r="P3528" s="23"/>
      <c r="Q3528" s="23"/>
      <c r="R3528" s="23">
        <v>10</v>
      </c>
      <c r="S3528" s="23"/>
      <c r="T3528" s="23"/>
      <c r="U3528" s="23"/>
      <c r="V3528" s="23"/>
      <c r="W3528" s="23"/>
      <c r="X3528" s="23"/>
      <c r="Y3528" s="23">
        <v>21</v>
      </c>
      <c r="Z3528" s="23"/>
      <c r="AA3528" s="23">
        <v>12</v>
      </c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>
        <v>91</v>
      </c>
      <c r="AL3528" s="23"/>
      <c r="AM3528" s="23"/>
      <c r="AN3528" s="23"/>
      <c r="AO3528" s="23">
        <v>7</v>
      </c>
      <c r="AP3528" s="23">
        <v>22</v>
      </c>
      <c r="AQ3528" s="23">
        <v>5</v>
      </c>
      <c r="AR3528" s="23">
        <v>33</v>
      </c>
      <c r="AS3528" s="23">
        <v>22</v>
      </c>
      <c r="AT3528" s="23">
        <v>2</v>
      </c>
      <c r="AU3528" s="14" t="str">
        <f>HYPERLINK("http://www.openstreetmap.org/?mlat=35.5324&amp;mlon=45.4372&amp;zoom=12#map=12/35.5324/45.4372","Maplink1")</f>
        <v>Maplink1</v>
      </c>
      <c r="AV3528" s="14" t="str">
        <f>HYPERLINK("https://www.google.iq/maps/search/+35.5324,45.4372/@35.5324,45.4372,14z?hl=en","Maplink2")</f>
        <v>Maplink2</v>
      </c>
      <c r="AW3528" s="14" t="str">
        <f>HYPERLINK("http://www.bing.com/maps/?lvl=14&amp;sty=h&amp;cp=35.5324~45.4372&amp;sp=point.35.5324_45.4372_Zerinok","Maplink3")</f>
        <v>Maplink3</v>
      </c>
    </row>
    <row r="3529" spans="1:49" x14ac:dyDescent="0.25">
      <c r="A3529" s="21">
        <v>22177</v>
      </c>
      <c r="B3529" s="22" t="s">
        <v>25</v>
      </c>
      <c r="C3529" s="22" t="s">
        <v>6832</v>
      </c>
      <c r="D3529" s="22" t="s">
        <v>6833</v>
      </c>
      <c r="E3529" s="22" t="s">
        <v>6834</v>
      </c>
      <c r="F3529" s="22">
        <v>30.970316</v>
      </c>
      <c r="G3529" s="22">
        <v>46.724671000000001</v>
      </c>
      <c r="H3529" s="21" t="s">
        <v>6835</v>
      </c>
      <c r="I3529" s="21" t="s">
        <v>6836</v>
      </c>
      <c r="J3529" s="21" t="s">
        <v>6837</v>
      </c>
      <c r="K3529" s="24">
        <v>23</v>
      </c>
      <c r="L3529" s="24">
        <v>138</v>
      </c>
      <c r="M3529" s="23">
        <v>4</v>
      </c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>
        <v>19</v>
      </c>
      <c r="Z3529" s="23"/>
      <c r="AA3529" s="23"/>
      <c r="AB3529" s="23"/>
      <c r="AC3529" s="23"/>
      <c r="AD3529" s="23"/>
      <c r="AE3529" s="23"/>
      <c r="AF3529" s="23">
        <v>9</v>
      </c>
      <c r="AG3529" s="23"/>
      <c r="AH3529" s="23"/>
      <c r="AI3529" s="23"/>
      <c r="AJ3529" s="23"/>
      <c r="AK3529" s="23">
        <v>14</v>
      </c>
      <c r="AL3529" s="23"/>
      <c r="AM3529" s="23"/>
      <c r="AN3529" s="23"/>
      <c r="AO3529" s="23"/>
      <c r="AP3529" s="23">
        <v>17</v>
      </c>
      <c r="AQ3529" s="23">
        <v>3</v>
      </c>
      <c r="AR3529" s="23">
        <v>3</v>
      </c>
      <c r="AS3529" s="23"/>
      <c r="AT3529" s="23"/>
      <c r="AU3529" s="14" t="str">
        <f>HYPERLINK("http://www.openstreetmap.org/?mlat=30.9703&amp;mlon=46.7247&amp;zoom=12#map=12/30.9703/46.7247","Maplink1")</f>
        <v>Maplink1</v>
      </c>
      <c r="AV3529" s="14" t="str">
        <f>HYPERLINK("https://www.google.iq/maps/search/+30.9703,46.7247/@30.9703,46.7247,14z?hl=en","Maplink2")</f>
        <v>Maplink2</v>
      </c>
      <c r="AW3529" s="14" t="str">
        <f>HYPERLINK("http://www.bing.com/maps/?lvl=14&amp;sty=h&amp;cp=30.9703~46.7247&amp;sp=point.30.9703_46.7247_Al Fohod","Maplink3")</f>
        <v>Maplink3</v>
      </c>
    </row>
    <row r="3530" spans="1:49" x14ac:dyDescent="0.25">
      <c r="A3530" s="21">
        <v>8881</v>
      </c>
      <c r="B3530" s="22" t="s">
        <v>25</v>
      </c>
      <c r="C3530" s="22" t="s">
        <v>6832</v>
      </c>
      <c r="D3530" s="22" t="s">
        <v>8126</v>
      </c>
      <c r="E3530" s="22" t="s">
        <v>8127</v>
      </c>
      <c r="F3530" s="22">
        <v>30.958015</v>
      </c>
      <c r="G3530" s="22">
        <v>46.848844999999997</v>
      </c>
      <c r="H3530" s="21" t="s">
        <v>6835</v>
      </c>
      <c r="I3530" s="21" t="s">
        <v>6836</v>
      </c>
      <c r="J3530" s="21" t="s">
        <v>8128</v>
      </c>
      <c r="K3530" s="24">
        <v>5</v>
      </c>
      <c r="L3530" s="24">
        <v>30</v>
      </c>
      <c r="M3530" s="23"/>
      <c r="N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>
        <v>5</v>
      </c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>
        <v>5</v>
      </c>
      <c r="AL3530" s="23"/>
      <c r="AM3530" s="23"/>
      <c r="AN3530" s="23"/>
      <c r="AO3530" s="23"/>
      <c r="AP3530" s="23">
        <v>5</v>
      </c>
      <c r="AQ3530" s="23"/>
      <c r="AR3530" s="23"/>
      <c r="AS3530" s="23"/>
      <c r="AT3530" s="23"/>
      <c r="AU3530" s="14" t="str">
        <f>HYPERLINK("http://www.openstreetmap.org/?mlat=30.958&amp;mlon=46.8488&amp;zoom=12#map=12/30.958/46.8488","Maplink1")</f>
        <v>Maplink1</v>
      </c>
      <c r="AV3530" s="14" t="str">
        <f>HYPERLINK("https://www.google.iq/maps/search/+30.958,46.8488/@30.958,46.8488,14z?hl=en","Maplink2")</f>
        <v>Maplink2</v>
      </c>
      <c r="AW3530" s="14" t="str">
        <f>HYPERLINK("http://www.bing.com/maps/?lvl=14&amp;sty=h&amp;cp=30.958~46.8488&amp;sp=point.30.958_46.8488","Maplink3")</f>
        <v>Maplink3</v>
      </c>
    </row>
    <row r="3531" spans="1:49" x14ac:dyDescent="0.25">
      <c r="A3531" s="21">
        <v>8883</v>
      </c>
      <c r="B3531" s="22" t="s">
        <v>25</v>
      </c>
      <c r="C3531" s="22" t="s">
        <v>6832</v>
      </c>
      <c r="D3531" s="22" t="s">
        <v>6838</v>
      </c>
      <c r="E3531" s="22" t="s">
        <v>6839</v>
      </c>
      <c r="F3531" s="22">
        <v>31</v>
      </c>
      <c r="G3531" s="22">
        <v>47</v>
      </c>
      <c r="H3531" s="21" t="s">
        <v>6835</v>
      </c>
      <c r="I3531" s="21" t="s">
        <v>6836</v>
      </c>
      <c r="J3531" s="21" t="s">
        <v>6840</v>
      </c>
      <c r="K3531" s="24">
        <v>6</v>
      </c>
      <c r="L3531" s="24">
        <v>36</v>
      </c>
      <c r="M3531" s="23">
        <v>6</v>
      </c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>
        <v>6</v>
      </c>
      <c r="AG3531" s="23"/>
      <c r="AH3531" s="23"/>
      <c r="AI3531" s="23"/>
      <c r="AJ3531" s="23"/>
      <c r="AK3531" s="23"/>
      <c r="AL3531" s="23"/>
      <c r="AM3531" s="23"/>
      <c r="AN3531" s="23"/>
      <c r="AO3531" s="23"/>
      <c r="AP3531" s="23">
        <v>4</v>
      </c>
      <c r="AQ3531" s="23"/>
      <c r="AR3531" s="23"/>
      <c r="AS3531" s="23">
        <v>2</v>
      </c>
      <c r="AT3531" s="23"/>
      <c r="AU3531" s="14" t="str">
        <f>HYPERLINK("http://www.openstreetmap.org/?mlat=31&amp;mlon=47&amp;zoom=12#map=12/31/47","Maplink1")</f>
        <v>Maplink1</v>
      </c>
      <c r="AV3531" s="14" t="str">
        <f>HYPERLINK("https://www.google.iq/maps/search/+31,47/@31,47,14z?hl=en","Maplink2")</f>
        <v>Maplink2</v>
      </c>
      <c r="AW3531" s="14" t="str">
        <f>HYPERLINK("http://www.bing.com/maps/?lvl=14&amp;sty=h&amp;cp=31~47&amp;sp=point.31_47_Chibayish","Maplink3")</f>
        <v>Maplink3</v>
      </c>
    </row>
    <row r="3532" spans="1:49" x14ac:dyDescent="0.25">
      <c r="A3532" s="21">
        <v>10297</v>
      </c>
      <c r="B3532" s="22" t="s">
        <v>25</v>
      </c>
      <c r="C3532" s="22" t="s">
        <v>6841</v>
      </c>
      <c r="D3532" s="22" t="s">
        <v>6842</v>
      </c>
      <c r="E3532" s="22" t="s">
        <v>464</v>
      </c>
      <c r="F3532" s="22">
        <v>31.720123000000001</v>
      </c>
      <c r="G3532" s="22">
        <v>46.113100000000003</v>
      </c>
      <c r="H3532" s="21" t="s">
        <v>6835</v>
      </c>
      <c r="I3532" s="21" t="s">
        <v>6843</v>
      </c>
      <c r="J3532" s="21" t="s">
        <v>6844</v>
      </c>
      <c r="K3532" s="24">
        <v>10</v>
      </c>
      <c r="L3532" s="24">
        <v>60</v>
      </c>
      <c r="M3532" s="23"/>
      <c r="N3532" s="23"/>
      <c r="O3532" s="23"/>
      <c r="P3532" s="23"/>
      <c r="Q3532" s="23"/>
      <c r="R3532" s="23"/>
      <c r="S3532" s="23"/>
      <c r="T3532" s="23"/>
      <c r="U3532" s="23">
        <v>8</v>
      </c>
      <c r="V3532" s="23"/>
      <c r="W3532" s="23"/>
      <c r="X3532" s="23"/>
      <c r="Y3532" s="23"/>
      <c r="Z3532" s="23"/>
      <c r="AA3532" s="23">
        <v>2</v>
      </c>
      <c r="AB3532" s="23"/>
      <c r="AC3532" s="23"/>
      <c r="AD3532" s="23"/>
      <c r="AE3532" s="23"/>
      <c r="AF3532" s="23">
        <v>6</v>
      </c>
      <c r="AG3532" s="23"/>
      <c r="AH3532" s="23"/>
      <c r="AI3532" s="23"/>
      <c r="AJ3532" s="23"/>
      <c r="AK3532" s="23">
        <v>4</v>
      </c>
      <c r="AL3532" s="23"/>
      <c r="AM3532" s="23"/>
      <c r="AN3532" s="23"/>
      <c r="AO3532" s="23"/>
      <c r="AP3532" s="23">
        <v>10</v>
      </c>
      <c r="AQ3532" s="23"/>
      <c r="AR3532" s="23"/>
      <c r="AS3532" s="23"/>
      <c r="AT3532" s="23"/>
      <c r="AU3532" s="14" t="str">
        <f>HYPERLINK("http://www.openstreetmap.org/?mlat=31.7201&amp;mlon=46.1131&amp;zoom=12#map=12/31.7201/46.1131","Maplink1")</f>
        <v>Maplink1</v>
      </c>
      <c r="AV3532" s="14" t="str">
        <f>HYPERLINK("https://www.google.iq/maps/search/+31.7201,46.1131/@31.7201,46.1131,14z?hl=en","Maplink2")</f>
        <v>Maplink2</v>
      </c>
      <c r="AW3532" s="14" t="str">
        <f>HYPERLINK("http://www.bing.com/maps/?lvl=14&amp;sty=h&amp;cp=31.7201~46.1131&amp;sp=point.31.7201_46.1131_Al-Moalemen","Maplink3")</f>
        <v>Maplink3</v>
      </c>
    </row>
    <row r="3533" spans="1:49" x14ac:dyDescent="0.25">
      <c r="A3533" s="21">
        <v>9096</v>
      </c>
      <c r="B3533" s="22" t="s">
        <v>25</v>
      </c>
      <c r="C3533" s="22" t="s">
        <v>6841</v>
      </c>
      <c r="D3533" s="22" t="s">
        <v>6845</v>
      </c>
      <c r="E3533" s="22" t="s">
        <v>8129</v>
      </c>
      <c r="F3533" s="22">
        <v>31.53</v>
      </c>
      <c r="G3533" s="22">
        <v>46.11</v>
      </c>
      <c r="H3533" s="21" t="s">
        <v>6835</v>
      </c>
      <c r="I3533" s="21" t="s">
        <v>6843</v>
      </c>
      <c r="J3533" s="21" t="s">
        <v>6846</v>
      </c>
      <c r="K3533" s="24">
        <v>24</v>
      </c>
      <c r="L3533" s="24">
        <v>144</v>
      </c>
      <c r="M3533" s="23">
        <v>1</v>
      </c>
      <c r="N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>
        <v>19</v>
      </c>
      <c r="Z3533" s="23"/>
      <c r="AA3533" s="23">
        <v>4</v>
      </c>
      <c r="AB3533" s="23"/>
      <c r="AC3533" s="23"/>
      <c r="AD3533" s="23"/>
      <c r="AE3533" s="23"/>
      <c r="AF3533" s="23">
        <v>19</v>
      </c>
      <c r="AG3533" s="23"/>
      <c r="AH3533" s="23"/>
      <c r="AI3533" s="23"/>
      <c r="AJ3533" s="23"/>
      <c r="AK3533" s="23">
        <v>5</v>
      </c>
      <c r="AL3533" s="23"/>
      <c r="AM3533" s="23"/>
      <c r="AN3533" s="23"/>
      <c r="AO3533" s="23"/>
      <c r="AP3533" s="23">
        <v>10</v>
      </c>
      <c r="AQ3533" s="23">
        <v>14</v>
      </c>
      <c r="AR3533" s="23"/>
      <c r="AS3533" s="23"/>
      <c r="AT3533" s="23"/>
      <c r="AU3533" s="14" t="str">
        <f>HYPERLINK("http://www.openstreetmap.org/?mlat=31.53&amp;mlon=46.11&amp;zoom=12#map=12/31.53/46.11","Maplink1")</f>
        <v>Maplink1</v>
      </c>
      <c r="AV3533" s="14" t="str">
        <f>HYPERLINK("https://www.google.iq/maps/search/+31.53,46.11/@31.53,46.11,14z?hl=en","Maplink2")</f>
        <v>Maplink2</v>
      </c>
      <c r="AW3533" s="14" t="str">
        <f>HYPERLINK("http://www.bing.com/maps/?lvl=14&amp;sty=h&amp;cp=31.53~46.11&amp;sp=point.31.53_46.11_An Nasr","Maplink3")</f>
        <v>Maplink3</v>
      </c>
    </row>
    <row r="3534" spans="1:49" x14ac:dyDescent="0.25">
      <c r="A3534" s="21">
        <v>24722</v>
      </c>
      <c r="B3534" s="22" t="s">
        <v>25</v>
      </c>
      <c r="C3534" s="22" t="s">
        <v>6841</v>
      </c>
      <c r="D3534" s="22" t="s">
        <v>6041</v>
      </c>
      <c r="E3534" s="22" t="s">
        <v>995</v>
      </c>
      <c r="F3534" s="22">
        <v>31.723845000000001</v>
      </c>
      <c r="G3534" s="22">
        <v>46.111139000000001</v>
      </c>
      <c r="H3534" s="21" t="s">
        <v>6835</v>
      </c>
      <c r="I3534" s="21" t="s">
        <v>6843</v>
      </c>
      <c r="J3534" s="21"/>
      <c r="K3534" s="24">
        <v>18</v>
      </c>
      <c r="L3534" s="24">
        <v>108</v>
      </c>
      <c r="M3534" s="23"/>
      <c r="N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>
        <v>18</v>
      </c>
      <c r="Z3534" s="23"/>
      <c r="AA3534" s="23"/>
      <c r="AB3534" s="23"/>
      <c r="AC3534" s="23"/>
      <c r="AD3534" s="23"/>
      <c r="AE3534" s="23"/>
      <c r="AF3534" s="23">
        <v>10</v>
      </c>
      <c r="AG3534" s="23"/>
      <c r="AH3534" s="23"/>
      <c r="AI3534" s="23"/>
      <c r="AJ3534" s="23"/>
      <c r="AK3534" s="23">
        <v>8</v>
      </c>
      <c r="AL3534" s="23"/>
      <c r="AM3534" s="23"/>
      <c r="AN3534" s="23"/>
      <c r="AO3534" s="23"/>
      <c r="AP3534" s="23">
        <v>18</v>
      </c>
      <c r="AQ3534" s="23"/>
      <c r="AR3534" s="23"/>
      <c r="AS3534" s="23"/>
      <c r="AT3534" s="23"/>
      <c r="AU3534" s="14" t="str">
        <f>HYPERLINK("http://www.openstreetmap.org/?mlat=31.7238&amp;mlon=46.1111&amp;zoom=12#map=12/31.7238/46.1111","Maplink1")</f>
        <v>Maplink1</v>
      </c>
      <c r="AV3534" s="14" t="str">
        <f>HYPERLINK("https://www.google.iq/maps/search/+31.7238,46.1111/@31.7238,46.1111,14z?hl=en","Maplink2")</f>
        <v>Maplink2</v>
      </c>
      <c r="AW3534" s="14" t="str">
        <f>HYPERLINK("http://www.bing.com/maps/?lvl=14&amp;sty=h&amp;cp=31.7238~46.1111&amp;sp=point.31.7238_46.1111_Hay Al Hussien","Maplink3")</f>
        <v>Maplink3</v>
      </c>
    </row>
    <row r="3535" spans="1:49" x14ac:dyDescent="0.25">
      <c r="A3535" s="21">
        <v>21965</v>
      </c>
      <c r="B3535" s="22" t="s">
        <v>25</v>
      </c>
      <c r="C3535" s="22" t="s">
        <v>6841</v>
      </c>
      <c r="D3535" s="22" t="s">
        <v>6847</v>
      </c>
      <c r="E3535" s="22" t="s">
        <v>6848</v>
      </c>
      <c r="F3535" s="22">
        <v>31.718959999999999</v>
      </c>
      <c r="G3535" s="22">
        <v>46.109268999999998</v>
      </c>
      <c r="H3535" s="21" t="s">
        <v>6835</v>
      </c>
      <c r="I3535" s="21" t="s">
        <v>6843</v>
      </c>
      <c r="J3535" s="21" t="s">
        <v>6849</v>
      </c>
      <c r="K3535" s="24">
        <v>22</v>
      </c>
      <c r="L3535" s="24">
        <v>132</v>
      </c>
      <c r="M3535" s="23"/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>
        <v>16</v>
      </c>
      <c r="Z3535" s="23"/>
      <c r="AA3535" s="23">
        <v>6</v>
      </c>
      <c r="AB3535" s="23"/>
      <c r="AC3535" s="23"/>
      <c r="AD3535" s="23"/>
      <c r="AE3535" s="23"/>
      <c r="AF3535" s="23">
        <v>10</v>
      </c>
      <c r="AG3535" s="23"/>
      <c r="AH3535" s="23"/>
      <c r="AI3535" s="23"/>
      <c r="AJ3535" s="23"/>
      <c r="AK3535" s="23">
        <v>12</v>
      </c>
      <c r="AL3535" s="23"/>
      <c r="AM3535" s="23"/>
      <c r="AN3535" s="23"/>
      <c r="AO3535" s="23"/>
      <c r="AP3535" s="23">
        <v>16</v>
      </c>
      <c r="AQ3535" s="23">
        <v>6</v>
      </c>
      <c r="AR3535" s="23"/>
      <c r="AS3535" s="23"/>
      <c r="AT3535" s="23"/>
      <c r="AU3535" s="14" t="str">
        <f>HYPERLINK("http://www.openstreetmap.org/?mlat=31.719&amp;mlon=46.1093&amp;zoom=12#map=12/31.719/46.1093","Maplink1")</f>
        <v>Maplink1</v>
      </c>
      <c r="AV3535" s="14" t="str">
        <f>HYPERLINK("https://www.google.iq/maps/search/+31.719,46.1093/@31.719,46.1093,14z?hl=en","Maplink2")</f>
        <v>Maplink2</v>
      </c>
      <c r="AW3535" s="14" t="str">
        <f>HYPERLINK("http://www.bing.com/maps/?lvl=14&amp;sty=h&amp;cp=31.719~46.1093&amp;sp=point.31.719_46.1093_Jiser Al Rifay","Maplink3")</f>
        <v>Maplink3</v>
      </c>
    </row>
    <row r="3536" spans="1:49" x14ac:dyDescent="0.25">
      <c r="A3536" s="21">
        <v>9040</v>
      </c>
      <c r="B3536" s="22" t="s">
        <v>25</v>
      </c>
      <c r="C3536" s="22" t="s">
        <v>6841</v>
      </c>
      <c r="D3536" s="22" t="s">
        <v>6850</v>
      </c>
      <c r="E3536" s="22" t="s">
        <v>6851</v>
      </c>
      <c r="F3536" s="22">
        <v>31.85</v>
      </c>
      <c r="G3536" s="22">
        <v>46.08</v>
      </c>
      <c r="H3536" s="21" t="s">
        <v>6835</v>
      </c>
      <c r="I3536" s="21" t="s">
        <v>6843</v>
      </c>
      <c r="J3536" s="21" t="s">
        <v>6852</v>
      </c>
      <c r="K3536" s="24">
        <v>74</v>
      </c>
      <c r="L3536" s="24">
        <v>444</v>
      </c>
      <c r="M3536" s="23">
        <v>7</v>
      </c>
      <c r="N3536" s="23"/>
      <c r="O3536" s="23"/>
      <c r="P3536" s="23"/>
      <c r="Q3536" s="23"/>
      <c r="R3536" s="23"/>
      <c r="S3536" s="23"/>
      <c r="T3536" s="23"/>
      <c r="U3536" s="23">
        <v>16</v>
      </c>
      <c r="V3536" s="23"/>
      <c r="W3536" s="23"/>
      <c r="X3536" s="23"/>
      <c r="Y3536" s="23">
        <v>41</v>
      </c>
      <c r="Z3536" s="23"/>
      <c r="AA3536" s="23">
        <v>10</v>
      </c>
      <c r="AB3536" s="23"/>
      <c r="AC3536" s="23"/>
      <c r="AD3536" s="23"/>
      <c r="AE3536" s="23"/>
      <c r="AF3536" s="23">
        <v>22</v>
      </c>
      <c r="AG3536" s="23"/>
      <c r="AH3536" s="23"/>
      <c r="AI3536" s="23"/>
      <c r="AJ3536" s="23"/>
      <c r="AK3536" s="23">
        <v>52</v>
      </c>
      <c r="AL3536" s="23"/>
      <c r="AM3536" s="23"/>
      <c r="AN3536" s="23"/>
      <c r="AO3536" s="23">
        <v>10</v>
      </c>
      <c r="AP3536" s="23">
        <v>13</v>
      </c>
      <c r="AQ3536" s="23">
        <v>41</v>
      </c>
      <c r="AR3536" s="23"/>
      <c r="AS3536" s="23">
        <v>10</v>
      </c>
      <c r="AT3536" s="23"/>
      <c r="AU3536" s="14" t="str">
        <f>HYPERLINK("http://www.openstreetmap.org/?mlat=31.85&amp;mlon=46.08&amp;zoom=12#map=12/31.85/46.08","Maplink1")</f>
        <v>Maplink1</v>
      </c>
      <c r="AV3536" s="14" t="str">
        <f>HYPERLINK("https://www.google.iq/maps/search/+31.85,46.08/@31.85,46.08,14z?hl=en","Maplink2")</f>
        <v>Maplink2</v>
      </c>
      <c r="AW3536" s="14" t="str">
        <f>HYPERLINK("http://www.bing.com/maps/?lvl=14&amp;sty=h&amp;cp=31.85~46.08&amp;sp=point.31.85_46.08_Qal at Sukhar","Maplink3")</f>
        <v>Maplink3</v>
      </c>
    </row>
    <row r="3537" spans="1:49" x14ac:dyDescent="0.25">
      <c r="A3537" s="21">
        <v>8889</v>
      </c>
      <c r="B3537" s="22" t="s">
        <v>25</v>
      </c>
      <c r="C3537" s="22" t="s">
        <v>6841</v>
      </c>
      <c r="D3537" s="22" t="s">
        <v>6853</v>
      </c>
      <c r="E3537" s="22" t="s">
        <v>6854</v>
      </c>
      <c r="F3537" s="22">
        <v>31.71</v>
      </c>
      <c r="G3537" s="22">
        <v>46.1</v>
      </c>
      <c r="H3537" s="21" t="s">
        <v>6835</v>
      </c>
      <c r="I3537" s="21" t="s">
        <v>6843</v>
      </c>
      <c r="J3537" s="21" t="s">
        <v>6855</v>
      </c>
      <c r="K3537" s="24">
        <v>27</v>
      </c>
      <c r="L3537" s="24">
        <v>162</v>
      </c>
      <c r="M3537" s="23"/>
      <c r="N3537" s="23"/>
      <c r="O3537" s="23"/>
      <c r="P3537" s="23"/>
      <c r="Q3537" s="23"/>
      <c r="R3537" s="23"/>
      <c r="S3537" s="23"/>
      <c r="T3537" s="23"/>
      <c r="U3537" s="23">
        <v>7</v>
      </c>
      <c r="V3537" s="23"/>
      <c r="W3537" s="23"/>
      <c r="X3537" s="23"/>
      <c r="Y3537" s="23">
        <v>20</v>
      </c>
      <c r="Z3537" s="23"/>
      <c r="AA3537" s="23"/>
      <c r="AB3537" s="23"/>
      <c r="AC3537" s="23"/>
      <c r="AD3537" s="23"/>
      <c r="AE3537" s="23"/>
      <c r="AF3537" s="23">
        <v>10</v>
      </c>
      <c r="AG3537" s="23"/>
      <c r="AH3537" s="23"/>
      <c r="AI3537" s="23"/>
      <c r="AJ3537" s="23"/>
      <c r="AK3537" s="23">
        <v>17</v>
      </c>
      <c r="AL3537" s="23"/>
      <c r="AM3537" s="23"/>
      <c r="AN3537" s="23"/>
      <c r="AO3537" s="23"/>
      <c r="AP3537" s="23"/>
      <c r="AQ3537" s="23">
        <v>16</v>
      </c>
      <c r="AR3537" s="23">
        <v>11</v>
      </c>
      <c r="AS3537" s="23"/>
      <c r="AT3537" s="23"/>
      <c r="AU3537" s="14" t="str">
        <f>HYPERLINK("http://www.openstreetmap.org/?mlat=31.71&amp;mlon=46.1&amp;zoom=12#map=12/31.71/46.1","Maplink1")</f>
        <v>Maplink1</v>
      </c>
      <c r="AV3537" s="14" t="str">
        <f>HYPERLINK("https://www.google.iq/maps/search/+31.71,46.1/@31.71,46.1,14z?hl=en","Maplink2")</f>
        <v>Maplink2</v>
      </c>
      <c r="AW3537" s="14" t="str">
        <f>HYPERLINK("http://www.bing.com/maps/?lvl=14&amp;sty=h&amp;cp=31.71~46.1&amp;sp=point.31.71_46.1_Refai","Maplink3")</f>
        <v>Maplink3</v>
      </c>
    </row>
    <row r="3538" spans="1:49" x14ac:dyDescent="0.25">
      <c r="A3538" s="21">
        <v>10250</v>
      </c>
      <c r="B3538" s="22" t="s">
        <v>25</v>
      </c>
      <c r="C3538" s="22" t="s">
        <v>6856</v>
      </c>
      <c r="D3538" s="22" t="s">
        <v>6857</v>
      </c>
      <c r="E3538" s="22" t="s">
        <v>6858</v>
      </c>
      <c r="F3538" s="22">
        <v>31.283415999999999</v>
      </c>
      <c r="G3538" s="22">
        <v>46.233555000000003</v>
      </c>
      <c r="H3538" s="21" t="s">
        <v>6835</v>
      </c>
      <c r="I3538" s="21" t="s">
        <v>6859</v>
      </c>
      <c r="J3538" s="21" t="s">
        <v>6860</v>
      </c>
      <c r="K3538" s="24">
        <v>28</v>
      </c>
      <c r="L3538" s="24">
        <v>168</v>
      </c>
      <c r="M3538" s="23"/>
      <c r="N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23"/>
      <c r="Y3538" s="23">
        <v>28</v>
      </c>
      <c r="Z3538" s="23"/>
      <c r="AA3538" s="23"/>
      <c r="AB3538" s="23"/>
      <c r="AC3538" s="23"/>
      <c r="AD3538" s="23"/>
      <c r="AE3538" s="23"/>
      <c r="AF3538" s="23">
        <v>28</v>
      </c>
      <c r="AG3538" s="23"/>
      <c r="AH3538" s="23"/>
      <c r="AI3538" s="23"/>
      <c r="AJ3538" s="23"/>
      <c r="AK3538" s="23"/>
      <c r="AL3538" s="23"/>
      <c r="AM3538" s="23"/>
      <c r="AN3538" s="23"/>
      <c r="AO3538" s="23"/>
      <c r="AP3538" s="23"/>
      <c r="AQ3538" s="23"/>
      <c r="AR3538" s="23">
        <v>28</v>
      </c>
      <c r="AS3538" s="23"/>
      <c r="AT3538" s="23"/>
      <c r="AU3538" s="14" t="str">
        <f>HYPERLINK("http://www.openstreetmap.org/?mlat=31.2834&amp;mlon=46.2336&amp;zoom=12#map=12/31.2834/46.2336","Maplink1")</f>
        <v>Maplink1</v>
      </c>
      <c r="AV3538" s="14" t="str">
        <f>HYPERLINK("https://www.google.iq/maps/search/+31.2834,46.2336/@31.2834,46.2336,14z?hl=en","Maplink2")</f>
        <v>Maplink2</v>
      </c>
      <c r="AW3538" s="14" t="str">
        <f>HYPERLINK("http://www.bing.com/maps/?lvl=14&amp;sty=h&amp;cp=31.2834~46.2336&amp;sp=point.31.2834_46.2336_14 Ramadan","Maplink3")</f>
        <v>Maplink3</v>
      </c>
    </row>
    <row r="3539" spans="1:49" x14ac:dyDescent="0.25">
      <c r="A3539" s="21">
        <v>9880</v>
      </c>
      <c r="B3539" s="22" t="s">
        <v>25</v>
      </c>
      <c r="C3539" s="22" t="s">
        <v>6856</v>
      </c>
      <c r="D3539" s="22" t="s">
        <v>6861</v>
      </c>
      <c r="E3539" s="22" t="s">
        <v>6862</v>
      </c>
      <c r="F3539" s="22">
        <v>31.443055999999999</v>
      </c>
      <c r="G3539" s="22">
        <v>46.218888999999997</v>
      </c>
      <c r="H3539" s="21" t="s">
        <v>6835</v>
      </c>
      <c r="I3539" s="21" t="s">
        <v>6859</v>
      </c>
      <c r="J3539" s="21" t="s">
        <v>6863</v>
      </c>
      <c r="K3539" s="24">
        <v>10</v>
      </c>
      <c r="L3539" s="24">
        <v>60</v>
      </c>
      <c r="M3539" s="23"/>
      <c r="N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>
        <v>10</v>
      </c>
      <c r="Z3539" s="23"/>
      <c r="AA3539" s="23"/>
      <c r="AB3539" s="23"/>
      <c r="AC3539" s="23"/>
      <c r="AD3539" s="23"/>
      <c r="AE3539" s="23"/>
      <c r="AF3539" s="23">
        <v>4</v>
      </c>
      <c r="AG3539" s="23"/>
      <c r="AH3539" s="23"/>
      <c r="AI3539" s="23"/>
      <c r="AJ3539" s="23"/>
      <c r="AK3539" s="23">
        <v>6</v>
      </c>
      <c r="AL3539" s="23"/>
      <c r="AM3539" s="23"/>
      <c r="AN3539" s="23"/>
      <c r="AO3539" s="23"/>
      <c r="AP3539" s="23">
        <v>8</v>
      </c>
      <c r="AQ3539" s="23">
        <v>2</v>
      </c>
      <c r="AR3539" s="23"/>
      <c r="AS3539" s="23"/>
      <c r="AT3539" s="23"/>
      <c r="AU3539" s="14" t="str">
        <f>HYPERLINK("http://www.openstreetmap.org/?mlat=31.4431&amp;mlon=46.2189&amp;zoom=12#map=12/31.4431/46.2189","Maplink1")</f>
        <v>Maplink1</v>
      </c>
      <c r="AV3539" s="14" t="str">
        <f>HYPERLINK("https://www.google.iq/maps/search/+31.4431,46.2189/@31.4431,46.2189,14z?hl=en","Maplink2")</f>
        <v>Maplink2</v>
      </c>
      <c r="AW3539" s="14" t="str">
        <f>HYPERLINK("http://www.bing.com/maps/?lvl=14&amp;sty=h&amp;cp=31.4431~46.2189&amp;sp=point.31.4431_46.2189_Al awad","Maplink3")</f>
        <v>Maplink3</v>
      </c>
    </row>
    <row r="3540" spans="1:49" x14ac:dyDescent="0.25">
      <c r="A3540" s="21">
        <v>8888</v>
      </c>
      <c r="B3540" s="22" t="s">
        <v>25</v>
      </c>
      <c r="C3540" s="22" t="s">
        <v>6856</v>
      </c>
      <c r="D3540" s="22" t="s">
        <v>6864</v>
      </c>
      <c r="E3540" s="22" t="s">
        <v>248</v>
      </c>
      <c r="F3540" s="22">
        <v>31.493476999999999</v>
      </c>
      <c r="G3540" s="22">
        <v>46.377915999999999</v>
      </c>
      <c r="H3540" s="21" t="s">
        <v>6835</v>
      </c>
      <c r="I3540" s="21" t="s">
        <v>6859</v>
      </c>
      <c r="J3540" s="21" t="s">
        <v>6865</v>
      </c>
      <c r="K3540" s="24">
        <v>41</v>
      </c>
      <c r="L3540" s="24">
        <v>246</v>
      </c>
      <c r="M3540" s="23">
        <v>1</v>
      </c>
      <c r="N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>
        <v>40</v>
      </c>
      <c r="Z3540" s="23"/>
      <c r="AA3540" s="23"/>
      <c r="AB3540" s="23"/>
      <c r="AC3540" s="23"/>
      <c r="AD3540" s="23"/>
      <c r="AE3540" s="23"/>
      <c r="AF3540" s="23">
        <v>30</v>
      </c>
      <c r="AG3540" s="23"/>
      <c r="AH3540" s="23"/>
      <c r="AI3540" s="23"/>
      <c r="AJ3540" s="23"/>
      <c r="AK3540" s="23">
        <v>11</v>
      </c>
      <c r="AL3540" s="23"/>
      <c r="AM3540" s="23"/>
      <c r="AN3540" s="23"/>
      <c r="AO3540" s="23"/>
      <c r="AP3540" s="23"/>
      <c r="AQ3540" s="23">
        <v>40</v>
      </c>
      <c r="AR3540" s="23"/>
      <c r="AS3540" s="23">
        <v>1</v>
      </c>
      <c r="AT3540" s="23"/>
      <c r="AU3540" s="14" t="str">
        <f>HYPERLINK("http://www.openstreetmap.org/?mlat=31.4935&amp;mlon=46.3779&amp;zoom=12#map=12/31.4935/46.3779","Maplink1")</f>
        <v>Maplink1</v>
      </c>
      <c r="AV3540" s="14" t="str">
        <f>HYPERLINK("https://www.google.iq/maps/search/+31.4935,46.3779/@31.4935,46.3779,14z?hl=en","Maplink2")</f>
        <v>Maplink2</v>
      </c>
      <c r="AW3540" s="14" t="str">
        <f>HYPERLINK("http://www.bing.com/maps/?lvl=14&amp;sty=h&amp;cp=31.4935~46.3779&amp;sp=point.31.4935_46.3779_Al Dawaya","Maplink3")</f>
        <v>Maplink3</v>
      </c>
    </row>
    <row r="3541" spans="1:49" x14ac:dyDescent="0.25">
      <c r="A3541" s="21">
        <v>8886</v>
      </c>
      <c r="B3541" s="22" t="s">
        <v>25</v>
      </c>
      <c r="C3541" s="22" t="s">
        <v>6856</v>
      </c>
      <c r="D3541" s="22" t="s">
        <v>6866</v>
      </c>
      <c r="E3541" s="22" t="s">
        <v>6867</v>
      </c>
      <c r="F3541" s="22">
        <v>31.3</v>
      </c>
      <c r="G3541" s="22">
        <v>46.25</v>
      </c>
      <c r="H3541" s="21" t="s">
        <v>6835</v>
      </c>
      <c r="I3541" s="21" t="s">
        <v>6859</v>
      </c>
      <c r="J3541" s="21" t="s">
        <v>6868</v>
      </c>
      <c r="K3541" s="24">
        <v>10</v>
      </c>
      <c r="L3541" s="24">
        <v>60</v>
      </c>
      <c r="M3541" s="23"/>
      <c r="N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23"/>
      <c r="Y3541" s="23">
        <v>10</v>
      </c>
      <c r="Z3541" s="23"/>
      <c r="AA3541" s="23"/>
      <c r="AB3541" s="23"/>
      <c r="AC3541" s="23"/>
      <c r="AD3541" s="23"/>
      <c r="AE3541" s="23"/>
      <c r="AF3541" s="23">
        <v>10</v>
      </c>
      <c r="AG3541" s="23"/>
      <c r="AH3541" s="23"/>
      <c r="AI3541" s="23"/>
      <c r="AJ3541" s="23"/>
      <c r="AK3541" s="23"/>
      <c r="AL3541" s="23"/>
      <c r="AM3541" s="23"/>
      <c r="AN3541" s="23"/>
      <c r="AO3541" s="23"/>
      <c r="AP3541" s="23"/>
      <c r="AQ3541" s="23">
        <v>10</v>
      </c>
      <c r="AR3541" s="23"/>
      <c r="AS3541" s="23"/>
      <c r="AT3541" s="23"/>
      <c r="AU3541" s="14" t="str">
        <f>HYPERLINK("http://www.openstreetmap.org/?mlat=31.3&amp;mlon=46.25&amp;zoom=12#map=12/31.3/46.25","Maplink1")</f>
        <v>Maplink1</v>
      </c>
      <c r="AV3541" s="14" t="str">
        <f>HYPERLINK("https://www.google.iq/maps/search/+31.3,46.25/@31.3,46.25,14z?hl=en","Maplink2")</f>
        <v>Maplink2</v>
      </c>
      <c r="AW3541" s="14" t="str">
        <f>HYPERLINK("http://www.bing.com/maps/?lvl=14&amp;sty=h&amp;cp=31.3~46.25&amp;sp=point.31.3_46.25_Al Gharraf","Maplink3")</f>
        <v>Maplink3</v>
      </c>
    </row>
    <row r="3542" spans="1:49" x14ac:dyDescent="0.25">
      <c r="A3542" s="21">
        <v>24538</v>
      </c>
      <c r="B3542" s="22" t="s">
        <v>25</v>
      </c>
      <c r="C3542" s="22" t="s">
        <v>6856</v>
      </c>
      <c r="D3542" s="22" t="s">
        <v>6869</v>
      </c>
      <c r="E3542" s="22" t="s">
        <v>6870</v>
      </c>
      <c r="F3542" s="22">
        <v>31.402732</v>
      </c>
      <c r="G3542" s="22">
        <v>46.168449000000003</v>
      </c>
      <c r="H3542" s="21" t="s">
        <v>6835</v>
      </c>
      <c r="I3542" s="21" t="s">
        <v>6859</v>
      </c>
      <c r="J3542" s="21"/>
      <c r="K3542" s="24">
        <v>48</v>
      </c>
      <c r="L3542" s="24">
        <v>288</v>
      </c>
      <c r="M3542" s="23">
        <v>9</v>
      </c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>
        <v>39</v>
      </c>
      <c r="Z3542" s="23"/>
      <c r="AA3542" s="23"/>
      <c r="AB3542" s="23"/>
      <c r="AC3542" s="23"/>
      <c r="AD3542" s="23"/>
      <c r="AE3542" s="23"/>
      <c r="AF3542" s="23">
        <v>20</v>
      </c>
      <c r="AG3542" s="23"/>
      <c r="AH3542" s="23"/>
      <c r="AI3542" s="23"/>
      <c r="AJ3542" s="23"/>
      <c r="AK3542" s="23">
        <v>28</v>
      </c>
      <c r="AL3542" s="23"/>
      <c r="AM3542" s="23"/>
      <c r="AN3542" s="23"/>
      <c r="AO3542" s="23"/>
      <c r="AP3542" s="23"/>
      <c r="AQ3542" s="23">
        <v>36</v>
      </c>
      <c r="AR3542" s="23"/>
      <c r="AS3542" s="23">
        <v>12</v>
      </c>
      <c r="AT3542" s="23"/>
      <c r="AU3542" s="14" t="str">
        <f>HYPERLINK("http://www.openstreetmap.org/?mlat=31.4027&amp;mlon=46.1684&amp;zoom=12#map=12/31.4027/46.1684","Maplink1")</f>
        <v>Maplink1</v>
      </c>
      <c r="AV3542" s="14" t="str">
        <f>HYPERLINK("https://www.google.iq/maps/search/+31.4027,46.1684/@31.4027,46.1684,14z?hl=en","Maplink2")</f>
        <v>Maplink2</v>
      </c>
      <c r="AW3542" s="14" t="str">
        <f>HYPERLINK("http://www.bing.com/maps/?lvl=14&amp;sty=h&amp;cp=31.4027~46.1684&amp;sp=point.31.4027_46.1684_Al Mustashfa St","Maplink3")</f>
        <v>Maplink3</v>
      </c>
    </row>
    <row r="3543" spans="1:49" x14ac:dyDescent="0.25">
      <c r="A3543" s="21">
        <v>21209</v>
      </c>
      <c r="B3543" s="22" t="s">
        <v>25</v>
      </c>
      <c r="C3543" s="22" t="s">
        <v>6856</v>
      </c>
      <c r="D3543" s="22" t="s">
        <v>6871</v>
      </c>
      <c r="E3543" s="22" t="s">
        <v>6872</v>
      </c>
      <c r="F3543" s="22">
        <v>31.41</v>
      </c>
      <c r="G3543" s="22">
        <v>46.16</v>
      </c>
      <c r="H3543" s="21" t="s">
        <v>6835</v>
      </c>
      <c r="I3543" s="21" t="s">
        <v>6859</v>
      </c>
      <c r="J3543" s="21" t="s">
        <v>6873</v>
      </c>
      <c r="K3543" s="24">
        <v>42</v>
      </c>
      <c r="L3543" s="24">
        <v>252</v>
      </c>
      <c r="M3543" s="23">
        <v>4</v>
      </c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>
        <v>38</v>
      </c>
      <c r="Z3543" s="23"/>
      <c r="AA3543" s="23"/>
      <c r="AB3543" s="23"/>
      <c r="AC3543" s="23"/>
      <c r="AD3543" s="23"/>
      <c r="AE3543" s="23"/>
      <c r="AF3543" s="23">
        <v>18</v>
      </c>
      <c r="AG3543" s="23"/>
      <c r="AH3543" s="23"/>
      <c r="AI3543" s="23"/>
      <c r="AJ3543" s="23"/>
      <c r="AK3543" s="23">
        <v>24</v>
      </c>
      <c r="AL3543" s="23"/>
      <c r="AM3543" s="23"/>
      <c r="AN3543" s="23"/>
      <c r="AO3543" s="23"/>
      <c r="AP3543" s="23"/>
      <c r="AQ3543" s="23">
        <v>38</v>
      </c>
      <c r="AR3543" s="23"/>
      <c r="AS3543" s="23">
        <v>4</v>
      </c>
      <c r="AT3543" s="23"/>
      <c r="AU3543" s="14" t="str">
        <f>HYPERLINK("http://www.openstreetmap.org/?mlat=31.41&amp;mlon=46.16&amp;zoom=12#map=12/31.41/46.16","Maplink1")</f>
        <v>Maplink1</v>
      </c>
      <c r="AV3543" s="14" t="str">
        <f>HYPERLINK("https://www.google.iq/maps/search/+31.41,46.16/@31.41,46.16,14z?hl=en","Maplink2")</f>
        <v>Maplink2</v>
      </c>
      <c r="AW3543" s="14" t="str">
        <f>HYPERLINK("http://www.bing.com/maps/?lvl=14&amp;sty=h&amp;cp=31.41~46.16&amp;sp=point.31.41_46.16_Al Shomali","Maplink3")</f>
        <v>Maplink3</v>
      </c>
    </row>
    <row r="3544" spans="1:49" x14ac:dyDescent="0.25">
      <c r="A3544" s="21">
        <v>9848</v>
      </c>
      <c r="B3544" s="22" t="s">
        <v>25</v>
      </c>
      <c r="C3544" s="22" t="s">
        <v>6856</v>
      </c>
      <c r="D3544" s="22" t="s">
        <v>6874</v>
      </c>
      <c r="E3544" s="22" t="s">
        <v>6875</v>
      </c>
      <c r="F3544" s="22">
        <v>31.410556</v>
      </c>
      <c r="G3544" s="22">
        <v>46.182222000000003</v>
      </c>
      <c r="H3544" s="21" t="s">
        <v>6835</v>
      </c>
      <c r="I3544" s="21" t="s">
        <v>6859</v>
      </c>
      <c r="J3544" s="21" t="s">
        <v>6876</v>
      </c>
      <c r="K3544" s="24">
        <v>10</v>
      </c>
      <c r="L3544" s="24">
        <v>60</v>
      </c>
      <c r="M3544" s="23">
        <v>1</v>
      </c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>
        <v>8</v>
      </c>
      <c r="Z3544" s="23"/>
      <c r="AA3544" s="23">
        <v>1</v>
      </c>
      <c r="AB3544" s="23"/>
      <c r="AC3544" s="23"/>
      <c r="AD3544" s="23"/>
      <c r="AE3544" s="23"/>
      <c r="AF3544" s="23">
        <v>6</v>
      </c>
      <c r="AG3544" s="23"/>
      <c r="AH3544" s="23"/>
      <c r="AI3544" s="23"/>
      <c r="AJ3544" s="23">
        <v>4</v>
      </c>
      <c r="AK3544" s="23"/>
      <c r="AL3544" s="23"/>
      <c r="AM3544" s="23"/>
      <c r="AN3544" s="23"/>
      <c r="AO3544" s="23"/>
      <c r="AP3544" s="23">
        <v>1</v>
      </c>
      <c r="AQ3544" s="23">
        <v>8</v>
      </c>
      <c r="AR3544" s="23"/>
      <c r="AS3544" s="23">
        <v>1</v>
      </c>
      <c r="AT3544" s="23"/>
      <c r="AU3544" s="14" t="str">
        <f>HYPERLINK("http://www.openstreetmap.org/?mlat=31.4106&amp;mlon=46.1822&amp;zoom=12#map=12/31.4106/46.1822","Maplink1")</f>
        <v>Maplink1</v>
      </c>
      <c r="AV3544" s="14" t="str">
        <f>HYPERLINK("https://www.google.iq/maps/search/+31.4106,46.1822/@31.4106,46.1822,14z?hl=en","Maplink2")</f>
        <v>Maplink2</v>
      </c>
      <c r="AW3544" s="14" t="str">
        <f>HYPERLINK("http://www.bing.com/maps/?lvl=14&amp;sty=h&amp;cp=31.4106~46.1822&amp;sp=point.31.4106_46.1822_Al-fatahiyah","Maplink3")</f>
        <v>Maplink3</v>
      </c>
    </row>
    <row r="3545" spans="1:49" x14ac:dyDescent="0.25">
      <c r="A3545" s="21">
        <v>9822</v>
      </c>
      <c r="B3545" s="22" t="s">
        <v>25</v>
      </c>
      <c r="C3545" s="22" t="s">
        <v>6856</v>
      </c>
      <c r="D3545" s="22" t="s">
        <v>6877</v>
      </c>
      <c r="E3545" s="22" t="s">
        <v>6878</v>
      </c>
      <c r="F3545" s="22">
        <v>31.401667</v>
      </c>
      <c r="G3545" s="22">
        <v>46.179167</v>
      </c>
      <c r="H3545" s="21" t="s">
        <v>6835</v>
      </c>
      <c r="I3545" s="21" t="s">
        <v>6859</v>
      </c>
      <c r="J3545" s="21" t="s">
        <v>6879</v>
      </c>
      <c r="K3545" s="24">
        <v>22</v>
      </c>
      <c r="L3545" s="24">
        <v>132</v>
      </c>
      <c r="M3545" s="23">
        <v>4</v>
      </c>
      <c r="N3545" s="23"/>
      <c r="O3545" s="23"/>
      <c r="P3545" s="23"/>
      <c r="Q3545" s="23"/>
      <c r="R3545" s="23">
        <v>1</v>
      </c>
      <c r="S3545" s="23"/>
      <c r="T3545" s="23"/>
      <c r="U3545" s="23"/>
      <c r="V3545" s="23"/>
      <c r="W3545" s="23"/>
      <c r="X3545" s="23"/>
      <c r="Y3545" s="23">
        <v>14</v>
      </c>
      <c r="Z3545" s="23"/>
      <c r="AA3545" s="23">
        <v>3</v>
      </c>
      <c r="AB3545" s="23"/>
      <c r="AC3545" s="23"/>
      <c r="AD3545" s="23"/>
      <c r="AE3545" s="23"/>
      <c r="AF3545" s="23">
        <v>20</v>
      </c>
      <c r="AG3545" s="23"/>
      <c r="AH3545" s="23"/>
      <c r="AI3545" s="23"/>
      <c r="AJ3545" s="23"/>
      <c r="AK3545" s="23">
        <v>2</v>
      </c>
      <c r="AL3545" s="23"/>
      <c r="AM3545" s="23"/>
      <c r="AN3545" s="23"/>
      <c r="AO3545" s="23">
        <v>4</v>
      </c>
      <c r="AP3545" s="23">
        <v>2</v>
      </c>
      <c r="AQ3545" s="23">
        <v>16</v>
      </c>
      <c r="AR3545" s="23"/>
      <c r="AS3545" s="23"/>
      <c r="AT3545" s="23"/>
      <c r="AU3545" s="14" t="str">
        <f>HYPERLINK("http://www.openstreetmap.org/?mlat=31.4017&amp;mlon=46.1792&amp;zoom=12#map=12/31.4017/46.1792","Maplink1")</f>
        <v>Maplink1</v>
      </c>
      <c r="AV3545" s="14" t="str">
        <f>HYPERLINK("https://www.google.iq/maps/search/+31.4017,46.1792/@31.4017,46.1792,14z?hl=en","Maplink2")</f>
        <v>Maplink2</v>
      </c>
      <c r="AW3545" s="14" t="str">
        <f>HYPERLINK("http://www.bing.com/maps/?lvl=14&amp;sty=h&amp;cp=31.4017~46.1792&amp;sp=point.31.4017_46.1792_Al-hawi","Maplink3")</f>
        <v>Maplink3</v>
      </c>
    </row>
    <row r="3546" spans="1:49" x14ac:dyDescent="0.25">
      <c r="A3546" s="21">
        <v>9188</v>
      </c>
      <c r="B3546" s="22" t="s">
        <v>25</v>
      </c>
      <c r="C3546" s="22" t="s">
        <v>6856</v>
      </c>
      <c r="D3546" s="22" t="s">
        <v>7544</v>
      </c>
      <c r="E3546" s="22" t="s">
        <v>7545</v>
      </c>
      <c r="F3546" s="22">
        <v>31.439278000000002</v>
      </c>
      <c r="G3546" s="22">
        <v>46.170620999999997</v>
      </c>
      <c r="H3546" s="21" t="s">
        <v>6835</v>
      </c>
      <c r="I3546" s="21" t="s">
        <v>6859</v>
      </c>
      <c r="J3546" s="21" t="s">
        <v>7546</v>
      </c>
      <c r="K3546" s="24">
        <v>5</v>
      </c>
      <c r="L3546" s="24">
        <v>30</v>
      </c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>
        <v>5</v>
      </c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/>
      <c r="AL3546" s="23"/>
      <c r="AM3546" s="23">
        <v>5</v>
      </c>
      <c r="AN3546" s="23"/>
      <c r="AO3546" s="23"/>
      <c r="AP3546" s="23">
        <v>5</v>
      </c>
      <c r="AQ3546" s="23"/>
      <c r="AR3546" s="23"/>
      <c r="AS3546" s="23"/>
      <c r="AT3546" s="23"/>
      <c r="AU3546" s="14" t="str">
        <f>HYPERLINK("http://www.openstreetmap.org/?mlat=31.4393&amp;mlon=46.1706&amp;zoom=12#map=12/31.4393/46.1706","Maplink1")</f>
        <v>Maplink1</v>
      </c>
      <c r="AV3546" s="14" t="str">
        <f>HYPERLINK("https://www.google.iq/maps/search/+31.4393,46.1706/@31.4393,46.1706,14z?hl=en","Maplink2")</f>
        <v>Maplink2</v>
      </c>
      <c r="AW3546" s="14" t="str">
        <f>HYPERLINK("http://www.bing.com/maps/?lvl=14&amp;sty=h&amp;cp=31.4393~46.1706&amp;sp=point.31.4393_46.1706","Maplink3")</f>
        <v>Maplink3</v>
      </c>
    </row>
    <row r="3547" spans="1:49" x14ac:dyDescent="0.25">
      <c r="A3547" s="21">
        <v>10286</v>
      </c>
      <c r="B3547" s="22" t="s">
        <v>25</v>
      </c>
      <c r="C3547" s="22" t="s">
        <v>6856</v>
      </c>
      <c r="D3547" s="22" t="s">
        <v>7514</v>
      </c>
      <c r="E3547" s="22" t="s">
        <v>2196</v>
      </c>
      <c r="F3547" s="22">
        <v>31.411602999999999</v>
      </c>
      <c r="G3547" s="22">
        <v>46.179586999999998</v>
      </c>
      <c r="H3547" s="21" t="s">
        <v>6835</v>
      </c>
      <c r="I3547" s="21" t="s">
        <v>6859</v>
      </c>
      <c r="J3547" s="21" t="s">
        <v>7515</v>
      </c>
      <c r="K3547" s="24">
        <v>3</v>
      </c>
      <c r="L3547" s="24">
        <v>18</v>
      </c>
      <c r="M3547" s="23">
        <v>3</v>
      </c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>
        <v>3</v>
      </c>
      <c r="AL3547" s="23"/>
      <c r="AM3547" s="23"/>
      <c r="AN3547" s="23"/>
      <c r="AO3547" s="23"/>
      <c r="AP3547" s="23">
        <v>3</v>
      </c>
      <c r="AQ3547" s="23"/>
      <c r="AR3547" s="23"/>
      <c r="AS3547" s="23"/>
      <c r="AT3547" s="23"/>
      <c r="AU3547" s="14" t="str">
        <f>HYPERLINK("http://www.openstreetmap.org/?mlat=31.4116&amp;mlon=46.1796&amp;zoom=12#map=12/31.4116/46.1796","Maplink1")</f>
        <v>Maplink1</v>
      </c>
      <c r="AV3547" s="14" t="str">
        <f>HYPERLINK("https://www.google.iq/maps/search/+31.4116,46.1796/@31.4116,46.1796,14z?hl=en","Maplink2")</f>
        <v>Maplink2</v>
      </c>
      <c r="AW3547" s="14" t="str">
        <f>HYPERLINK("http://www.bing.com/maps/?lvl=14&amp;sty=h&amp;cp=31.4116~46.1796&amp;sp=point.31.4116_46.1796","Maplink3")</f>
        <v>Maplink3</v>
      </c>
    </row>
    <row r="3548" spans="1:49" x14ac:dyDescent="0.25">
      <c r="A3548" s="21">
        <v>27273</v>
      </c>
      <c r="B3548" s="22" t="s">
        <v>25</v>
      </c>
      <c r="C3548" s="22" t="s">
        <v>6856</v>
      </c>
      <c r="D3548" s="22" t="s">
        <v>6880</v>
      </c>
      <c r="E3548" s="22" t="s">
        <v>6881</v>
      </c>
      <c r="F3548" s="22">
        <v>31.461908999999999</v>
      </c>
      <c r="G3548" s="22">
        <v>46.191029999999998</v>
      </c>
      <c r="H3548" s="21" t="s">
        <v>6835</v>
      </c>
      <c r="I3548" s="21" t="s">
        <v>6859</v>
      </c>
      <c r="J3548" s="21"/>
      <c r="K3548" s="24">
        <v>20</v>
      </c>
      <c r="L3548" s="24">
        <v>120</v>
      </c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>
        <v>20</v>
      </c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>
        <v>20</v>
      </c>
      <c r="AJ3548" s="23"/>
      <c r="AK3548" s="23"/>
      <c r="AL3548" s="23"/>
      <c r="AM3548" s="23"/>
      <c r="AN3548" s="23"/>
      <c r="AO3548" s="23"/>
      <c r="AP3548" s="23"/>
      <c r="AQ3548" s="23">
        <v>6</v>
      </c>
      <c r="AR3548" s="23">
        <v>14</v>
      </c>
      <c r="AS3548" s="23"/>
      <c r="AT3548" s="23"/>
      <c r="AU3548" s="14" t="str">
        <f>HYPERLINK("http://www.openstreetmap.org/?mlat=31.4619&amp;mlon=46.191&amp;zoom=12#map=12/31.4619/46.191","Maplink1")</f>
        <v>Maplink1</v>
      </c>
      <c r="AV3548" s="14" t="str">
        <f>HYPERLINK("https://www.google.iq/maps/search/+31.4619,46.191/@31.4619,46.191,14z?hl=en","Maplink2")</f>
        <v>Maplink2</v>
      </c>
      <c r="AW3548" s="14" t="str">
        <f>HYPERLINK("http://www.bing.com/maps/?lvl=14&amp;sty=h&amp;cp=31.4619~46.191&amp;sp=point.31.4619_46.191_Siddifa","Maplink3")</f>
        <v>Maplink3</v>
      </c>
    </row>
    <row r="3549" spans="1:49" x14ac:dyDescent="0.25">
      <c r="A3549" s="21">
        <v>24494</v>
      </c>
      <c r="B3549" s="22" t="s">
        <v>25</v>
      </c>
      <c r="C3549" s="22" t="s">
        <v>6882</v>
      </c>
      <c r="D3549" s="22" t="s">
        <v>6883</v>
      </c>
      <c r="E3549" s="22" t="s">
        <v>6884</v>
      </c>
      <c r="F3549" s="22">
        <v>31.034385</v>
      </c>
      <c r="G3549" s="22">
        <v>46.195472000000002</v>
      </c>
      <c r="H3549" s="21" t="s">
        <v>6835</v>
      </c>
      <c r="I3549" s="21" t="s">
        <v>6885</v>
      </c>
      <c r="J3549" s="21"/>
      <c r="K3549" s="24">
        <v>4</v>
      </c>
      <c r="L3549" s="24">
        <v>24</v>
      </c>
      <c r="M3549" s="23"/>
      <c r="N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>
        <v>4</v>
      </c>
      <c r="Z3549" s="23"/>
      <c r="AA3549" s="23"/>
      <c r="AB3549" s="23"/>
      <c r="AC3549" s="23"/>
      <c r="AD3549" s="23"/>
      <c r="AE3549" s="23"/>
      <c r="AF3549" s="23">
        <v>4</v>
      </c>
      <c r="AG3549" s="23"/>
      <c r="AH3549" s="23"/>
      <c r="AI3549" s="23"/>
      <c r="AJ3549" s="23"/>
      <c r="AK3549" s="23"/>
      <c r="AL3549" s="23"/>
      <c r="AM3549" s="23"/>
      <c r="AN3549" s="23"/>
      <c r="AO3549" s="23"/>
      <c r="AP3549" s="23">
        <v>4</v>
      </c>
      <c r="AQ3549" s="23"/>
      <c r="AR3549" s="23"/>
      <c r="AS3549" s="23"/>
      <c r="AT3549" s="23"/>
      <c r="AU3549" s="14" t="str">
        <f>HYPERLINK("http://www.openstreetmap.org/?mlat=31.0344&amp;mlon=46.1955&amp;zoom=12#map=12/31.0344/46.1955","Maplink1")</f>
        <v>Maplink1</v>
      </c>
      <c r="AV3549" s="14" t="str">
        <f>HYPERLINK("https://www.google.iq/maps/search/+31.0344,46.1955/@31.0344,46.1955,14z?hl=en","Maplink2")</f>
        <v>Maplink2</v>
      </c>
      <c r="AW3549" s="14" t="str">
        <f>HYPERLINK("http://www.bing.com/maps/?lvl=14&amp;sty=h&amp;cp=31.0344~46.1955&amp;sp=point.31.0344_46.1955_Al Aker","Maplink3")</f>
        <v>Maplink3</v>
      </c>
    </row>
    <row r="3550" spans="1:49" x14ac:dyDescent="0.25">
      <c r="A3550" s="21">
        <v>25529</v>
      </c>
      <c r="B3550" s="22" t="s">
        <v>25</v>
      </c>
      <c r="C3550" s="22" t="s">
        <v>6882</v>
      </c>
      <c r="D3550" s="22" t="s">
        <v>6886</v>
      </c>
      <c r="E3550" s="22" t="s">
        <v>6887</v>
      </c>
      <c r="F3550" s="22">
        <v>31.041343999999999</v>
      </c>
      <c r="G3550" s="22">
        <v>46.244214999999997</v>
      </c>
      <c r="H3550" s="21" t="s">
        <v>6835</v>
      </c>
      <c r="I3550" s="21" t="s">
        <v>6885</v>
      </c>
      <c r="J3550" s="21"/>
      <c r="K3550" s="24">
        <v>10</v>
      </c>
      <c r="L3550" s="24">
        <v>60</v>
      </c>
      <c r="M3550" s="23">
        <v>1</v>
      </c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>
        <v>9</v>
      </c>
      <c r="Z3550" s="23"/>
      <c r="AA3550" s="23"/>
      <c r="AB3550" s="23"/>
      <c r="AC3550" s="23"/>
      <c r="AD3550" s="23"/>
      <c r="AE3550" s="23"/>
      <c r="AF3550" s="23">
        <v>5</v>
      </c>
      <c r="AG3550" s="23"/>
      <c r="AH3550" s="23"/>
      <c r="AI3550" s="23"/>
      <c r="AJ3550" s="23">
        <v>1</v>
      </c>
      <c r="AK3550" s="23">
        <v>4</v>
      </c>
      <c r="AL3550" s="23"/>
      <c r="AM3550" s="23"/>
      <c r="AN3550" s="23"/>
      <c r="AO3550" s="23"/>
      <c r="AP3550" s="23">
        <v>6</v>
      </c>
      <c r="AQ3550" s="23">
        <v>3</v>
      </c>
      <c r="AR3550" s="23"/>
      <c r="AS3550" s="23">
        <v>1</v>
      </c>
      <c r="AT3550" s="23"/>
      <c r="AU3550" s="14" t="str">
        <f>HYPERLINK("http://www.openstreetmap.org/?mlat=31.0413&amp;mlon=46.2442&amp;zoom=12#map=12/31.0413/46.2442","Maplink1")</f>
        <v>Maplink1</v>
      </c>
      <c r="AV3550" s="14" t="str">
        <f>HYPERLINK("https://www.google.iq/maps/search/+31.0413,46.2442/@31.0413,46.2442,14z?hl=en","Maplink2")</f>
        <v>Maplink2</v>
      </c>
      <c r="AW3550" s="14" t="str">
        <f>HYPERLINK("http://www.bing.com/maps/?lvl=14&amp;sty=h&amp;cp=31.0413~46.2442&amp;sp=point.31.0413_46.2442_Al Aoeh","Maplink3")</f>
        <v>Maplink3</v>
      </c>
    </row>
    <row r="3551" spans="1:49" x14ac:dyDescent="0.25">
      <c r="A3551" s="21">
        <v>24415</v>
      </c>
      <c r="B3551" s="22" t="s">
        <v>25</v>
      </c>
      <c r="C3551" s="22" t="s">
        <v>6882</v>
      </c>
      <c r="D3551" s="22" t="s">
        <v>6888</v>
      </c>
      <c r="E3551" s="22" t="s">
        <v>6889</v>
      </c>
      <c r="F3551" s="22">
        <v>31.12304</v>
      </c>
      <c r="G3551" s="22">
        <v>46.235472000000001</v>
      </c>
      <c r="H3551" s="21" t="s">
        <v>6835</v>
      </c>
      <c r="I3551" s="21" t="s">
        <v>6885</v>
      </c>
      <c r="J3551" s="21"/>
      <c r="K3551" s="24">
        <v>5</v>
      </c>
      <c r="L3551" s="24">
        <v>30</v>
      </c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5</v>
      </c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>
        <v>5</v>
      </c>
      <c r="AL3551" s="23"/>
      <c r="AM3551" s="23"/>
      <c r="AN3551" s="23"/>
      <c r="AO3551" s="23"/>
      <c r="AP3551" s="23"/>
      <c r="AQ3551" s="23">
        <v>5</v>
      </c>
      <c r="AR3551" s="23"/>
      <c r="AS3551" s="23"/>
      <c r="AT3551" s="23"/>
      <c r="AU3551" s="14" t="str">
        <f>HYPERLINK("http://www.openstreetmap.org/?mlat=31.123&amp;mlon=46.2355&amp;zoom=12#map=12/31.123/46.2355","Maplink1")</f>
        <v>Maplink1</v>
      </c>
      <c r="AV3551" s="14" t="str">
        <f>HYPERLINK("https://www.google.iq/maps/search/+31.123,46.2355/@31.123,46.2355,14z?hl=en","Maplink2")</f>
        <v>Maplink2</v>
      </c>
      <c r="AW3551" s="14" t="str">
        <f>HYPERLINK("http://www.bing.com/maps/?lvl=14&amp;sty=h&amp;cp=31.123~46.2355&amp;sp=point.31.123_46.2355_Al Asrriyah Village","Maplink3")</f>
        <v>Maplink3</v>
      </c>
    </row>
    <row r="3552" spans="1:49" x14ac:dyDescent="0.25">
      <c r="A3552" s="21">
        <v>8884</v>
      </c>
      <c r="B3552" s="22" t="s">
        <v>25</v>
      </c>
      <c r="C3552" s="22" t="s">
        <v>6882</v>
      </c>
      <c r="D3552" s="22" t="s">
        <v>6890</v>
      </c>
      <c r="E3552" s="22" t="s">
        <v>6891</v>
      </c>
      <c r="F3552" s="22">
        <v>31.1</v>
      </c>
      <c r="G3552" s="22">
        <v>45.88</v>
      </c>
      <c r="H3552" s="21" t="s">
        <v>6835</v>
      </c>
      <c r="I3552" s="21" t="s">
        <v>6885</v>
      </c>
      <c r="J3552" s="21" t="s">
        <v>6892</v>
      </c>
      <c r="K3552" s="24">
        <v>8</v>
      </c>
      <c r="L3552" s="24">
        <v>48</v>
      </c>
      <c r="M3552" s="23">
        <v>4</v>
      </c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4</v>
      </c>
      <c r="Z3552" s="23"/>
      <c r="AA3552" s="23"/>
      <c r="AB3552" s="23"/>
      <c r="AC3552" s="23"/>
      <c r="AD3552" s="23"/>
      <c r="AE3552" s="23"/>
      <c r="AF3552" s="23">
        <v>4</v>
      </c>
      <c r="AG3552" s="23"/>
      <c r="AH3552" s="23"/>
      <c r="AI3552" s="23"/>
      <c r="AJ3552" s="23"/>
      <c r="AK3552" s="23">
        <v>4</v>
      </c>
      <c r="AL3552" s="23"/>
      <c r="AM3552" s="23"/>
      <c r="AN3552" s="23"/>
      <c r="AO3552" s="23"/>
      <c r="AP3552" s="23"/>
      <c r="AQ3552" s="23"/>
      <c r="AR3552" s="23">
        <v>8</v>
      </c>
      <c r="AS3552" s="23"/>
      <c r="AT3552" s="23"/>
      <c r="AU3552" s="14" t="str">
        <f>HYPERLINK("http://www.openstreetmap.org/?mlat=31.1&amp;mlon=45.88&amp;zoom=12#map=12/31.1/45.88","Maplink1")</f>
        <v>Maplink1</v>
      </c>
      <c r="AV3552" s="14" t="str">
        <f>HYPERLINK("https://www.google.iq/maps/search/+31.1,45.88/@31.1,45.88,14z?hl=en","Maplink2")</f>
        <v>Maplink2</v>
      </c>
      <c r="AW3552" s="14" t="str">
        <f>HYPERLINK("http://www.bing.com/maps/?lvl=14&amp;sty=h&amp;cp=31.1~45.88&amp;sp=point.31.1_45.88_Al Batha","Maplink3")</f>
        <v>Maplink3</v>
      </c>
    </row>
    <row r="3553" spans="1:49" x14ac:dyDescent="0.25">
      <c r="A3553" s="21">
        <v>24884</v>
      </c>
      <c r="B3553" s="22" t="s">
        <v>25</v>
      </c>
      <c r="C3553" s="22" t="s">
        <v>6882</v>
      </c>
      <c r="D3553" s="22" t="s">
        <v>6893</v>
      </c>
      <c r="E3553" s="22" t="s">
        <v>6894</v>
      </c>
      <c r="F3553" s="22">
        <v>31.155000000000001</v>
      </c>
      <c r="G3553" s="22">
        <v>46.245555000000003</v>
      </c>
      <c r="H3553" s="21" t="s">
        <v>6835</v>
      </c>
      <c r="I3553" s="21" t="s">
        <v>6885</v>
      </c>
      <c r="J3553" s="21"/>
      <c r="K3553" s="24">
        <v>30</v>
      </c>
      <c r="L3553" s="24">
        <v>180</v>
      </c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>
        <v>30</v>
      </c>
      <c r="Z3553" s="23"/>
      <c r="AA3553" s="23"/>
      <c r="AB3553" s="23"/>
      <c r="AC3553" s="23"/>
      <c r="AD3553" s="23"/>
      <c r="AE3553" s="23"/>
      <c r="AF3553" s="23">
        <v>27</v>
      </c>
      <c r="AG3553" s="23"/>
      <c r="AH3553" s="23"/>
      <c r="AI3553" s="23"/>
      <c r="AJ3553" s="23"/>
      <c r="AK3553" s="23">
        <v>3</v>
      </c>
      <c r="AL3553" s="23"/>
      <c r="AM3553" s="23"/>
      <c r="AN3553" s="23"/>
      <c r="AO3553" s="23">
        <v>7</v>
      </c>
      <c r="AP3553" s="23">
        <v>23</v>
      </c>
      <c r="AQ3553" s="23"/>
      <c r="AR3553" s="23"/>
      <c r="AS3553" s="23"/>
      <c r="AT3553" s="23"/>
      <c r="AU3553" s="14" t="str">
        <f>HYPERLINK("http://www.openstreetmap.org/?mlat=31.155&amp;mlon=46.2456&amp;zoom=12#map=12/31.155/46.2456","Maplink1")</f>
        <v>Maplink1</v>
      </c>
      <c r="AV3553" s="14" t="str">
        <f>HYPERLINK("https://www.google.iq/maps/search/+31.155,46.2456/@31.155,46.2456,14z?hl=en","Maplink2")</f>
        <v>Maplink2</v>
      </c>
      <c r="AW3553" s="14" t="str">
        <f>HYPERLINK("http://www.bing.com/maps/?lvl=14&amp;sty=h&amp;cp=31.155~46.2456&amp;sp=point.31.155_46.2456_Al bohyaleh","Maplink3")</f>
        <v>Maplink3</v>
      </c>
    </row>
    <row r="3554" spans="1:49" x14ac:dyDescent="0.25">
      <c r="A3554" s="21">
        <v>9728</v>
      </c>
      <c r="B3554" s="22" t="s">
        <v>25</v>
      </c>
      <c r="C3554" s="22" t="s">
        <v>6882</v>
      </c>
      <c r="D3554" s="22" t="s">
        <v>6895</v>
      </c>
      <c r="E3554" s="22" t="s">
        <v>1352</v>
      </c>
      <c r="F3554" s="22">
        <v>31.315556000000001</v>
      </c>
      <c r="G3554" s="22">
        <v>46.561110999999997</v>
      </c>
      <c r="H3554" s="21" t="s">
        <v>6835</v>
      </c>
      <c r="I3554" s="21" t="s">
        <v>6885</v>
      </c>
      <c r="J3554" s="21" t="s">
        <v>6896</v>
      </c>
      <c r="K3554" s="24">
        <v>3</v>
      </c>
      <c r="L3554" s="24">
        <v>18</v>
      </c>
      <c r="M3554" s="23">
        <v>3</v>
      </c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>
        <v>3</v>
      </c>
      <c r="AL3554" s="23"/>
      <c r="AM3554" s="23"/>
      <c r="AN3554" s="23"/>
      <c r="AO3554" s="23"/>
      <c r="AP3554" s="23">
        <v>3</v>
      </c>
      <c r="AQ3554" s="23"/>
      <c r="AR3554" s="23"/>
      <c r="AS3554" s="23"/>
      <c r="AT3554" s="23"/>
      <c r="AU3554" s="14" t="str">
        <f>HYPERLINK("http://www.openstreetmap.org/?mlat=31.3156&amp;mlon=46.5611&amp;zoom=12#map=12/31.3156/46.5611","Maplink1")</f>
        <v>Maplink1</v>
      </c>
      <c r="AV3554" s="14" t="str">
        <f>HYPERLINK("https://www.google.iq/maps/search/+31.3156,46.5611/@31.3156,46.5611,14z?hl=en","Maplink2")</f>
        <v>Maplink2</v>
      </c>
      <c r="AW3554" s="14" t="str">
        <f>HYPERLINK("http://www.bing.com/maps/?lvl=14&amp;sty=h&amp;cp=31.3156~46.5611&amp;sp=point.31.3156_46.5611_Al Dhubat","Maplink3")</f>
        <v>Maplink3</v>
      </c>
    </row>
    <row r="3555" spans="1:49" x14ac:dyDescent="0.25">
      <c r="A3555" s="21">
        <v>25525</v>
      </c>
      <c r="B3555" s="22" t="s">
        <v>25</v>
      </c>
      <c r="C3555" s="22" t="s">
        <v>6882</v>
      </c>
      <c r="D3555" s="22" t="s">
        <v>6897</v>
      </c>
      <c r="E3555" s="22" t="s">
        <v>6898</v>
      </c>
      <c r="F3555" s="22">
        <v>31.028027000000002</v>
      </c>
      <c r="G3555" s="22">
        <v>46.240794999999999</v>
      </c>
      <c r="H3555" s="21" t="s">
        <v>6835</v>
      </c>
      <c r="I3555" s="21" t="s">
        <v>6885</v>
      </c>
      <c r="J3555" s="21"/>
      <c r="K3555" s="24">
        <v>10</v>
      </c>
      <c r="L3555" s="24">
        <v>60</v>
      </c>
      <c r="M3555" s="23"/>
      <c r="N3555" s="23">
        <v>2</v>
      </c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>
        <v>8</v>
      </c>
      <c r="Z3555" s="23"/>
      <c r="AA3555" s="23"/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>
        <v>10</v>
      </c>
      <c r="AL3555" s="23"/>
      <c r="AM3555" s="23"/>
      <c r="AN3555" s="23"/>
      <c r="AO3555" s="23"/>
      <c r="AP3555" s="23">
        <v>10</v>
      </c>
      <c r="AQ3555" s="23"/>
      <c r="AR3555" s="23"/>
      <c r="AS3555" s="23"/>
      <c r="AT3555" s="23"/>
      <c r="AU3555" s="14" t="str">
        <f>HYPERLINK("http://www.openstreetmap.org/?mlat=31.028&amp;mlon=46.2408&amp;zoom=12#map=12/31.028/46.2408","Maplink1")</f>
        <v>Maplink1</v>
      </c>
      <c r="AV3555" s="14" t="str">
        <f>HYPERLINK("https://www.google.iq/maps/search/+31.028,46.2408/@31.028,46.2408,14z?hl=en","Maplink2")</f>
        <v>Maplink2</v>
      </c>
      <c r="AW3555" s="14" t="str">
        <f>HYPERLINK("http://www.bing.com/maps/?lvl=14&amp;sty=h&amp;cp=31.028~46.2408&amp;sp=point.31.028_46.2408_Al Emarat","Maplink3")</f>
        <v>Maplink3</v>
      </c>
    </row>
    <row r="3556" spans="1:49" x14ac:dyDescent="0.25">
      <c r="A3556" s="21">
        <v>24740</v>
      </c>
      <c r="B3556" s="22" t="s">
        <v>25</v>
      </c>
      <c r="C3556" s="22" t="s">
        <v>6882</v>
      </c>
      <c r="D3556" s="22" t="s">
        <v>1230</v>
      </c>
      <c r="E3556" s="22" t="s">
        <v>1231</v>
      </c>
      <c r="F3556" s="22">
        <v>31.038892000000001</v>
      </c>
      <c r="G3556" s="22">
        <v>46.244545000000002</v>
      </c>
      <c r="H3556" s="21" t="s">
        <v>6835</v>
      </c>
      <c r="I3556" s="21" t="s">
        <v>6885</v>
      </c>
      <c r="J3556" s="21"/>
      <c r="K3556" s="24">
        <v>2</v>
      </c>
      <c r="L3556" s="24">
        <v>12</v>
      </c>
      <c r="M3556" s="23">
        <v>1</v>
      </c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>
        <v>1</v>
      </c>
      <c r="AB3556" s="23"/>
      <c r="AC3556" s="23"/>
      <c r="AD3556" s="23"/>
      <c r="AE3556" s="23"/>
      <c r="AF3556" s="23">
        <v>1</v>
      </c>
      <c r="AG3556" s="23"/>
      <c r="AH3556" s="23"/>
      <c r="AI3556" s="23"/>
      <c r="AJ3556" s="23"/>
      <c r="AK3556" s="23">
        <v>1</v>
      </c>
      <c r="AL3556" s="23"/>
      <c r="AM3556" s="23"/>
      <c r="AN3556" s="23"/>
      <c r="AO3556" s="23"/>
      <c r="AP3556" s="23"/>
      <c r="AQ3556" s="23"/>
      <c r="AR3556" s="23">
        <v>1</v>
      </c>
      <c r="AS3556" s="23">
        <v>1</v>
      </c>
      <c r="AT3556" s="23"/>
      <c r="AU3556" s="14" t="str">
        <f>HYPERLINK("http://www.openstreetmap.org/?mlat=31.0389&amp;mlon=46.2445&amp;zoom=12#map=12/31.0389/46.2445","Maplink1")</f>
        <v>Maplink1</v>
      </c>
      <c r="AV3556" s="14" t="str">
        <f>HYPERLINK("https://www.google.iq/maps/search/+31.0389,46.2445/@31.0389,46.2445,14z?hl=en","Maplink2")</f>
        <v>Maplink2</v>
      </c>
      <c r="AW3556" s="14" t="str">
        <f>HYPERLINK("http://www.bing.com/maps/?lvl=14&amp;sty=h&amp;cp=31.0389~46.2445&amp;sp=point.31.0389_46.2445_Al Iskan","Maplink3")</f>
        <v>Maplink3</v>
      </c>
    </row>
    <row r="3557" spans="1:49" x14ac:dyDescent="0.25">
      <c r="A3557" s="21">
        <v>10260</v>
      </c>
      <c r="B3557" s="22" t="s">
        <v>25</v>
      </c>
      <c r="C3557" s="22" t="s">
        <v>6882</v>
      </c>
      <c r="D3557" s="22" t="s">
        <v>6899</v>
      </c>
      <c r="E3557" s="22" t="s">
        <v>6900</v>
      </c>
      <c r="F3557" s="22">
        <v>30.955549999999999</v>
      </c>
      <c r="G3557" s="22">
        <v>46.26</v>
      </c>
      <c r="H3557" s="21" t="s">
        <v>6835</v>
      </c>
      <c r="I3557" s="21" t="s">
        <v>6885</v>
      </c>
      <c r="J3557" s="21" t="s">
        <v>6901</v>
      </c>
      <c r="K3557" s="24">
        <v>46</v>
      </c>
      <c r="L3557" s="24">
        <v>276</v>
      </c>
      <c r="M3557" s="23">
        <v>8</v>
      </c>
      <c r="N3557" s="23">
        <v>1</v>
      </c>
      <c r="O3557" s="23"/>
      <c r="P3557" s="23"/>
      <c r="Q3557" s="23"/>
      <c r="R3557" s="23">
        <v>6</v>
      </c>
      <c r="S3557" s="23"/>
      <c r="T3557" s="23"/>
      <c r="U3557" s="23">
        <v>8</v>
      </c>
      <c r="V3557" s="23"/>
      <c r="W3557" s="23"/>
      <c r="X3557" s="23"/>
      <c r="Y3557" s="23">
        <v>23</v>
      </c>
      <c r="Z3557" s="23"/>
      <c r="AA3557" s="23"/>
      <c r="AB3557" s="23"/>
      <c r="AC3557" s="23"/>
      <c r="AD3557" s="23"/>
      <c r="AE3557" s="23"/>
      <c r="AF3557" s="23">
        <v>25</v>
      </c>
      <c r="AG3557" s="23"/>
      <c r="AH3557" s="23"/>
      <c r="AI3557" s="23"/>
      <c r="AJ3557" s="23"/>
      <c r="AK3557" s="23">
        <v>21</v>
      </c>
      <c r="AL3557" s="23"/>
      <c r="AM3557" s="23"/>
      <c r="AN3557" s="23"/>
      <c r="AO3557" s="23"/>
      <c r="AP3557" s="23">
        <v>5</v>
      </c>
      <c r="AQ3557" s="23">
        <v>39</v>
      </c>
      <c r="AR3557" s="23">
        <v>1</v>
      </c>
      <c r="AS3557" s="23">
        <v>1</v>
      </c>
      <c r="AT3557" s="23"/>
      <c r="AU3557" s="14" t="str">
        <f>HYPERLINK("http://www.openstreetmap.org/?mlat=30.9555&amp;mlon=46.26&amp;zoom=12#map=12/30.9555/46.26","Maplink1")</f>
        <v>Maplink1</v>
      </c>
      <c r="AV3557" s="14" t="str">
        <f>HYPERLINK("https://www.google.iq/maps/search/+30.9555,46.26/@30.9555,46.26,14z?hl=en","Maplink2")</f>
        <v>Maplink2</v>
      </c>
      <c r="AW3557" s="14" t="str">
        <f>HYPERLINK("http://www.bing.com/maps/?lvl=14&amp;sty=h&amp;cp=30.9555~46.26&amp;sp=point.30.9555_46.26_Al Iskan Al Ssinaie","Maplink3")</f>
        <v>Maplink3</v>
      </c>
    </row>
    <row r="3558" spans="1:49" x14ac:dyDescent="0.25">
      <c r="A3558" s="21">
        <v>24540</v>
      </c>
      <c r="B3558" s="22" t="s">
        <v>25</v>
      </c>
      <c r="C3558" s="22" t="s">
        <v>6882</v>
      </c>
      <c r="D3558" s="22" t="s">
        <v>6902</v>
      </c>
      <c r="E3558" s="22" t="s">
        <v>8130</v>
      </c>
      <c r="F3558" s="22">
        <v>31.049230000000001</v>
      </c>
      <c r="G3558" s="22">
        <v>46.243642000000001</v>
      </c>
      <c r="H3558" s="21" t="s">
        <v>6835</v>
      </c>
      <c r="I3558" s="21" t="s">
        <v>6885</v>
      </c>
      <c r="J3558" s="21"/>
      <c r="K3558" s="24">
        <v>21</v>
      </c>
      <c r="L3558" s="24">
        <v>126</v>
      </c>
      <c r="M3558" s="23">
        <v>6</v>
      </c>
      <c r="N3558" s="23"/>
      <c r="O3558" s="23"/>
      <c r="P3558" s="23"/>
      <c r="Q3558" s="23"/>
      <c r="R3558" s="23"/>
      <c r="S3558" s="23"/>
      <c r="T3558" s="23"/>
      <c r="U3558" s="23">
        <v>6</v>
      </c>
      <c r="V3558" s="23"/>
      <c r="W3558" s="23"/>
      <c r="X3558" s="23"/>
      <c r="Y3558" s="23"/>
      <c r="Z3558" s="23"/>
      <c r="AA3558" s="23">
        <v>9</v>
      </c>
      <c r="AB3558" s="23"/>
      <c r="AC3558" s="23"/>
      <c r="AD3558" s="23"/>
      <c r="AE3558" s="23"/>
      <c r="AF3558" s="23">
        <v>7</v>
      </c>
      <c r="AG3558" s="23"/>
      <c r="AH3558" s="23"/>
      <c r="AI3558" s="23"/>
      <c r="AJ3558" s="23"/>
      <c r="AK3558" s="23">
        <v>14</v>
      </c>
      <c r="AL3558" s="23"/>
      <c r="AM3558" s="23"/>
      <c r="AN3558" s="23"/>
      <c r="AO3558" s="23">
        <v>5</v>
      </c>
      <c r="AP3558" s="23">
        <v>6</v>
      </c>
      <c r="AQ3558" s="23"/>
      <c r="AR3558" s="23">
        <v>10</v>
      </c>
      <c r="AS3558" s="23"/>
      <c r="AT3558" s="23"/>
      <c r="AU3558" s="14" t="str">
        <f>HYPERLINK("http://www.openstreetmap.org/?mlat=31.0492&amp;mlon=46.2436&amp;zoom=12#map=12/31.0492/46.2436","Maplink1")</f>
        <v>Maplink1</v>
      </c>
      <c r="AV3558" s="14" t="str">
        <f>HYPERLINK("https://www.google.iq/maps/search/+31.0492,46.2436/@31.0492,46.2436,14z?hl=en","Maplink2")</f>
        <v>Maplink2</v>
      </c>
      <c r="AW3558" s="14" t="str">
        <f>HYPERLINK("http://www.bing.com/maps/?lvl=14&amp;sty=h&amp;cp=31.0492~46.2436&amp;sp=point.31.0492_46.2436_Al Mahaliyah","Maplink3")</f>
        <v>Maplink3</v>
      </c>
    </row>
    <row r="3559" spans="1:49" x14ac:dyDescent="0.25">
      <c r="A3559" s="21">
        <v>10270</v>
      </c>
      <c r="B3559" s="22" t="s">
        <v>25</v>
      </c>
      <c r="C3559" s="22" t="s">
        <v>6882</v>
      </c>
      <c r="D3559" s="22" t="s">
        <v>6903</v>
      </c>
      <c r="E3559" s="22" t="s">
        <v>6904</v>
      </c>
      <c r="F3559" s="22">
        <v>31.039024999999999</v>
      </c>
      <c r="G3559" s="22">
        <v>46.155579000000003</v>
      </c>
      <c r="H3559" s="21" t="s">
        <v>6835</v>
      </c>
      <c r="I3559" s="21" t="s">
        <v>6885</v>
      </c>
      <c r="J3559" s="21" t="s">
        <v>6905</v>
      </c>
      <c r="K3559" s="24">
        <v>10</v>
      </c>
      <c r="L3559" s="24">
        <v>60</v>
      </c>
      <c r="M3559" s="23"/>
      <c r="N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>
        <v>10</v>
      </c>
      <c r="Z3559" s="23"/>
      <c r="AA3559" s="23"/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>
        <v>10</v>
      </c>
      <c r="AL3559" s="23"/>
      <c r="AM3559" s="23"/>
      <c r="AN3559" s="23"/>
      <c r="AO3559" s="23"/>
      <c r="AP3559" s="23">
        <v>10</v>
      </c>
      <c r="AQ3559" s="23"/>
      <c r="AR3559" s="23"/>
      <c r="AS3559" s="23"/>
      <c r="AT3559" s="23"/>
      <c r="AU3559" s="14" t="str">
        <f>HYPERLINK("http://www.openstreetmap.org/?mlat=31.039&amp;mlon=46.1556&amp;zoom=12#map=12/31.039/46.1556","Maplink1")</f>
        <v>Maplink1</v>
      </c>
      <c r="AV3559" s="14" t="str">
        <f>HYPERLINK("https://www.google.iq/maps/search/+31.039,46.1556/@31.039,46.1556,14z?hl=en","Maplink2")</f>
        <v>Maplink2</v>
      </c>
      <c r="AW3559" s="14" t="str">
        <f>HYPERLINK("http://www.bing.com/maps/?lvl=14&amp;sty=h&amp;cp=31.039~46.1556&amp;sp=point.31.039_46.1556_Al Saih","Maplink3")</f>
        <v>Maplink3</v>
      </c>
    </row>
    <row r="3560" spans="1:49" x14ac:dyDescent="0.25">
      <c r="A3560" s="21">
        <v>10254</v>
      </c>
      <c r="B3560" s="22" t="s">
        <v>25</v>
      </c>
      <c r="C3560" s="22" t="s">
        <v>6882</v>
      </c>
      <c r="D3560" s="22" t="s">
        <v>6906</v>
      </c>
      <c r="E3560" s="22" t="s">
        <v>6907</v>
      </c>
      <c r="F3560" s="22">
        <v>31.045152999999999</v>
      </c>
      <c r="G3560" s="22">
        <v>46.262810999999999</v>
      </c>
      <c r="H3560" s="21" t="s">
        <v>6835</v>
      </c>
      <c r="I3560" s="21" t="s">
        <v>6885</v>
      </c>
      <c r="J3560" s="21" t="s">
        <v>6908</v>
      </c>
      <c r="K3560" s="24">
        <v>51</v>
      </c>
      <c r="L3560" s="24">
        <v>306</v>
      </c>
      <c r="M3560" s="23">
        <v>7</v>
      </c>
      <c r="N3560" s="23"/>
      <c r="O3560" s="23"/>
      <c r="P3560" s="23"/>
      <c r="Q3560" s="23"/>
      <c r="R3560" s="23"/>
      <c r="S3560" s="23"/>
      <c r="T3560" s="23"/>
      <c r="U3560" s="23">
        <v>15</v>
      </c>
      <c r="V3560" s="23"/>
      <c r="W3560" s="23"/>
      <c r="X3560" s="23"/>
      <c r="Y3560" s="23">
        <v>24</v>
      </c>
      <c r="Z3560" s="23"/>
      <c r="AA3560" s="23">
        <v>5</v>
      </c>
      <c r="AB3560" s="23"/>
      <c r="AC3560" s="23"/>
      <c r="AD3560" s="23"/>
      <c r="AE3560" s="23"/>
      <c r="AF3560" s="23">
        <v>32</v>
      </c>
      <c r="AG3560" s="23"/>
      <c r="AH3560" s="23"/>
      <c r="AI3560" s="23"/>
      <c r="AJ3560" s="23"/>
      <c r="AK3560" s="23">
        <v>19</v>
      </c>
      <c r="AL3560" s="23"/>
      <c r="AM3560" s="23"/>
      <c r="AN3560" s="23"/>
      <c r="AO3560" s="23"/>
      <c r="AP3560" s="23"/>
      <c r="AQ3560" s="23">
        <v>44</v>
      </c>
      <c r="AR3560" s="23"/>
      <c r="AS3560" s="23">
        <v>7</v>
      </c>
      <c r="AT3560" s="23"/>
      <c r="AU3560" s="14" t="str">
        <f>HYPERLINK("http://www.openstreetmap.org/?mlat=31.0452&amp;mlon=46.2628&amp;zoom=12#map=12/31.0452/46.2628","Maplink1")</f>
        <v>Maplink1</v>
      </c>
      <c r="AV3560" s="14" t="str">
        <f>HYPERLINK("https://www.google.iq/maps/search/+31.0452,46.2628/@31.0452,46.2628,14z?hl=en","Maplink2")</f>
        <v>Maplink2</v>
      </c>
      <c r="AW3560" s="14" t="str">
        <f>HYPERLINK("http://www.bing.com/maps/?lvl=14&amp;sty=h&amp;cp=31.0452~46.2628&amp;sp=point.31.0452_46.2628_Al Sharqiya","Maplink3")</f>
        <v>Maplink3</v>
      </c>
    </row>
    <row r="3561" spans="1:49" x14ac:dyDescent="0.25">
      <c r="A3561" s="21">
        <v>10272</v>
      </c>
      <c r="B3561" s="22" t="s">
        <v>25</v>
      </c>
      <c r="C3561" s="22" t="s">
        <v>6882</v>
      </c>
      <c r="D3561" s="22" t="s">
        <v>6909</v>
      </c>
      <c r="E3561" s="22" t="s">
        <v>8131</v>
      </c>
      <c r="F3561" s="22">
        <v>31.032990000000002</v>
      </c>
      <c r="G3561" s="22">
        <v>46.240929999999999</v>
      </c>
      <c r="H3561" s="21" t="s">
        <v>6835</v>
      </c>
      <c r="I3561" s="21" t="s">
        <v>6885</v>
      </c>
      <c r="J3561" s="21" t="s">
        <v>6910</v>
      </c>
      <c r="K3561" s="24">
        <v>8</v>
      </c>
      <c r="L3561" s="24">
        <v>48</v>
      </c>
      <c r="M3561" s="23">
        <v>3</v>
      </c>
      <c r="N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>
        <v>5</v>
      </c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>
        <v>3</v>
      </c>
      <c r="AK3561" s="23">
        <v>5</v>
      </c>
      <c r="AL3561" s="23"/>
      <c r="AM3561" s="23"/>
      <c r="AN3561" s="23"/>
      <c r="AO3561" s="23">
        <v>3</v>
      </c>
      <c r="AP3561" s="23">
        <v>3</v>
      </c>
      <c r="AQ3561" s="23"/>
      <c r="AR3561" s="23">
        <v>2</v>
      </c>
      <c r="AS3561" s="23"/>
      <c r="AT3561" s="23"/>
      <c r="AU3561" s="14" t="str">
        <f>HYPERLINK("http://www.openstreetmap.org/?mlat=31.033&amp;mlon=46.2409&amp;zoom=12#map=12/31.033/46.2409","Maplink1")</f>
        <v>Maplink1</v>
      </c>
      <c r="AV3561" s="14" t="str">
        <f>HYPERLINK("https://www.google.iq/maps/search/+31.033,46.2409/@31.033,46.2409,14z?hl=en","Maplink2")</f>
        <v>Maplink2</v>
      </c>
      <c r="AW3561" s="14" t="str">
        <f>HYPERLINK("http://www.bing.com/maps/?lvl=14&amp;sty=h&amp;cp=31.033~46.2409&amp;sp=point.31.033_46.2409_Al Shoula","Maplink3")</f>
        <v>Maplink3</v>
      </c>
    </row>
    <row r="3562" spans="1:49" x14ac:dyDescent="0.25">
      <c r="A3562" s="21">
        <v>10281</v>
      </c>
      <c r="B3562" s="22" t="s">
        <v>25</v>
      </c>
      <c r="C3562" s="22" t="s">
        <v>6882</v>
      </c>
      <c r="D3562" s="22" t="s">
        <v>6911</v>
      </c>
      <c r="E3562" s="22" t="s">
        <v>6912</v>
      </c>
      <c r="F3562" s="22">
        <v>31.030169999999998</v>
      </c>
      <c r="G3562" s="22">
        <v>46.246139999999997</v>
      </c>
      <c r="H3562" s="21" t="s">
        <v>6835</v>
      </c>
      <c r="I3562" s="21" t="s">
        <v>6885</v>
      </c>
      <c r="J3562" s="21" t="s">
        <v>6913</v>
      </c>
      <c r="K3562" s="24">
        <v>11</v>
      </c>
      <c r="L3562" s="24">
        <v>66</v>
      </c>
      <c r="M3562" s="23">
        <v>8</v>
      </c>
      <c r="N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>
        <v>3</v>
      </c>
      <c r="Z3562" s="23"/>
      <c r="AA3562" s="23"/>
      <c r="AB3562" s="23"/>
      <c r="AC3562" s="23"/>
      <c r="AD3562" s="23"/>
      <c r="AE3562" s="23"/>
      <c r="AF3562" s="23">
        <v>2</v>
      </c>
      <c r="AG3562" s="23"/>
      <c r="AH3562" s="23"/>
      <c r="AI3562" s="23"/>
      <c r="AJ3562" s="23"/>
      <c r="AK3562" s="23">
        <v>9</v>
      </c>
      <c r="AL3562" s="23"/>
      <c r="AM3562" s="23"/>
      <c r="AN3562" s="23"/>
      <c r="AO3562" s="23"/>
      <c r="AP3562" s="23">
        <v>11</v>
      </c>
      <c r="AQ3562" s="23"/>
      <c r="AR3562" s="23"/>
      <c r="AS3562" s="23"/>
      <c r="AT3562" s="23"/>
      <c r="AU3562" s="14" t="str">
        <f>HYPERLINK("http://www.openstreetmap.org/?mlat=31.0302&amp;mlon=46.2461&amp;zoom=12#map=12/31.0302/46.2461","Maplink1")</f>
        <v>Maplink1</v>
      </c>
      <c r="AV3562" s="14" t="str">
        <f>HYPERLINK("https://www.google.iq/maps/search/+31.0302,46.2461/@31.0302,46.2461,14z?hl=en","Maplink2")</f>
        <v>Maplink2</v>
      </c>
      <c r="AW3562" s="14" t="str">
        <f>HYPERLINK("http://www.bing.com/maps/?lvl=14&amp;sty=h&amp;cp=31.0302~46.2461&amp;sp=point.31.0302_46.2461_Al Shumokh","Maplink3")</f>
        <v>Maplink3</v>
      </c>
    </row>
    <row r="3563" spans="1:49" x14ac:dyDescent="0.25">
      <c r="A3563" s="21">
        <v>9460</v>
      </c>
      <c r="B3563" s="22" t="s">
        <v>25</v>
      </c>
      <c r="C3563" s="22" t="s">
        <v>6882</v>
      </c>
      <c r="D3563" s="22" t="s">
        <v>6914</v>
      </c>
      <c r="E3563" s="22" t="s">
        <v>6915</v>
      </c>
      <c r="F3563" s="22">
        <v>31.052778</v>
      </c>
      <c r="G3563" s="22">
        <v>46.238889</v>
      </c>
      <c r="H3563" s="21" t="s">
        <v>6835</v>
      </c>
      <c r="I3563" s="21" t="s">
        <v>6885</v>
      </c>
      <c r="J3563" s="21" t="s">
        <v>6916</v>
      </c>
      <c r="K3563" s="24">
        <v>7</v>
      </c>
      <c r="L3563" s="24">
        <v>42</v>
      </c>
      <c r="M3563" s="23">
        <v>7</v>
      </c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23">
        <v>5</v>
      </c>
      <c r="AG3563" s="23"/>
      <c r="AH3563" s="23"/>
      <c r="AI3563" s="23"/>
      <c r="AJ3563" s="23"/>
      <c r="AK3563" s="23">
        <v>2</v>
      </c>
      <c r="AL3563" s="23"/>
      <c r="AM3563" s="23"/>
      <c r="AN3563" s="23"/>
      <c r="AO3563" s="23"/>
      <c r="AP3563" s="23"/>
      <c r="AQ3563" s="23">
        <v>7</v>
      </c>
      <c r="AR3563" s="23"/>
      <c r="AS3563" s="23"/>
      <c r="AT3563" s="23"/>
      <c r="AU3563" s="14" t="str">
        <f>HYPERLINK("http://www.openstreetmap.org/?mlat=31.0528&amp;mlon=46.2389&amp;zoom=12#map=12/31.0528/46.2389","Maplink1")</f>
        <v>Maplink1</v>
      </c>
      <c r="AV3563" s="14" t="str">
        <f>HYPERLINK("https://www.google.iq/maps/search/+31.0528,46.2389/@31.0528,46.2389,14z?hl=en","Maplink2")</f>
        <v>Maplink2</v>
      </c>
      <c r="AW3563" s="14" t="str">
        <f>HYPERLINK("http://www.bing.com/maps/?lvl=14&amp;sty=h&amp;cp=31.0528~46.2389&amp;sp=point.31.0528_46.2389_Al-bashaier","Maplink3")</f>
        <v>Maplink3</v>
      </c>
    </row>
    <row r="3564" spans="1:49" x14ac:dyDescent="0.25">
      <c r="A3564" s="21">
        <v>24741</v>
      </c>
      <c r="B3564" s="22" t="s">
        <v>25</v>
      </c>
      <c r="C3564" s="22" t="s">
        <v>6882</v>
      </c>
      <c r="D3564" s="22" t="s">
        <v>6917</v>
      </c>
      <c r="E3564" s="22" t="s">
        <v>5338</v>
      </c>
      <c r="F3564" s="22">
        <v>31.044695000000001</v>
      </c>
      <c r="G3564" s="22">
        <v>46.250329999999998</v>
      </c>
      <c r="H3564" s="21" t="s">
        <v>6835</v>
      </c>
      <c r="I3564" s="21" t="s">
        <v>6885</v>
      </c>
      <c r="J3564" s="21"/>
      <c r="K3564" s="24">
        <v>2</v>
      </c>
      <c r="L3564" s="24">
        <v>12</v>
      </c>
      <c r="M3564" s="23"/>
      <c r="N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>
        <v>2</v>
      </c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>
        <v>2</v>
      </c>
      <c r="AL3564" s="23"/>
      <c r="AM3564" s="23"/>
      <c r="AN3564" s="23"/>
      <c r="AO3564" s="23"/>
      <c r="AP3564" s="23"/>
      <c r="AQ3564" s="23"/>
      <c r="AR3564" s="23">
        <v>2</v>
      </c>
      <c r="AS3564" s="23"/>
      <c r="AT3564" s="23"/>
      <c r="AU3564" s="14" t="str">
        <f>HYPERLINK("http://www.openstreetmap.org/?mlat=31.0447&amp;mlon=46.2503&amp;zoom=12#map=12/31.0447/46.2503","Maplink1")</f>
        <v>Maplink1</v>
      </c>
      <c r="AV3564" s="14" t="str">
        <f>HYPERLINK("https://www.google.iq/maps/search/+31.0447,46.2503/@31.0447,46.2503,14z?hl=en","Maplink2")</f>
        <v>Maplink2</v>
      </c>
      <c r="AW3564" s="14" t="str">
        <f>HYPERLINK("http://www.bing.com/maps/?lvl=14&amp;sty=h&amp;cp=31.0447~46.2503&amp;sp=point.31.0447_46.2503_Al-Berid","Maplink3")</f>
        <v>Maplink3</v>
      </c>
    </row>
    <row r="3565" spans="1:49" x14ac:dyDescent="0.25">
      <c r="A3565" s="21">
        <v>9470</v>
      </c>
      <c r="B3565" s="22" t="s">
        <v>25</v>
      </c>
      <c r="C3565" s="22" t="s">
        <v>6882</v>
      </c>
      <c r="D3565" s="22" t="s">
        <v>4867</v>
      </c>
      <c r="E3565" s="22" t="s">
        <v>2381</v>
      </c>
      <c r="F3565" s="22">
        <v>31.059229999999999</v>
      </c>
      <c r="G3565" s="22">
        <v>46.267989999999998</v>
      </c>
      <c r="H3565" s="21" t="s">
        <v>6835</v>
      </c>
      <c r="I3565" s="21" t="s">
        <v>6885</v>
      </c>
      <c r="J3565" s="21" t="s">
        <v>6918</v>
      </c>
      <c r="K3565" s="24">
        <v>8</v>
      </c>
      <c r="L3565" s="24">
        <v>48</v>
      </c>
      <c r="M3565" s="23">
        <v>2</v>
      </c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>
        <v>6</v>
      </c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>
        <v>8</v>
      </c>
      <c r="AL3565" s="23"/>
      <c r="AM3565" s="23"/>
      <c r="AN3565" s="23"/>
      <c r="AO3565" s="23"/>
      <c r="AP3565" s="23">
        <v>2</v>
      </c>
      <c r="AQ3565" s="23">
        <v>2</v>
      </c>
      <c r="AR3565" s="23">
        <v>1</v>
      </c>
      <c r="AS3565" s="23">
        <v>3</v>
      </c>
      <c r="AT3565" s="23"/>
      <c r="AU3565" s="14" t="str">
        <f>HYPERLINK("http://www.openstreetmap.org/?mlat=31.0592&amp;mlon=46.268&amp;zoom=12#map=12/31.0592/46.268","Maplink1")</f>
        <v>Maplink1</v>
      </c>
      <c r="AV3565" s="14" t="str">
        <f>HYPERLINK("https://www.google.iq/maps/search/+31.0592,46.268/@31.0592,46.268,14z?hl=en","Maplink2")</f>
        <v>Maplink2</v>
      </c>
      <c r="AW3565" s="14" t="str">
        <f>HYPERLINK("http://www.bing.com/maps/?lvl=14&amp;sty=h&amp;cp=31.0592~46.268&amp;sp=point.31.0592_46.268_Al-hay al-askary","Maplink3")</f>
        <v>Maplink3</v>
      </c>
    </row>
    <row r="3566" spans="1:49" x14ac:dyDescent="0.25">
      <c r="A3566" s="21">
        <v>9541</v>
      </c>
      <c r="B3566" s="22" t="s">
        <v>25</v>
      </c>
      <c r="C3566" s="22" t="s">
        <v>6882</v>
      </c>
      <c r="D3566" s="22" t="s">
        <v>6919</v>
      </c>
      <c r="E3566" s="22" t="s">
        <v>6920</v>
      </c>
      <c r="F3566" s="22">
        <v>31.135477000000002</v>
      </c>
      <c r="G3566" s="22">
        <v>46.436771999999998</v>
      </c>
      <c r="H3566" s="21" t="s">
        <v>6835</v>
      </c>
      <c r="I3566" s="21" t="s">
        <v>6885</v>
      </c>
      <c r="J3566" s="21" t="s">
        <v>6921</v>
      </c>
      <c r="K3566" s="24">
        <v>3</v>
      </c>
      <c r="L3566" s="24">
        <v>18</v>
      </c>
      <c r="M3566" s="23"/>
      <c r="N3566" s="23"/>
      <c r="O3566" s="23"/>
      <c r="P3566" s="23"/>
      <c r="Q3566" s="23"/>
      <c r="R3566" s="23"/>
      <c r="S3566" s="23"/>
      <c r="T3566" s="23"/>
      <c r="U3566" s="23">
        <v>3</v>
      </c>
      <c r="V3566" s="23"/>
      <c r="W3566" s="23"/>
      <c r="X3566" s="23"/>
      <c r="Y3566" s="23"/>
      <c r="Z3566" s="23"/>
      <c r="AA3566" s="23"/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>
        <v>3</v>
      </c>
      <c r="AL3566" s="23"/>
      <c r="AM3566" s="23"/>
      <c r="AN3566" s="23"/>
      <c r="AO3566" s="23"/>
      <c r="AP3566" s="23">
        <v>3</v>
      </c>
      <c r="AQ3566" s="23"/>
      <c r="AR3566" s="23"/>
      <c r="AS3566" s="23"/>
      <c r="AT3566" s="23"/>
      <c r="AU3566" s="14" t="str">
        <f>HYPERLINK("http://www.openstreetmap.org/?mlat=31.1355&amp;mlon=46.4368&amp;zoom=12#map=12/31.1355/46.4368","Maplink1")</f>
        <v>Maplink1</v>
      </c>
      <c r="AV3566" s="14" t="str">
        <f>HYPERLINK("https://www.google.iq/maps/search/+31.1355,46.4368/@31.1355,46.4368,14z?hl=en","Maplink2")</f>
        <v>Maplink2</v>
      </c>
      <c r="AW3566" s="14" t="str">
        <f>HYPERLINK("http://www.bing.com/maps/?lvl=14&amp;sty=h&amp;cp=31.1355~46.4368&amp;sp=point.31.1355_46.4368_Al-khashab","Maplink3")</f>
        <v>Maplink3</v>
      </c>
    </row>
    <row r="3567" spans="1:49" x14ac:dyDescent="0.25">
      <c r="A3567" s="21">
        <v>10335</v>
      </c>
      <c r="B3567" s="22" t="s">
        <v>25</v>
      </c>
      <c r="C3567" s="22" t="s">
        <v>6882</v>
      </c>
      <c r="D3567" s="22" t="s">
        <v>6922</v>
      </c>
      <c r="E3567" s="22" t="s">
        <v>6923</v>
      </c>
      <c r="F3567" s="22">
        <v>31.052612</v>
      </c>
      <c r="G3567" s="22">
        <v>46.265813000000001</v>
      </c>
      <c r="H3567" s="21" t="s">
        <v>6835</v>
      </c>
      <c r="I3567" s="21" t="s">
        <v>6885</v>
      </c>
      <c r="J3567" s="21" t="s">
        <v>6924</v>
      </c>
      <c r="K3567" s="24">
        <v>43</v>
      </c>
      <c r="L3567" s="24">
        <v>258</v>
      </c>
      <c r="M3567" s="23">
        <v>3</v>
      </c>
      <c r="N3567" s="23"/>
      <c r="O3567" s="23"/>
      <c r="P3567" s="23"/>
      <c r="Q3567" s="23"/>
      <c r="R3567" s="23"/>
      <c r="S3567" s="23"/>
      <c r="T3567" s="23"/>
      <c r="U3567" s="23">
        <v>1</v>
      </c>
      <c r="V3567" s="23"/>
      <c r="W3567" s="23"/>
      <c r="X3567" s="23"/>
      <c r="Y3567" s="23">
        <v>39</v>
      </c>
      <c r="Z3567" s="23"/>
      <c r="AA3567" s="23"/>
      <c r="AB3567" s="23"/>
      <c r="AC3567" s="23"/>
      <c r="AD3567" s="23"/>
      <c r="AE3567" s="23"/>
      <c r="AF3567" s="23">
        <v>24</v>
      </c>
      <c r="AG3567" s="23"/>
      <c r="AH3567" s="23"/>
      <c r="AI3567" s="23"/>
      <c r="AJ3567" s="23"/>
      <c r="AK3567" s="23">
        <v>19</v>
      </c>
      <c r="AL3567" s="23"/>
      <c r="AM3567" s="23"/>
      <c r="AN3567" s="23"/>
      <c r="AO3567" s="23"/>
      <c r="AP3567" s="23">
        <v>20</v>
      </c>
      <c r="AQ3567" s="23"/>
      <c r="AR3567" s="23">
        <v>19</v>
      </c>
      <c r="AS3567" s="23">
        <v>4</v>
      </c>
      <c r="AT3567" s="23"/>
      <c r="AU3567" s="14" t="str">
        <f>HYPERLINK("http://www.openstreetmap.org/?mlat=31.0526&amp;mlon=46.2658&amp;zoom=12#map=12/31.0526/46.2658","Maplink1")</f>
        <v>Maplink1</v>
      </c>
      <c r="AV3567" s="14" t="str">
        <f>HYPERLINK("https://www.google.iq/maps/search/+31.0526,46.2658/@31.0526,46.2658,14z?hl=en","Maplink2")</f>
        <v>Maplink2</v>
      </c>
      <c r="AW3567" s="14" t="str">
        <f>HYPERLINK("http://www.bing.com/maps/?lvl=14&amp;sty=h&amp;cp=31.0526~46.2658&amp;sp=point.31.0526_46.2658_Al-Salhiya","Maplink3")</f>
        <v>Maplink3</v>
      </c>
    </row>
    <row r="3568" spans="1:49" x14ac:dyDescent="0.25">
      <c r="A3568" s="21">
        <v>9576</v>
      </c>
      <c r="B3568" s="22" t="s">
        <v>25</v>
      </c>
      <c r="C3568" s="22" t="s">
        <v>6882</v>
      </c>
      <c r="D3568" s="22" t="s">
        <v>6925</v>
      </c>
      <c r="E3568" s="22" t="s">
        <v>6926</v>
      </c>
      <c r="F3568" s="22">
        <v>31.122961</v>
      </c>
      <c r="G3568" s="22">
        <v>46.235419</v>
      </c>
      <c r="H3568" s="21" t="s">
        <v>6835</v>
      </c>
      <c r="I3568" s="21" t="s">
        <v>6885</v>
      </c>
      <c r="J3568" s="21" t="s">
        <v>6927</v>
      </c>
      <c r="K3568" s="24">
        <v>7</v>
      </c>
      <c r="L3568" s="24">
        <v>42</v>
      </c>
      <c r="M3568" s="23">
        <v>4</v>
      </c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>
        <v>3</v>
      </c>
      <c r="Z3568" s="23"/>
      <c r="AA3568" s="23"/>
      <c r="AB3568" s="23"/>
      <c r="AC3568" s="23"/>
      <c r="AD3568" s="23"/>
      <c r="AE3568" s="23"/>
      <c r="AF3568" s="23">
        <v>7</v>
      </c>
      <c r="AG3568" s="23"/>
      <c r="AH3568" s="23"/>
      <c r="AI3568" s="23"/>
      <c r="AJ3568" s="23"/>
      <c r="AK3568" s="23"/>
      <c r="AL3568" s="23"/>
      <c r="AM3568" s="23"/>
      <c r="AN3568" s="23"/>
      <c r="AO3568" s="23"/>
      <c r="AP3568" s="23">
        <v>3</v>
      </c>
      <c r="AQ3568" s="23"/>
      <c r="AR3568" s="23"/>
      <c r="AS3568" s="23">
        <v>4</v>
      </c>
      <c r="AT3568" s="23"/>
      <c r="AU3568" s="14" t="str">
        <f>HYPERLINK("http://www.openstreetmap.org/?mlat=31.123&amp;mlon=46.2354&amp;zoom=12#map=12/31.123/46.2354","Maplink1")</f>
        <v>Maplink1</v>
      </c>
      <c r="AV3568" s="14" t="str">
        <f>HYPERLINK("https://www.google.iq/maps/search/+31.123,46.2354/@31.123,46.2354,14z?hl=en","Maplink2")</f>
        <v>Maplink2</v>
      </c>
      <c r="AW3568" s="14" t="str">
        <f>HYPERLINK("http://www.bing.com/maps/?lvl=14&amp;sty=h&amp;cp=31.123~46.2354&amp;sp=point.31.123_46.2354_Al-shofah","Maplink3")</f>
        <v>Maplink3</v>
      </c>
    </row>
    <row r="3569" spans="1:49" x14ac:dyDescent="0.25">
      <c r="A3569" s="21">
        <v>9448</v>
      </c>
      <c r="B3569" s="22" t="s">
        <v>25</v>
      </c>
      <c r="C3569" s="22" t="s">
        <v>6882</v>
      </c>
      <c r="D3569" s="22" t="s">
        <v>6928</v>
      </c>
      <c r="E3569" s="22" t="s">
        <v>6929</v>
      </c>
      <c r="F3569" s="22">
        <v>31.032418</v>
      </c>
      <c r="G3569" s="22">
        <v>46.225845</v>
      </c>
      <c r="H3569" s="21" t="s">
        <v>6835</v>
      </c>
      <c r="I3569" s="21" t="s">
        <v>6885</v>
      </c>
      <c r="J3569" s="21" t="s">
        <v>6930</v>
      </c>
      <c r="K3569" s="24">
        <v>31</v>
      </c>
      <c r="L3569" s="24">
        <v>186</v>
      </c>
      <c r="M3569" s="23">
        <v>4</v>
      </c>
      <c r="N3569" s="23"/>
      <c r="O3569" s="23"/>
      <c r="P3569" s="23"/>
      <c r="Q3569" s="23"/>
      <c r="R3569" s="23"/>
      <c r="S3569" s="23"/>
      <c r="T3569" s="23"/>
      <c r="U3569" s="23">
        <v>3</v>
      </c>
      <c r="V3569" s="23"/>
      <c r="W3569" s="23"/>
      <c r="X3569" s="23"/>
      <c r="Y3569" s="23">
        <v>24</v>
      </c>
      <c r="Z3569" s="23"/>
      <c r="AA3569" s="23"/>
      <c r="AB3569" s="23"/>
      <c r="AC3569" s="23"/>
      <c r="AD3569" s="23"/>
      <c r="AE3569" s="23"/>
      <c r="AF3569" s="23">
        <v>21</v>
      </c>
      <c r="AG3569" s="23"/>
      <c r="AH3569" s="23"/>
      <c r="AI3569" s="23"/>
      <c r="AJ3569" s="23"/>
      <c r="AK3569" s="23">
        <v>10</v>
      </c>
      <c r="AL3569" s="23"/>
      <c r="AM3569" s="23"/>
      <c r="AN3569" s="23"/>
      <c r="AO3569" s="23"/>
      <c r="AP3569" s="23"/>
      <c r="AQ3569" s="23"/>
      <c r="AR3569" s="23">
        <v>27</v>
      </c>
      <c r="AS3569" s="23">
        <v>4</v>
      </c>
      <c r="AT3569" s="23"/>
      <c r="AU3569" s="14" t="str">
        <f>HYPERLINK("http://www.openstreetmap.org/?mlat=31.0324&amp;mlon=46.2258&amp;zoom=12#map=12/31.0324/46.2258","Maplink1")</f>
        <v>Maplink1</v>
      </c>
      <c r="AV3569" s="14" t="str">
        <f>HYPERLINK("https://www.google.iq/maps/search/+31.0324,46.2258/@31.0324,46.2258,14z?hl=en","Maplink2")</f>
        <v>Maplink2</v>
      </c>
      <c r="AW3569" s="14" t="str">
        <f>HYPERLINK("http://www.bing.com/maps/?lvl=14&amp;sty=h&amp;cp=31.0324~46.2258&amp;sp=point.31.0324_46.2258_Al-Thawrah","Maplink3")</f>
        <v>Maplink3</v>
      </c>
    </row>
    <row r="3570" spans="1:49" x14ac:dyDescent="0.25">
      <c r="A3570" s="21">
        <v>9396</v>
      </c>
      <c r="B3570" s="22" t="s">
        <v>25</v>
      </c>
      <c r="C3570" s="22" t="s">
        <v>6882</v>
      </c>
      <c r="D3570" s="22" t="s">
        <v>6931</v>
      </c>
      <c r="E3570" s="22" t="s">
        <v>6932</v>
      </c>
      <c r="F3570" s="22">
        <v>31.018889000000001</v>
      </c>
      <c r="G3570" s="22">
        <v>46.265000000000001</v>
      </c>
      <c r="H3570" s="21" t="s">
        <v>6835</v>
      </c>
      <c r="I3570" s="21" t="s">
        <v>6885</v>
      </c>
      <c r="J3570" s="21" t="s">
        <v>6933</v>
      </c>
      <c r="K3570" s="24">
        <v>21</v>
      </c>
      <c r="L3570" s="24">
        <v>126</v>
      </c>
      <c r="M3570" s="23"/>
      <c r="N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>
        <v>21</v>
      </c>
      <c r="Z3570" s="23"/>
      <c r="AA3570" s="23"/>
      <c r="AB3570" s="23"/>
      <c r="AC3570" s="23"/>
      <c r="AD3570" s="23"/>
      <c r="AE3570" s="23"/>
      <c r="AF3570" s="23">
        <v>6</v>
      </c>
      <c r="AG3570" s="23"/>
      <c r="AH3570" s="23"/>
      <c r="AI3570" s="23"/>
      <c r="AJ3570" s="23"/>
      <c r="AK3570" s="23">
        <v>15</v>
      </c>
      <c r="AL3570" s="23"/>
      <c r="AM3570" s="23"/>
      <c r="AN3570" s="23"/>
      <c r="AO3570" s="23"/>
      <c r="AP3570" s="23"/>
      <c r="AQ3570" s="23">
        <v>21</v>
      </c>
      <c r="AR3570" s="23"/>
      <c r="AS3570" s="23"/>
      <c r="AT3570" s="23"/>
      <c r="AU3570" s="14" t="str">
        <f>HYPERLINK("http://www.openstreetmap.org/?mlat=31.0189&amp;mlon=46.265&amp;zoom=12#map=12/31.0189/46.265","Maplink1")</f>
        <v>Maplink1</v>
      </c>
      <c r="AV3570" s="14" t="str">
        <f>HYPERLINK("https://www.google.iq/maps/search/+31.0189,46.265/@31.0189,46.265,14z?hl=en","Maplink2")</f>
        <v>Maplink2</v>
      </c>
      <c r="AW3570" s="14" t="str">
        <f>HYPERLINK("http://www.bing.com/maps/?lvl=14&amp;sty=h&amp;cp=31.0189~46.265&amp;sp=point.31.0189_46.265_Al-zielat","Maplink3")</f>
        <v>Maplink3</v>
      </c>
    </row>
    <row r="3571" spans="1:49" x14ac:dyDescent="0.25">
      <c r="A3571" s="21">
        <v>10262</v>
      </c>
      <c r="B3571" s="22" t="s">
        <v>25</v>
      </c>
      <c r="C3571" s="22" t="s">
        <v>6882</v>
      </c>
      <c r="D3571" s="22" t="s">
        <v>6934</v>
      </c>
      <c r="E3571" s="22" t="s">
        <v>6935</v>
      </c>
      <c r="F3571" s="22">
        <v>31.076699999999999</v>
      </c>
      <c r="G3571" s="22">
        <v>46.257669999999997</v>
      </c>
      <c r="H3571" s="21" t="s">
        <v>6835</v>
      </c>
      <c r="I3571" s="21" t="s">
        <v>6885</v>
      </c>
      <c r="J3571" s="21" t="s">
        <v>6936</v>
      </c>
      <c r="K3571" s="24">
        <v>40</v>
      </c>
      <c r="L3571" s="24">
        <v>240</v>
      </c>
      <c r="M3571" s="23">
        <v>8</v>
      </c>
      <c r="N3571" s="23"/>
      <c r="O3571" s="23"/>
      <c r="P3571" s="23"/>
      <c r="Q3571" s="23"/>
      <c r="R3571" s="23">
        <v>3</v>
      </c>
      <c r="S3571" s="23"/>
      <c r="T3571" s="23"/>
      <c r="U3571" s="23">
        <v>7</v>
      </c>
      <c r="V3571" s="23"/>
      <c r="W3571" s="23"/>
      <c r="X3571" s="23"/>
      <c r="Y3571" s="23">
        <v>19</v>
      </c>
      <c r="Z3571" s="23"/>
      <c r="AA3571" s="23">
        <v>3</v>
      </c>
      <c r="AB3571" s="23"/>
      <c r="AC3571" s="23"/>
      <c r="AD3571" s="23"/>
      <c r="AE3571" s="23"/>
      <c r="AF3571" s="23">
        <v>20</v>
      </c>
      <c r="AG3571" s="23"/>
      <c r="AH3571" s="23"/>
      <c r="AI3571" s="23"/>
      <c r="AJ3571" s="23"/>
      <c r="AK3571" s="23">
        <v>20</v>
      </c>
      <c r="AL3571" s="23"/>
      <c r="AM3571" s="23"/>
      <c r="AN3571" s="23"/>
      <c r="AO3571" s="23">
        <v>3</v>
      </c>
      <c r="AP3571" s="23">
        <v>10</v>
      </c>
      <c r="AQ3571" s="23">
        <v>15</v>
      </c>
      <c r="AR3571" s="23">
        <v>5</v>
      </c>
      <c r="AS3571" s="23">
        <v>7</v>
      </c>
      <c r="AT3571" s="23"/>
      <c r="AU3571" s="14" t="str">
        <f>HYPERLINK("http://www.openstreetmap.org/?mlat=31.0767&amp;mlon=46.2577&amp;zoom=12#map=12/31.0767/46.2577","Maplink1")</f>
        <v>Maplink1</v>
      </c>
      <c r="AV3571" s="14" t="str">
        <f>HYPERLINK("https://www.google.iq/maps/search/+31.0767,46.2577/@31.0767,46.2577,14z?hl=en","Maplink2")</f>
        <v>Maplink2</v>
      </c>
      <c r="AW3571" s="14" t="str">
        <f>HYPERLINK("http://www.bing.com/maps/?lvl=14&amp;sty=h&amp;cp=31.0767~46.2577&amp;sp=point.31.0767_46.2577_Aredo","Maplink3")</f>
        <v>Maplink3</v>
      </c>
    </row>
    <row r="3572" spans="1:49" x14ac:dyDescent="0.25">
      <c r="A3572" s="21">
        <v>10253</v>
      </c>
      <c r="B3572" s="22" t="s">
        <v>25</v>
      </c>
      <c r="C3572" s="22" t="s">
        <v>6882</v>
      </c>
      <c r="D3572" s="22" t="s">
        <v>6937</v>
      </c>
      <c r="E3572" s="22" t="s">
        <v>6938</v>
      </c>
      <c r="F3572" s="22">
        <v>31.037839999999999</v>
      </c>
      <c r="G3572" s="22">
        <v>46.239460000000001</v>
      </c>
      <c r="H3572" s="21" t="s">
        <v>6835</v>
      </c>
      <c r="I3572" s="21" t="s">
        <v>6885</v>
      </c>
      <c r="J3572" s="21" t="s">
        <v>6939</v>
      </c>
      <c r="K3572" s="24">
        <v>12</v>
      </c>
      <c r="L3572" s="24">
        <v>72</v>
      </c>
      <c r="M3572" s="23">
        <v>8</v>
      </c>
      <c r="N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>
        <v>4</v>
      </c>
      <c r="Z3572" s="23"/>
      <c r="AA3572" s="23"/>
      <c r="AB3572" s="23"/>
      <c r="AC3572" s="23"/>
      <c r="AD3572" s="23"/>
      <c r="AE3572" s="23"/>
      <c r="AF3572" s="23">
        <v>7</v>
      </c>
      <c r="AG3572" s="23"/>
      <c r="AH3572" s="23"/>
      <c r="AI3572" s="23"/>
      <c r="AJ3572" s="23"/>
      <c r="AK3572" s="23">
        <v>5</v>
      </c>
      <c r="AL3572" s="23"/>
      <c r="AM3572" s="23"/>
      <c r="AN3572" s="23"/>
      <c r="AO3572" s="23">
        <v>8</v>
      </c>
      <c r="AP3572" s="23">
        <v>4</v>
      </c>
      <c r="AQ3572" s="23"/>
      <c r="AR3572" s="23"/>
      <c r="AS3572" s="23"/>
      <c r="AT3572" s="23"/>
      <c r="AU3572" s="14" t="str">
        <f>HYPERLINK("http://www.openstreetmap.org/?mlat=31.0378&amp;mlon=46.2395&amp;zoom=12#map=12/31.0378/46.2395","Maplink1")</f>
        <v>Maplink1</v>
      </c>
      <c r="AV3572" s="14" t="str">
        <f>HYPERLINK("https://www.google.iq/maps/search/+31.0378,46.2395/@31.0378,46.2395,14z?hl=en","Maplink2")</f>
        <v>Maplink2</v>
      </c>
      <c r="AW3572" s="14" t="str">
        <f>HYPERLINK("http://www.bing.com/maps/?lvl=14&amp;sty=h&amp;cp=31.0378~46.2395&amp;sp=point.31.0378_46.2395_Baghdad Street","Maplink3")</f>
        <v>Maplink3</v>
      </c>
    </row>
    <row r="3573" spans="1:49" x14ac:dyDescent="0.25">
      <c r="A3573" s="21">
        <v>24885</v>
      </c>
      <c r="B3573" s="22" t="s">
        <v>25</v>
      </c>
      <c r="C3573" s="22" t="s">
        <v>6882</v>
      </c>
      <c r="D3573" s="22" t="s">
        <v>6940</v>
      </c>
      <c r="E3573" s="22" t="s">
        <v>1098</v>
      </c>
      <c r="F3573" s="22">
        <v>31.052970999999999</v>
      </c>
      <c r="G3573" s="22">
        <v>46.276511999999997</v>
      </c>
      <c r="H3573" s="21" t="s">
        <v>6835</v>
      </c>
      <c r="I3573" s="21" t="s">
        <v>6885</v>
      </c>
      <c r="J3573" s="21"/>
      <c r="K3573" s="24">
        <v>4</v>
      </c>
      <c r="L3573" s="24">
        <v>24</v>
      </c>
      <c r="M3573" s="23"/>
      <c r="N3573" s="23"/>
      <c r="O3573" s="23">
        <v>1</v>
      </c>
      <c r="P3573" s="23"/>
      <c r="Q3573" s="23"/>
      <c r="R3573" s="23"/>
      <c r="S3573" s="23"/>
      <c r="T3573" s="23"/>
      <c r="U3573" s="23">
        <v>1</v>
      </c>
      <c r="V3573" s="23"/>
      <c r="W3573" s="23"/>
      <c r="X3573" s="23"/>
      <c r="Y3573" s="23">
        <v>2</v>
      </c>
      <c r="Z3573" s="23"/>
      <c r="AA3573" s="23"/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>
        <v>4</v>
      </c>
      <c r="AL3573" s="23"/>
      <c r="AM3573" s="23"/>
      <c r="AN3573" s="23"/>
      <c r="AO3573" s="23"/>
      <c r="AP3573" s="23">
        <v>4</v>
      </c>
      <c r="AQ3573" s="23"/>
      <c r="AR3573" s="23"/>
      <c r="AS3573" s="23"/>
      <c r="AT3573" s="23"/>
      <c r="AU3573" s="14" t="str">
        <f>HYPERLINK("http://www.openstreetmap.org/?mlat=31.053&amp;mlon=46.2765&amp;zoom=12#map=12/31.053/46.2765","Maplink1")</f>
        <v>Maplink1</v>
      </c>
      <c r="AV3573" s="14" t="str">
        <f>HYPERLINK("https://www.google.iq/maps/search/+31.053,46.2765/@31.053,46.2765,14z?hl=en","Maplink2")</f>
        <v>Maplink2</v>
      </c>
      <c r="AW3573" s="14" t="str">
        <f>HYPERLINK("http://www.bing.com/maps/?lvl=14&amp;sty=h&amp;cp=31.053~46.2765&amp;sp=point.31.053_46.2765_Hay Al Al Ghadeer","Maplink3")</f>
        <v>Maplink3</v>
      </c>
    </row>
    <row r="3574" spans="1:49" x14ac:dyDescent="0.25">
      <c r="A3574" s="21">
        <v>25526</v>
      </c>
      <c r="B3574" s="22" t="s">
        <v>25</v>
      </c>
      <c r="C3574" s="22" t="s">
        <v>6882</v>
      </c>
      <c r="D3574" s="22" t="s">
        <v>6941</v>
      </c>
      <c r="E3574" s="22" t="s">
        <v>967</v>
      </c>
      <c r="F3574" s="22">
        <v>31.036467999999999</v>
      </c>
      <c r="G3574" s="22">
        <v>46.216382000000003</v>
      </c>
      <c r="H3574" s="21" t="s">
        <v>6835</v>
      </c>
      <c r="I3574" s="21" t="s">
        <v>6885</v>
      </c>
      <c r="J3574" s="21"/>
      <c r="K3574" s="24">
        <v>17</v>
      </c>
      <c r="L3574" s="24">
        <v>102</v>
      </c>
      <c r="M3574" s="23">
        <v>4</v>
      </c>
      <c r="N3574" s="23"/>
      <c r="O3574" s="23">
        <v>1</v>
      </c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8</v>
      </c>
      <c r="Z3574" s="23"/>
      <c r="AA3574" s="23">
        <v>4</v>
      </c>
      <c r="AB3574" s="23"/>
      <c r="AC3574" s="23"/>
      <c r="AD3574" s="23"/>
      <c r="AE3574" s="23"/>
      <c r="AF3574" s="23">
        <v>1</v>
      </c>
      <c r="AG3574" s="23"/>
      <c r="AH3574" s="23"/>
      <c r="AI3574" s="23"/>
      <c r="AJ3574" s="23"/>
      <c r="AK3574" s="23">
        <v>16</v>
      </c>
      <c r="AL3574" s="23"/>
      <c r="AM3574" s="23"/>
      <c r="AN3574" s="23"/>
      <c r="AO3574" s="23">
        <v>1</v>
      </c>
      <c r="AP3574" s="23">
        <v>12</v>
      </c>
      <c r="AQ3574" s="23"/>
      <c r="AR3574" s="23"/>
      <c r="AS3574" s="23">
        <v>4</v>
      </c>
      <c r="AT3574" s="23"/>
      <c r="AU3574" s="14" t="str">
        <f>HYPERLINK("http://www.openstreetmap.org/?mlat=31.0365&amp;mlon=46.2164&amp;zoom=12#map=12/31.0365/46.2164","Maplink1")</f>
        <v>Maplink1</v>
      </c>
      <c r="AV3574" s="14" t="str">
        <f>HYPERLINK("https://www.google.iq/maps/search/+31.0365,46.2164/@31.0365,46.2164,14z?hl=en","Maplink2")</f>
        <v>Maplink2</v>
      </c>
      <c r="AW3574" s="14" t="str">
        <f>HYPERLINK("http://www.bing.com/maps/?lvl=14&amp;sty=h&amp;cp=31.0365~46.2164&amp;sp=point.31.0365_46.2164_Hay Al Ameer","Maplink3")</f>
        <v>Maplink3</v>
      </c>
    </row>
    <row r="3575" spans="1:49" x14ac:dyDescent="0.25">
      <c r="A3575" s="21">
        <v>10301</v>
      </c>
      <c r="B3575" s="22" t="s">
        <v>25</v>
      </c>
      <c r="C3575" s="22" t="s">
        <v>6882</v>
      </c>
      <c r="D3575" s="22" t="s">
        <v>6942</v>
      </c>
      <c r="E3575" s="22" t="s">
        <v>6943</v>
      </c>
      <c r="F3575" s="22">
        <v>31.057542000000002</v>
      </c>
      <c r="G3575" s="22">
        <v>46.278008</v>
      </c>
      <c r="H3575" s="21" t="s">
        <v>6835</v>
      </c>
      <c r="I3575" s="21" t="s">
        <v>6885</v>
      </c>
      <c r="J3575" s="21" t="s">
        <v>6944</v>
      </c>
      <c r="K3575" s="24">
        <v>28</v>
      </c>
      <c r="L3575" s="24">
        <v>168</v>
      </c>
      <c r="M3575" s="23">
        <v>23</v>
      </c>
      <c r="N3575" s="23"/>
      <c r="O3575" s="23"/>
      <c r="P3575" s="23"/>
      <c r="Q3575" s="23"/>
      <c r="R3575" s="23">
        <v>1</v>
      </c>
      <c r="S3575" s="23"/>
      <c r="T3575" s="23"/>
      <c r="U3575" s="23">
        <v>2</v>
      </c>
      <c r="V3575" s="23"/>
      <c r="W3575" s="23"/>
      <c r="X3575" s="23"/>
      <c r="Y3575" s="23"/>
      <c r="Z3575" s="23"/>
      <c r="AA3575" s="23">
        <v>2</v>
      </c>
      <c r="AB3575" s="23"/>
      <c r="AC3575" s="23"/>
      <c r="AD3575" s="23"/>
      <c r="AE3575" s="23"/>
      <c r="AF3575" s="23">
        <v>10</v>
      </c>
      <c r="AG3575" s="23"/>
      <c r="AH3575" s="23"/>
      <c r="AI3575" s="23"/>
      <c r="AJ3575" s="23"/>
      <c r="AK3575" s="23">
        <v>18</v>
      </c>
      <c r="AL3575" s="23"/>
      <c r="AM3575" s="23"/>
      <c r="AN3575" s="23"/>
      <c r="AO3575" s="23">
        <v>3</v>
      </c>
      <c r="AP3575" s="23">
        <v>3</v>
      </c>
      <c r="AQ3575" s="23"/>
      <c r="AR3575" s="23">
        <v>8</v>
      </c>
      <c r="AS3575" s="23">
        <v>14</v>
      </c>
      <c r="AT3575" s="23"/>
      <c r="AU3575" s="14" t="str">
        <f>HYPERLINK("http://www.openstreetmap.org/?mlat=31.0575&amp;mlon=46.278&amp;zoom=12#map=12/31.0575/46.278","Maplink1")</f>
        <v>Maplink1</v>
      </c>
      <c r="AV3575" s="14" t="str">
        <f>HYPERLINK("https://www.google.iq/maps/search/+31.0575,46.278/@31.0575,46.278,14z?hl=en","Maplink2")</f>
        <v>Maplink2</v>
      </c>
      <c r="AW3575" s="14" t="str">
        <f>HYPERLINK("http://www.bing.com/maps/?lvl=14&amp;sty=h&amp;cp=31.0575~46.278&amp;sp=point.31.0575_46.278_Hay Al Fidaa","Maplink3")</f>
        <v>Maplink3</v>
      </c>
    </row>
    <row r="3576" spans="1:49" x14ac:dyDescent="0.25">
      <c r="A3576" s="21">
        <v>24746</v>
      </c>
      <c r="B3576" s="22" t="s">
        <v>25</v>
      </c>
      <c r="C3576" s="22" t="s">
        <v>6882</v>
      </c>
      <c r="D3576" s="22" t="s">
        <v>614</v>
      </c>
      <c r="E3576" s="22" t="s">
        <v>2702</v>
      </c>
      <c r="F3576" s="22">
        <v>31.047364000000002</v>
      </c>
      <c r="G3576" s="22">
        <v>46.273626</v>
      </c>
      <c r="H3576" s="21" t="s">
        <v>6835</v>
      </c>
      <c r="I3576" s="21" t="s">
        <v>6885</v>
      </c>
      <c r="J3576" s="21"/>
      <c r="K3576" s="24">
        <v>4</v>
      </c>
      <c r="L3576" s="24">
        <v>24</v>
      </c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>
        <v>4</v>
      </c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>
        <v>4</v>
      </c>
      <c r="AL3576" s="23"/>
      <c r="AM3576" s="23"/>
      <c r="AN3576" s="23"/>
      <c r="AO3576" s="23"/>
      <c r="AP3576" s="23">
        <v>4</v>
      </c>
      <c r="AQ3576" s="23"/>
      <c r="AR3576" s="23"/>
      <c r="AS3576" s="23"/>
      <c r="AT3576" s="23"/>
      <c r="AU3576" s="14" t="str">
        <f>HYPERLINK("http://www.openstreetmap.org/?mlat=31.0474&amp;mlon=46.2736&amp;zoom=12#map=12/31.0474/46.2736","Maplink1")</f>
        <v>Maplink1</v>
      </c>
      <c r="AV3576" s="14" t="str">
        <f>HYPERLINK("https://www.google.iq/maps/search/+31.0474,46.2736/@31.0474,46.2736,14z?hl=en","Maplink2")</f>
        <v>Maplink2</v>
      </c>
      <c r="AW3576" s="14" t="str">
        <f>HYPERLINK("http://www.bing.com/maps/?lvl=14&amp;sty=h&amp;cp=31.0474~46.2736&amp;sp=point.31.0474_46.2736_Hay Al Khadraa","Maplink3")</f>
        <v>Maplink3</v>
      </c>
    </row>
    <row r="3577" spans="1:49" x14ac:dyDescent="0.25">
      <c r="A3577" s="21">
        <v>21208</v>
      </c>
      <c r="B3577" s="22" t="s">
        <v>25</v>
      </c>
      <c r="C3577" s="22" t="s">
        <v>6882</v>
      </c>
      <c r="D3577" s="22" t="s">
        <v>6945</v>
      </c>
      <c r="E3577" s="22" t="s">
        <v>464</v>
      </c>
      <c r="F3577" s="22">
        <v>31.03</v>
      </c>
      <c r="G3577" s="22">
        <v>46.26</v>
      </c>
      <c r="H3577" s="21" t="s">
        <v>6835</v>
      </c>
      <c r="I3577" s="21" t="s">
        <v>6885</v>
      </c>
      <c r="J3577" s="21" t="s">
        <v>6946</v>
      </c>
      <c r="K3577" s="24">
        <v>24</v>
      </c>
      <c r="L3577" s="24">
        <v>144</v>
      </c>
      <c r="M3577" s="23">
        <v>7</v>
      </c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>
        <v>17</v>
      </c>
      <c r="Z3577" s="23"/>
      <c r="AA3577" s="23"/>
      <c r="AB3577" s="23"/>
      <c r="AC3577" s="23"/>
      <c r="AD3577" s="23"/>
      <c r="AE3577" s="23"/>
      <c r="AF3577" s="23">
        <v>17</v>
      </c>
      <c r="AG3577" s="23"/>
      <c r="AH3577" s="23"/>
      <c r="AI3577" s="23"/>
      <c r="AJ3577" s="23"/>
      <c r="AK3577" s="23">
        <v>7</v>
      </c>
      <c r="AL3577" s="23"/>
      <c r="AM3577" s="23"/>
      <c r="AN3577" s="23"/>
      <c r="AO3577" s="23">
        <v>6</v>
      </c>
      <c r="AP3577" s="23">
        <v>4</v>
      </c>
      <c r="AQ3577" s="23">
        <v>14</v>
      </c>
      <c r="AR3577" s="23"/>
      <c r="AS3577" s="23"/>
      <c r="AT3577" s="23"/>
      <c r="AU3577" s="14" t="str">
        <f>HYPERLINK("http://www.openstreetmap.org/?mlat=31.03&amp;mlon=46.26&amp;zoom=12#map=12/31.03/46.26","Maplink1")</f>
        <v>Maplink1</v>
      </c>
      <c r="AV3577" s="14" t="str">
        <f>HYPERLINK("https://www.google.iq/maps/search/+31.03,46.26/@31.03,46.26,14z?hl=en","Maplink2")</f>
        <v>Maplink2</v>
      </c>
      <c r="AW3577" s="14" t="str">
        <f>HYPERLINK("http://www.bing.com/maps/?lvl=14&amp;sty=h&amp;cp=31.03~46.26&amp;sp=point.31.03_46.26_Hay Al Mualimeen","Maplink3")</f>
        <v>Maplink3</v>
      </c>
    </row>
    <row r="3578" spans="1:49" x14ac:dyDescent="0.25">
      <c r="A3578" s="21">
        <v>24750</v>
      </c>
      <c r="B3578" s="22" t="s">
        <v>25</v>
      </c>
      <c r="C3578" s="22" t="s">
        <v>6882</v>
      </c>
      <c r="D3578" s="22" t="s">
        <v>6947</v>
      </c>
      <c r="E3578" s="22" t="s">
        <v>6948</v>
      </c>
      <c r="F3578" s="22">
        <v>31.032340000000001</v>
      </c>
      <c r="G3578" s="22">
        <v>46.240989999999996</v>
      </c>
      <c r="H3578" s="21" t="s">
        <v>6835</v>
      </c>
      <c r="I3578" s="21" t="s">
        <v>6885</v>
      </c>
      <c r="J3578" s="21"/>
      <c r="K3578" s="24">
        <v>5</v>
      </c>
      <c r="L3578" s="24">
        <v>30</v>
      </c>
      <c r="M3578" s="23"/>
      <c r="N3578" s="23">
        <v>2</v>
      </c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>
        <v>3</v>
      </c>
      <c r="Z3578" s="23"/>
      <c r="AA3578" s="23"/>
      <c r="AB3578" s="23"/>
      <c r="AC3578" s="23"/>
      <c r="AD3578" s="23"/>
      <c r="AE3578" s="23"/>
      <c r="AF3578" s="23">
        <v>3</v>
      </c>
      <c r="AG3578" s="23"/>
      <c r="AH3578" s="23"/>
      <c r="AI3578" s="23"/>
      <c r="AJ3578" s="23"/>
      <c r="AK3578" s="23">
        <v>2</v>
      </c>
      <c r="AL3578" s="23"/>
      <c r="AM3578" s="23"/>
      <c r="AN3578" s="23"/>
      <c r="AO3578" s="23"/>
      <c r="AP3578" s="23">
        <v>2</v>
      </c>
      <c r="AQ3578" s="23"/>
      <c r="AR3578" s="23"/>
      <c r="AS3578" s="23">
        <v>3</v>
      </c>
      <c r="AT3578" s="23"/>
      <c r="AU3578" s="14" t="str">
        <f>HYPERLINK("http://www.openstreetmap.org/?mlat=31.0323&amp;mlon=46.241&amp;zoom=12#map=12/31.0323/46.241","Maplink1")</f>
        <v>Maplink1</v>
      </c>
      <c r="AV3578" s="14" t="str">
        <f>HYPERLINK("https://www.google.iq/maps/search/+31.0323,46.241/@31.0323,46.241,14z?hl=en","Maplink2")</f>
        <v>Maplink2</v>
      </c>
      <c r="AW3578" s="14" t="str">
        <f>HYPERLINK("http://www.bing.com/maps/?lvl=14&amp;sty=h&amp;cp=31.0323~46.241&amp;sp=point.31.0323_46.241_Hay Al Shoula 1","Maplink3")</f>
        <v>Maplink3</v>
      </c>
    </row>
    <row r="3579" spans="1:49" x14ac:dyDescent="0.25">
      <c r="A3579" s="21">
        <v>10259</v>
      </c>
      <c r="B3579" s="22" t="s">
        <v>25</v>
      </c>
      <c r="C3579" s="22" t="s">
        <v>6882</v>
      </c>
      <c r="D3579" s="22" t="s">
        <v>6949</v>
      </c>
      <c r="E3579" s="22" t="s">
        <v>6950</v>
      </c>
      <c r="F3579" s="22">
        <v>31.048079999999999</v>
      </c>
      <c r="G3579" s="22">
        <v>46.277030000000003</v>
      </c>
      <c r="H3579" s="21" t="s">
        <v>6835</v>
      </c>
      <c r="I3579" s="21" t="s">
        <v>6885</v>
      </c>
      <c r="J3579" s="21" t="s">
        <v>6951</v>
      </c>
      <c r="K3579" s="24">
        <v>30</v>
      </c>
      <c r="L3579" s="24">
        <v>180</v>
      </c>
      <c r="M3579" s="23">
        <v>2</v>
      </c>
      <c r="N3579" s="23"/>
      <c r="O3579" s="23"/>
      <c r="P3579" s="23"/>
      <c r="Q3579" s="23"/>
      <c r="R3579" s="23"/>
      <c r="S3579" s="23"/>
      <c r="T3579" s="23"/>
      <c r="U3579" s="23">
        <v>1</v>
      </c>
      <c r="V3579" s="23"/>
      <c r="W3579" s="23"/>
      <c r="X3579" s="23"/>
      <c r="Y3579" s="23">
        <v>18</v>
      </c>
      <c r="Z3579" s="23"/>
      <c r="AA3579" s="23">
        <v>9</v>
      </c>
      <c r="AB3579" s="23"/>
      <c r="AC3579" s="23"/>
      <c r="AD3579" s="23"/>
      <c r="AE3579" s="23"/>
      <c r="AF3579" s="23">
        <v>14</v>
      </c>
      <c r="AG3579" s="23"/>
      <c r="AH3579" s="23"/>
      <c r="AI3579" s="23"/>
      <c r="AJ3579" s="23"/>
      <c r="AK3579" s="23">
        <v>16</v>
      </c>
      <c r="AL3579" s="23"/>
      <c r="AM3579" s="23"/>
      <c r="AN3579" s="23"/>
      <c r="AO3579" s="23">
        <v>2</v>
      </c>
      <c r="AP3579" s="23"/>
      <c r="AQ3579" s="23">
        <v>27</v>
      </c>
      <c r="AR3579" s="23">
        <v>1</v>
      </c>
      <c r="AS3579" s="23"/>
      <c r="AT3579" s="23"/>
      <c r="AU3579" s="14" t="str">
        <f>HYPERLINK("http://www.openstreetmap.org/?mlat=31.0481&amp;mlon=46.277&amp;zoom=12#map=12/31.0481/46.277","Maplink1")</f>
        <v>Maplink1</v>
      </c>
      <c r="AV3579" s="14" t="str">
        <f>HYPERLINK("https://www.google.iq/maps/search/+31.0481,46.277/@31.0481,46.277,14z?hl=en","Maplink2")</f>
        <v>Maplink2</v>
      </c>
      <c r="AW3579" s="14" t="str">
        <f>HYPERLINK("http://www.bing.com/maps/?lvl=14&amp;sty=h&amp;cp=31.0481~46.277&amp;sp=point.31.0481_46.277_Hay Al Tadhihiya","Maplink3")</f>
        <v>Maplink3</v>
      </c>
    </row>
    <row r="3580" spans="1:49" x14ac:dyDescent="0.25">
      <c r="A3580" s="21">
        <v>24742</v>
      </c>
      <c r="B3580" s="22" t="s">
        <v>25</v>
      </c>
      <c r="C3580" s="22" t="s">
        <v>6882</v>
      </c>
      <c r="D3580" s="22" t="s">
        <v>5827</v>
      </c>
      <c r="E3580" s="22" t="s">
        <v>4949</v>
      </c>
      <c r="F3580" s="22">
        <v>31.063855</v>
      </c>
      <c r="G3580" s="22">
        <v>46.278207999999999</v>
      </c>
      <c r="H3580" s="21" t="s">
        <v>6835</v>
      </c>
      <c r="I3580" s="21" t="s">
        <v>6885</v>
      </c>
      <c r="J3580" s="21"/>
      <c r="K3580" s="24">
        <v>4</v>
      </c>
      <c r="L3580" s="24">
        <v>24</v>
      </c>
      <c r="M3580" s="23"/>
      <c r="N3580" s="23"/>
      <c r="O3580" s="23"/>
      <c r="P3580" s="23"/>
      <c r="Q3580" s="23"/>
      <c r="R3580" s="23">
        <v>1</v>
      </c>
      <c r="S3580" s="23"/>
      <c r="T3580" s="23"/>
      <c r="U3580" s="23">
        <v>3</v>
      </c>
      <c r="V3580" s="23"/>
      <c r="W3580" s="23"/>
      <c r="X3580" s="23"/>
      <c r="Y3580" s="23"/>
      <c r="Z3580" s="23"/>
      <c r="AA3580" s="23"/>
      <c r="AB3580" s="23"/>
      <c r="AC3580" s="23"/>
      <c r="AD3580" s="23"/>
      <c r="AE3580" s="23"/>
      <c r="AF3580" s="23">
        <v>2</v>
      </c>
      <c r="AG3580" s="23"/>
      <c r="AH3580" s="23"/>
      <c r="AI3580" s="23"/>
      <c r="AJ3580" s="23"/>
      <c r="AK3580" s="23">
        <v>2</v>
      </c>
      <c r="AL3580" s="23"/>
      <c r="AM3580" s="23"/>
      <c r="AN3580" s="23"/>
      <c r="AO3580" s="23"/>
      <c r="AP3580" s="23"/>
      <c r="AQ3580" s="23">
        <v>1</v>
      </c>
      <c r="AR3580" s="23">
        <v>3</v>
      </c>
      <c r="AS3580" s="23"/>
      <c r="AT3580" s="23"/>
      <c r="AU3580" s="14" t="str">
        <f>HYPERLINK("http://www.openstreetmap.org/?mlat=31.0639&amp;mlon=46.2782&amp;zoom=12#map=12/31.0639/46.2782","Maplink1")</f>
        <v>Maplink1</v>
      </c>
      <c r="AV3580" s="14" t="str">
        <f>HYPERLINK("https://www.google.iq/maps/search/+31.0639,46.2782/@31.0639,46.2782,14z?hl=en","Maplink2")</f>
        <v>Maplink2</v>
      </c>
      <c r="AW3580" s="14" t="str">
        <f>HYPERLINK("http://www.bing.com/maps/?lvl=14&amp;sty=h&amp;cp=31.0639~46.2782&amp;sp=point.31.0639_46.2782_Hay Al-Hakim","Maplink3")</f>
        <v>Maplink3</v>
      </c>
    </row>
    <row r="3581" spans="1:49" x14ac:dyDescent="0.25">
      <c r="A3581" s="21">
        <v>9561</v>
      </c>
      <c r="B3581" s="22" t="s">
        <v>25</v>
      </c>
      <c r="C3581" s="22" t="s">
        <v>6882</v>
      </c>
      <c r="D3581" s="22" t="s">
        <v>6952</v>
      </c>
      <c r="E3581" s="22" t="s">
        <v>6953</v>
      </c>
      <c r="F3581" s="22">
        <v>31.070708</v>
      </c>
      <c r="G3581" s="22">
        <v>46.274749999999997</v>
      </c>
      <c r="H3581" s="21" t="s">
        <v>6835</v>
      </c>
      <c r="I3581" s="21" t="s">
        <v>6885</v>
      </c>
      <c r="J3581" s="21" t="s">
        <v>6954</v>
      </c>
      <c r="K3581" s="24">
        <v>7</v>
      </c>
      <c r="L3581" s="24">
        <v>42</v>
      </c>
      <c r="M3581" s="23">
        <v>5</v>
      </c>
      <c r="N3581" s="23"/>
      <c r="O3581" s="23">
        <v>1</v>
      </c>
      <c r="P3581" s="23"/>
      <c r="Q3581" s="23"/>
      <c r="R3581" s="23"/>
      <c r="S3581" s="23"/>
      <c r="T3581" s="23"/>
      <c r="U3581" s="23">
        <v>1</v>
      </c>
      <c r="V3581" s="23"/>
      <c r="W3581" s="23"/>
      <c r="X3581" s="23"/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/>
      <c r="AI3581" s="23"/>
      <c r="AJ3581" s="23"/>
      <c r="AK3581" s="23">
        <v>7</v>
      </c>
      <c r="AL3581" s="23"/>
      <c r="AM3581" s="23"/>
      <c r="AN3581" s="23"/>
      <c r="AO3581" s="23">
        <v>5</v>
      </c>
      <c r="AP3581" s="23">
        <v>2</v>
      </c>
      <c r="AQ3581" s="23"/>
      <c r="AR3581" s="23"/>
      <c r="AS3581" s="23"/>
      <c r="AT3581" s="23"/>
      <c r="AU3581" s="14" t="str">
        <f>HYPERLINK("http://www.openstreetmap.org/?mlat=31.0707&amp;mlon=46.2747&amp;zoom=12#map=12/31.0707/46.2747","Maplink1")</f>
        <v>Maplink1</v>
      </c>
      <c r="AV3581" s="14" t="str">
        <f>HYPERLINK("https://www.google.iq/maps/search/+31.0707,46.2747/@31.0707,46.2747,14z?hl=en","Maplink2")</f>
        <v>Maplink2</v>
      </c>
      <c r="AW3581" s="14" t="str">
        <f>HYPERLINK("http://www.bing.com/maps/?lvl=14&amp;sty=h&amp;cp=31.0707~46.2747&amp;sp=point.31.0707_46.2747_Al Angaa","Maplink3")</f>
        <v>Maplink3</v>
      </c>
    </row>
    <row r="3582" spans="1:49" x14ac:dyDescent="0.25">
      <c r="A3582" s="21">
        <v>9427</v>
      </c>
      <c r="B3582" s="22" t="s">
        <v>25</v>
      </c>
      <c r="C3582" s="22" t="s">
        <v>6882</v>
      </c>
      <c r="D3582" s="22" t="s">
        <v>6955</v>
      </c>
      <c r="E3582" s="22" t="s">
        <v>6956</v>
      </c>
      <c r="F3582" s="22">
        <v>31.038740000000001</v>
      </c>
      <c r="G3582" s="22">
        <v>46.221648999999999</v>
      </c>
      <c r="H3582" s="21" t="s">
        <v>6835</v>
      </c>
      <c r="I3582" s="21" t="s">
        <v>6885</v>
      </c>
      <c r="J3582" s="21" t="s">
        <v>6957</v>
      </c>
      <c r="K3582" s="24">
        <v>7</v>
      </c>
      <c r="L3582" s="24">
        <v>42</v>
      </c>
      <c r="M3582" s="23">
        <v>3</v>
      </c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>
        <v>4</v>
      </c>
      <c r="Z3582" s="23"/>
      <c r="AA3582" s="23"/>
      <c r="AB3582" s="23"/>
      <c r="AC3582" s="23"/>
      <c r="AD3582" s="23"/>
      <c r="AE3582" s="23"/>
      <c r="AF3582" s="23">
        <v>3</v>
      </c>
      <c r="AG3582" s="23"/>
      <c r="AH3582" s="23"/>
      <c r="AI3582" s="23"/>
      <c r="AJ3582" s="23"/>
      <c r="AK3582" s="23">
        <v>4</v>
      </c>
      <c r="AL3582" s="23"/>
      <c r="AM3582" s="23"/>
      <c r="AN3582" s="23"/>
      <c r="AO3582" s="23">
        <v>4</v>
      </c>
      <c r="AP3582" s="23"/>
      <c r="AQ3582" s="23">
        <v>3</v>
      </c>
      <c r="AR3582" s="23"/>
      <c r="AS3582" s="23"/>
      <c r="AT3582" s="23"/>
      <c r="AU3582" s="14" t="str">
        <f>HYPERLINK("http://www.openstreetmap.org/?mlat=31.0387&amp;mlon=46.2216&amp;zoom=12#map=12/31.0387/46.2216","Maplink1")</f>
        <v>Maplink1</v>
      </c>
      <c r="AV3582" s="14" t="str">
        <f>HYPERLINK("https://www.google.iq/maps/search/+31.0387,46.2216/@31.0387,46.2216,14z?hl=en","Maplink2")</f>
        <v>Maplink2</v>
      </c>
      <c r="AW3582" s="14" t="str">
        <f>HYPERLINK("http://www.bing.com/maps/?lvl=14&amp;sty=h&amp;cp=31.0387~46.2216&amp;sp=point.31.0387_46.2216_Al Angaa","Maplink3")</f>
        <v>Maplink3</v>
      </c>
    </row>
    <row r="3583" spans="1:49" x14ac:dyDescent="0.25">
      <c r="A3583" s="21">
        <v>9398</v>
      </c>
      <c r="B3583" s="22" t="s">
        <v>25</v>
      </c>
      <c r="C3583" s="22" t="s">
        <v>6882</v>
      </c>
      <c r="D3583" s="22" t="s">
        <v>6958</v>
      </c>
      <c r="E3583" s="22" t="s">
        <v>129</v>
      </c>
      <c r="F3583" s="22">
        <v>31.02</v>
      </c>
      <c r="G3583" s="22">
        <v>46.277500000000003</v>
      </c>
      <c r="H3583" s="21" t="s">
        <v>6835</v>
      </c>
      <c r="I3583" s="21" t="s">
        <v>6885</v>
      </c>
      <c r="J3583" s="21" t="s">
        <v>6959</v>
      </c>
      <c r="K3583" s="24">
        <v>27</v>
      </c>
      <c r="L3583" s="24">
        <v>162</v>
      </c>
      <c r="M3583" s="23">
        <v>5</v>
      </c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22</v>
      </c>
      <c r="Z3583" s="23"/>
      <c r="AA3583" s="23"/>
      <c r="AB3583" s="23"/>
      <c r="AC3583" s="23"/>
      <c r="AD3583" s="23"/>
      <c r="AE3583" s="23"/>
      <c r="AF3583" s="23">
        <v>13</v>
      </c>
      <c r="AG3583" s="23"/>
      <c r="AH3583" s="23"/>
      <c r="AI3583" s="23"/>
      <c r="AJ3583" s="23"/>
      <c r="AK3583" s="23">
        <v>14</v>
      </c>
      <c r="AL3583" s="23"/>
      <c r="AM3583" s="23"/>
      <c r="AN3583" s="23"/>
      <c r="AO3583" s="23">
        <v>1</v>
      </c>
      <c r="AP3583" s="23"/>
      <c r="AQ3583" s="23">
        <v>26</v>
      </c>
      <c r="AR3583" s="23"/>
      <c r="AS3583" s="23"/>
      <c r="AT3583" s="23"/>
      <c r="AU3583" s="14" t="str">
        <f>HYPERLINK("http://www.openstreetmap.org/?mlat=31.02&amp;mlon=46.2775&amp;zoom=12#map=12/31.02/46.2775","Maplink1")</f>
        <v>Maplink1</v>
      </c>
      <c r="AV3583" s="14" t="str">
        <f>HYPERLINK("https://www.google.iq/maps/search/+31.02,46.2775/@31.02,46.2775,14z?hl=en","Maplink2")</f>
        <v>Maplink2</v>
      </c>
      <c r="AW3583" s="14" t="str">
        <f>HYPERLINK("http://www.bing.com/maps/?lvl=14&amp;sty=h&amp;cp=31.02~46.2775&amp;sp=point.31.02_46.2775_Hay al-shohadaa","Maplink3")</f>
        <v>Maplink3</v>
      </c>
    </row>
    <row r="3584" spans="1:49" x14ac:dyDescent="0.25">
      <c r="A3584" s="21">
        <v>23683</v>
      </c>
      <c r="B3584" s="22" t="s">
        <v>25</v>
      </c>
      <c r="C3584" s="22" t="s">
        <v>6882</v>
      </c>
      <c r="D3584" s="22" t="s">
        <v>6960</v>
      </c>
      <c r="E3584" s="22" t="s">
        <v>6961</v>
      </c>
      <c r="F3584" s="22">
        <v>31.013518000000001</v>
      </c>
      <c r="G3584" s="22">
        <v>46.153140999999998</v>
      </c>
      <c r="H3584" s="21" t="s">
        <v>6835</v>
      </c>
      <c r="I3584" s="21" t="s">
        <v>6885</v>
      </c>
      <c r="J3584" s="21" t="s">
        <v>6962</v>
      </c>
      <c r="K3584" s="24">
        <v>13</v>
      </c>
      <c r="L3584" s="24">
        <v>78</v>
      </c>
      <c r="M3584" s="23">
        <v>5</v>
      </c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>
        <v>8</v>
      </c>
      <c r="Z3584" s="23"/>
      <c r="AA3584" s="23"/>
      <c r="AB3584" s="23"/>
      <c r="AC3584" s="23"/>
      <c r="AD3584" s="23"/>
      <c r="AE3584" s="23"/>
      <c r="AF3584" s="23">
        <v>4</v>
      </c>
      <c r="AG3584" s="23"/>
      <c r="AH3584" s="23"/>
      <c r="AI3584" s="23"/>
      <c r="AJ3584" s="23"/>
      <c r="AK3584" s="23">
        <v>9</v>
      </c>
      <c r="AL3584" s="23"/>
      <c r="AM3584" s="23"/>
      <c r="AN3584" s="23"/>
      <c r="AO3584" s="23">
        <v>3</v>
      </c>
      <c r="AP3584" s="23">
        <v>5</v>
      </c>
      <c r="AQ3584" s="23"/>
      <c r="AR3584" s="23">
        <v>5</v>
      </c>
      <c r="AS3584" s="23"/>
      <c r="AT3584" s="23"/>
      <c r="AU3584" s="14" t="str">
        <f>HYPERLINK("http://www.openstreetmap.org/?mlat=31.0135&amp;mlon=46.1531&amp;zoom=12#map=12/31.0135/46.1531","Maplink1")</f>
        <v>Maplink1</v>
      </c>
      <c r="AV3584" s="14" t="str">
        <f>HYPERLINK("https://www.google.iq/maps/search/+31.0135,46.1531/@31.0135,46.1531,14z?hl=en","Maplink2")</f>
        <v>Maplink2</v>
      </c>
      <c r="AW3584" s="14" t="str">
        <f>HYPERLINK("http://www.bing.com/maps/?lvl=14&amp;sty=h&amp;cp=31.0135~46.1531&amp;sp=point.31.0135_46.1531_Hay Mehidiya","Maplink3")</f>
        <v>Maplink3</v>
      </c>
    </row>
    <row r="3585" spans="1:49" x14ac:dyDescent="0.25">
      <c r="A3585" s="21">
        <v>25532</v>
      </c>
      <c r="B3585" s="22" t="s">
        <v>25</v>
      </c>
      <c r="C3585" s="22" t="s">
        <v>6882</v>
      </c>
      <c r="D3585" s="22" t="s">
        <v>6963</v>
      </c>
      <c r="E3585" s="22" t="s">
        <v>6964</v>
      </c>
      <c r="F3585" s="22">
        <v>31.057217999999999</v>
      </c>
      <c r="G3585" s="22">
        <v>46.277262</v>
      </c>
      <c r="H3585" s="21" t="s">
        <v>6835</v>
      </c>
      <c r="I3585" s="21" t="s">
        <v>6885</v>
      </c>
      <c r="J3585" s="21"/>
      <c r="K3585" s="24">
        <v>13</v>
      </c>
      <c r="L3585" s="24">
        <v>78</v>
      </c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13</v>
      </c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>
        <v>13</v>
      </c>
      <c r="AL3585" s="23"/>
      <c r="AM3585" s="23"/>
      <c r="AN3585" s="23"/>
      <c r="AO3585" s="23">
        <v>10</v>
      </c>
      <c r="AP3585" s="23">
        <v>3</v>
      </c>
      <c r="AQ3585" s="23"/>
      <c r="AR3585" s="23"/>
      <c r="AS3585" s="23"/>
      <c r="AT3585" s="23"/>
      <c r="AU3585" s="14" t="str">
        <f>HYPERLINK("http://www.openstreetmap.org/?mlat=31.0572&amp;mlon=46.2773&amp;zoom=12#map=12/31.0572/46.2773","Maplink1")</f>
        <v>Maplink1</v>
      </c>
      <c r="AV3585" s="14" t="str">
        <f>HYPERLINK("https://www.google.iq/maps/search/+31.0572,46.2773/@31.0572,46.2773,14z?hl=en","Maplink2")</f>
        <v>Maplink2</v>
      </c>
      <c r="AW3585" s="14" t="str">
        <f>HYPERLINK("http://www.bing.com/maps/?lvl=14&amp;sty=h&amp;cp=31.0572~46.2773&amp;sp=point.31.0572_46.2773_Hey Al Amen Al Dakhlei 2","Maplink3")</f>
        <v>Maplink3</v>
      </c>
    </row>
    <row r="3586" spans="1:49" x14ac:dyDescent="0.25">
      <c r="A3586" s="21">
        <v>25528</v>
      </c>
      <c r="B3586" s="22" t="s">
        <v>25</v>
      </c>
      <c r="C3586" s="22" t="s">
        <v>6882</v>
      </c>
      <c r="D3586" s="22" t="s">
        <v>6965</v>
      </c>
      <c r="E3586" s="22" t="s">
        <v>6966</v>
      </c>
      <c r="F3586" s="22">
        <v>31.060991999999999</v>
      </c>
      <c r="G3586" s="22">
        <v>46.253728000000002</v>
      </c>
      <c r="H3586" s="21" t="s">
        <v>6835</v>
      </c>
      <c r="I3586" s="21" t="s">
        <v>6885</v>
      </c>
      <c r="J3586" s="21"/>
      <c r="K3586" s="24">
        <v>9</v>
      </c>
      <c r="L3586" s="24">
        <v>54</v>
      </c>
      <c r="M3586" s="23">
        <v>5</v>
      </c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4</v>
      </c>
      <c r="Z3586" s="23"/>
      <c r="AA3586" s="23"/>
      <c r="AB3586" s="23"/>
      <c r="AC3586" s="23"/>
      <c r="AD3586" s="23"/>
      <c r="AE3586" s="23"/>
      <c r="AF3586" s="23">
        <v>5</v>
      </c>
      <c r="AG3586" s="23"/>
      <c r="AH3586" s="23"/>
      <c r="AI3586" s="23"/>
      <c r="AJ3586" s="23"/>
      <c r="AK3586" s="23">
        <v>4</v>
      </c>
      <c r="AL3586" s="23"/>
      <c r="AM3586" s="23"/>
      <c r="AN3586" s="23"/>
      <c r="AO3586" s="23">
        <v>1</v>
      </c>
      <c r="AP3586" s="23">
        <v>3</v>
      </c>
      <c r="AQ3586" s="23">
        <v>4</v>
      </c>
      <c r="AR3586" s="23">
        <v>1</v>
      </c>
      <c r="AS3586" s="23"/>
      <c r="AT3586" s="23"/>
      <c r="AU3586" s="14" t="str">
        <f>HYPERLINK("http://www.openstreetmap.org/?mlat=31.061&amp;mlon=46.2537&amp;zoom=12#map=12/31.061/46.2537","Maplink1")</f>
        <v>Maplink1</v>
      </c>
      <c r="AV3586" s="14" t="str">
        <f>HYPERLINK("https://www.google.iq/maps/search/+31.061,46.2537/@31.061,46.2537,14z?hl=en","Maplink2")</f>
        <v>Maplink2</v>
      </c>
      <c r="AW3586" s="14" t="str">
        <f>HYPERLINK("http://www.bing.com/maps/?lvl=14&amp;sty=h&amp;cp=31.061~46.2537&amp;sp=point.31.061_46.2537_Hey Al- Ariml","Maplink3")</f>
        <v>Maplink3</v>
      </c>
    </row>
    <row r="3587" spans="1:49" x14ac:dyDescent="0.25">
      <c r="A3587" s="21">
        <v>25531</v>
      </c>
      <c r="B3587" s="22" t="s">
        <v>25</v>
      </c>
      <c r="C3587" s="22" t="s">
        <v>6882</v>
      </c>
      <c r="D3587" s="22" t="s">
        <v>6967</v>
      </c>
      <c r="E3587" s="22" t="s">
        <v>6968</v>
      </c>
      <c r="F3587" s="22">
        <v>31.044191999999999</v>
      </c>
      <c r="G3587" s="22">
        <v>46.234907</v>
      </c>
      <c r="H3587" s="21" t="s">
        <v>6835</v>
      </c>
      <c r="I3587" s="21" t="s">
        <v>6885</v>
      </c>
      <c r="J3587" s="21"/>
      <c r="K3587" s="24">
        <v>2</v>
      </c>
      <c r="L3587" s="24">
        <v>12</v>
      </c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2</v>
      </c>
      <c r="Z3587" s="23"/>
      <c r="AA3587" s="23"/>
      <c r="AB3587" s="23"/>
      <c r="AC3587" s="23"/>
      <c r="AD3587" s="23"/>
      <c r="AE3587" s="23"/>
      <c r="AF3587" s="23"/>
      <c r="AG3587" s="23"/>
      <c r="AH3587" s="23"/>
      <c r="AI3587" s="23"/>
      <c r="AJ3587" s="23"/>
      <c r="AK3587" s="23">
        <v>2</v>
      </c>
      <c r="AL3587" s="23"/>
      <c r="AM3587" s="23"/>
      <c r="AN3587" s="23"/>
      <c r="AO3587" s="23"/>
      <c r="AP3587" s="23">
        <v>2</v>
      </c>
      <c r="AQ3587" s="23"/>
      <c r="AR3587" s="23"/>
      <c r="AS3587" s="23"/>
      <c r="AT3587" s="23"/>
      <c r="AU3587" s="14" t="str">
        <f>HYPERLINK("http://www.openstreetmap.org/?mlat=31.0442&amp;mlon=46.2349&amp;zoom=12#map=12/31.0442/46.2349","Maplink1")</f>
        <v>Maplink1</v>
      </c>
      <c r="AV3587" s="14" t="str">
        <f>HYPERLINK("https://www.google.iq/maps/search/+31.0442,46.2349/@31.0442,46.2349,14z?hl=en","Maplink2")</f>
        <v>Maplink2</v>
      </c>
      <c r="AW3587" s="14" t="str">
        <f>HYPERLINK("http://www.bing.com/maps/?lvl=14&amp;sty=h&amp;cp=31.0442~46.2349&amp;sp=point.31.0442_46.2349_Hey Al-Mtanzh","Maplink3")</f>
        <v>Maplink3</v>
      </c>
    </row>
    <row r="3588" spans="1:49" x14ac:dyDescent="0.25">
      <c r="A3588" s="21">
        <v>25530</v>
      </c>
      <c r="B3588" s="22" t="s">
        <v>25</v>
      </c>
      <c r="C3588" s="22" t="s">
        <v>6882</v>
      </c>
      <c r="D3588" s="22" t="s">
        <v>6969</v>
      </c>
      <c r="E3588" s="22" t="s">
        <v>2665</v>
      </c>
      <c r="F3588" s="22">
        <v>31.075748999999998</v>
      </c>
      <c r="G3588" s="22">
        <v>46.263485000000003</v>
      </c>
      <c r="H3588" s="21" t="s">
        <v>6835</v>
      </c>
      <c r="I3588" s="21" t="s">
        <v>6885</v>
      </c>
      <c r="J3588" s="21"/>
      <c r="K3588" s="24">
        <v>4</v>
      </c>
      <c r="L3588" s="24">
        <v>24</v>
      </c>
      <c r="M3588" s="23">
        <v>3</v>
      </c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>
        <v>1</v>
      </c>
      <c r="Z3588" s="23"/>
      <c r="AA3588" s="23"/>
      <c r="AB3588" s="23"/>
      <c r="AC3588" s="23"/>
      <c r="AD3588" s="23"/>
      <c r="AE3588" s="23"/>
      <c r="AF3588" s="23">
        <v>3</v>
      </c>
      <c r="AG3588" s="23"/>
      <c r="AH3588" s="23"/>
      <c r="AI3588" s="23"/>
      <c r="AJ3588" s="23"/>
      <c r="AK3588" s="23">
        <v>1</v>
      </c>
      <c r="AL3588" s="23"/>
      <c r="AM3588" s="23"/>
      <c r="AN3588" s="23"/>
      <c r="AO3588" s="23"/>
      <c r="AP3588" s="23"/>
      <c r="AQ3588" s="23"/>
      <c r="AR3588" s="23">
        <v>1</v>
      </c>
      <c r="AS3588" s="23">
        <v>3</v>
      </c>
      <c r="AT3588" s="23"/>
      <c r="AU3588" s="14" t="str">
        <f>HYPERLINK("http://www.openstreetmap.org/?mlat=31.0757&amp;mlon=46.2635&amp;zoom=12#map=12/31.0757/46.2635","Maplink1")</f>
        <v>Maplink1</v>
      </c>
      <c r="AV3588" s="14" t="str">
        <f>HYPERLINK("https://www.google.iq/maps/search/+31.0757,46.2635/@31.0757,46.2635,14z?hl=en","Maplink2")</f>
        <v>Maplink2</v>
      </c>
      <c r="AW3588" s="14" t="str">
        <f>HYPERLINK("http://www.bing.com/maps/?lvl=14&amp;sty=h&amp;cp=31.0757~46.2635&amp;sp=point.31.0757_46.2635_Hey Al-Rafdeen","Maplink3")</f>
        <v>Maplink3</v>
      </c>
    </row>
    <row r="3589" spans="1:49" x14ac:dyDescent="0.25">
      <c r="A3589" s="21">
        <v>25533</v>
      </c>
      <c r="B3589" s="22" t="s">
        <v>25</v>
      </c>
      <c r="C3589" s="22" t="s">
        <v>6882</v>
      </c>
      <c r="D3589" s="22" t="s">
        <v>6970</v>
      </c>
      <c r="E3589" s="22" t="s">
        <v>6971</v>
      </c>
      <c r="F3589" s="22">
        <v>31.081403000000002</v>
      </c>
      <c r="G3589" s="22">
        <v>46.081403000000002</v>
      </c>
      <c r="H3589" s="21" t="s">
        <v>6835</v>
      </c>
      <c r="I3589" s="21" t="s">
        <v>6885</v>
      </c>
      <c r="J3589" s="21"/>
      <c r="K3589" s="24">
        <v>18</v>
      </c>
      <c r="L3589" s="24">
        <v>108</v>
      </c>
      <c r="M3589" s="23">
        <v>8</v>
      </c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>
        <v>10</v>
      </c>
      <c r="Z3589" s="23"/>
      <c r="AA3589" s="23"/>
      <c r="AB3589" s="23"/>
      <c r="AC3589" s="23"/>
      <c r="AD3589" s="23"/>
      <c r="AE3589" s="23"/>
      <c r="AF3589" s="23">
        <v>5</v>
      </c>
      <c r="AG3589" s="23"/>
      <c r="AH3589" s="23"/>
      <c r="AI3589" s="23"/>
      <c r="AJ3589" s="23"/>
      <c r="AK3589" s="23">
        <v>13</v>
      </c>
      <c r="AL3589" s="23"/>
      <c r="AM3589" s="23"/>
      <c r="AN3589" s="23"/>
      <c r="AO3589" s="23"/>
      <c r="AP3589" s="23">
        <v>3</v>
      </c>
      <c r="AQ3589" s="23">
        <v>6</v>
      </c>
      <c r="AR3589" s="23"/>
      <c r="AS3589" s="23">
        <v>9</v>
      </c>
      <c r="AT3589" s="23"/>
      <c r="AU3589" s="14" t="str">
        <f>HYPERLINK("http://www.openstreetmap.org/?mlat=31.0814&amp;mlon=46.0814&amp;zoom=12#map=12/31.0814/46.0814","Maplink1")</f>
        <v>Maplink1</v>
      </c>
      <c r="AV3589" s="14" t="str">
        <f>HYPERLINK("https://www.google.iq/maps/search/+31.0814,46.0814/@31.0814,46.0814,14z?hl=en","Maplink2")</f>
        <v>Maplink2</v>
      </c>
      <c r="AW3589" s="14" t="str">
        <f>HYPERLINK("http://www.bing.com/maps/?lvl=14&amp;sty=h&amp;cp=31.0814~46.0814&amp;sp=point.31.0814_46.0814_Nassriya-Hey 400","Maplink3")</f>
        <v>Maplink3</v>
      </c>
    </row>
    <row r="3590" spans="1:49" x14ac:dyDescent="0.25">
      <c r="A3590" s="21">
        <v>10263</v>
      </c>
      <c r="B3590" s="22" t="s">
        <v>25</v>
      </c>
      <c r="C3590" s="22" t="s">
        <v>6882</v>
      </c>
      <c r="D3590" s="22" t="s">
        <v>6972</v>
      </c>
      <c r="E3590" s="22" t="s">
        <v>6973</v>
      </c>
      <c r="F3590" s="22">
        <v>31.082509999999999</v>
      </c>
      <c r="G3590" s="22">
        <v>46.245750000000001</v>
      </c>
      <c r="H3590" s="21" t="s">
        <v>6835</v>
      </c>
      <c r="I3590" s="21" t="s">
        <v>6885</v>
      </c>
      <c r="J3590" s="21" t="s">
        <v>6974</v>
      </c>
      <c r="K3590" s="24">
        <v>44</v>
      </c>
      <c r="L3590" s="24">
        <v>264</v>
      </c>
      <c r="M3590" s="23">
        <v>10</v>
      </c>
      <c r="N3590" s="23"/>
      <c r="O3590" s="23"/>
      <c r="P3590" s="23"/>
      <c r="Q3590" s="23"/>
      <c r="R3590" s="23"/>
      <c r="S3590" s="23"/>
      <c r="T3590" s="23"/>
      <c r="U3590" s="23">
        <v>2</v>
      </c>
      <c r="V3590" s="23"/>
      <c r="W3590" s="23"/>
      <c r="X3590" s="23"/>
      <c r="Y3590" s="23">
        <v>29</v>
      </c>
      <c r="Z3590" s="23"/>
      <c r="AA3590" s="23">
        <v>3</v>
      </c>
      <c r="AB3590" s="23"/>
      <c r="AC3590" s="23"/>
      <c r="AD3590" s="23"/>
      <c r="AE3590" s="23"/>
      <c r="AF3590" s="23">
        <v>20</v>
      </c>
      <c r="AG3590" s="23"/>
      <c r="AH3590" s="23"/>
      <c r="AI3590" s="23"/>
      <c r="AJ3590" s="23"/>
      <c r="AK3590" s="23">
        <v>24</v>
      </c>
      <c r="AL3590" s="23"/>
      <c r="AM3590" s="23"/>
      <c r="AN3590" s="23"/>
      <c r="AO3590" s="23"/>
      <c r="AP3590" s="23">
        <v>17</v>
      </c>
      <c r="AQ3590" s="23"/>
      <c r="AR3590" s="23">
        <v>16</v>
      </c>
      <c r="AS3590" s="23">
        <v>11</v>
      </c>
      <c r="AT3590" s="23"/>
      <c r="AU3590" s="14" t="str">
        <f>HYPERLINK("http://www.openstreetmap.org/?mlat=31.0825&amp;mlon=46.2458&amp;zoom=12#map=12/31.0825/46.2458","Maplink1")</f>
        <v>Maplink1</v>
      </c>
      <c r="AV3590" s="14" t="str">
        <f>HYPERLINK("https://www.google.iq/maps/search/+31.0825,46.2458/@31.0825,46.2458,14z?hl=en","Maplink2")</f>
        <v>Maplink2</v>
      </c>
      <c r="AW3590" s="14" t="str">
        <f>HYPERLINK("http://www.bing.com/maps/?lvl=14&amp;sty=h&amp;cp=31.0825~46.2458&amp;sp=point.31.0825_46.2458_Sadir City","Maplink3")</f>
        <v>Maplink3</v>
      </c>
    </row>
    <row r="3591" spans="1:49" x14ac:dyDescent="0.25">
      <c r="A3591" s="21">
        <v>24556</v>
      </c>
      <c r="B3591" s="22" t="s">
        <v>25</v>
      </c>
      <c r="C3591" s="22" t="s">
        <v>6882</v>
      </c>
      <c r="D3591" s="22" t="s">
        <v>6975</v>
      </c>
      <c r="E3591" s="22" t="s">
        <v>6976</v>
      </c>
      <c r="F3591" s="22">
        <v>31.007608000000001</v>
      </c>
      <c r="G3591" s="22">
        <v>46.258642999999999</v>
      </c>
      <c r="H3591" s="21" t="s">
        <v>6835</v>
      </c>
      <c r="I3591" s="21" t="s">
        <v>6885</v>
      </c>
      <c r="J3591" s="21"/>
      <c r="K3591" s="24">
        <v>6</v>
      </c>
      <c r="L3591" s="24">
        <v>36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6</v>
      </c>
      <c r="Z3591" s="23"/>
      <c r="AA3591" s="23"/>
      <c r="AB3591" s="23"/>
      <c r="AC3591" s="23"/>
      <c r="AD3591" s="23"/>
      <c r="AE3591" s="23"/>
      <c r="AF3591" s="23">
        <v>6</v>
      </c>
      <c r="AG3591" s="23"/>
      <c r="AH3591" s="23"/>
      <c r="AI3591" s="23"/>
      <c r="AJ3591" s="23"/>
      <c r="AK3591" s="23"/>
      <c r="AL3591" s="23"/>
      <c r="AM3591" s="23"/>
      <c r="AN3591" s="23"/>
      <c r="AO3591" s="23"/>
      <c r="AP3591" s="23"/>
      <c r="AQ3591" s="23">
        <v>6</v>
      </c>
      <c r="AR3591" s="23"/>
      <c r="AS3591" s="23"/>
      <c r="AT3591" s="23"/>
      <c r="AU3591" s="14" t="str">
        <f>HYPERLINK("http://www.openstreetmap.org/?mlat=31.0076&amp;mlon=46.2586&amp;zoom=12#map=12/31.0076/46.2586","Maplink1")</f>
        <v>Maplink1</v>
      </c>
      <c r="AV3591" s="14" t="str">
        <f>HYPERLINK("https://www.google.iq/maps/search/+31.0076,46.2586/@31.0076,46.2586,14z?hl=en","Maplink2")</f>
        <v>Maplink2</v>
      </c>
      <c r="AW3591" s="14" t="str">
        <f>HYPERLINK("http://www.bing.com/maps/?lvl=14&amp;sty=h&amp;cp=31.0076~46.2586&amp;sp=point.31.0076_46.2586_Sayid khudair","Maplink3")</f>
        <v>Maplink3</v>
      </c>
    </row>
    <row r="3592" spans="1:49" x14ac:dyDescent="0.25">
      <c r="A3592" s="21">
        <v>25527</v>
      </c>
      <c r="B3592" s="22" t="s">
        <v>25</v>
      </c>
      <c r="C3592" s="22" t="s">
        <v>6882</v>
      </c>
      <c r="D3592" s="22" t="s">
        <v>6977</v>
      </c>
      <c r="E3592" s="22" t="s">
        <v>6978</v>
      </c>
      <c r="F3592" s="22">
        <v>31.055057999999999</v>
      </c>
      <c r="G3592" s="22">
        <v>46.250169</v>
      </c>
      <c r="H3592" s="21" t="s">
        <v>6835</v>
      </c>
      <c r="I3592" s="21" t="s">
        <v>6885</v>
      </c>
      <c r="J3592" s="21"/>
      <c r="K3592" s="24">
        <v>7</v>
      </c>
      <c r="L3592" s="24">
        <v>42</v>
      </c>
      <c r="M3592" s="23"/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>
        <v>7</v>
      </c>
      <c r="Z3592" s="23"/>
      <c r="AA3592" s="23"/>
      <c r="AB3592" s="23"/>
      <c r="AC3592" s="23"/>
      <c r="AD3592" s="23"/>
      <c r="AE3592" s="23"/>
      <c r="AF3592" s="23">
        <v>5</v>
      </c>
      <c r="AG3592" s="23"/>
      <c r="AH3592" s="23"/>
      <c r="AI3592" s="23"/>
      <c r="AJ3592" s="23"/>
      <c r="AK3592" s="23">
        <v>2</v>
      </c>
      <c r="AL3592" s="23"/>
      <c r="AM3592" s="23"/>
      <c r="AN3592" s="23"/>
      <c r="AO3592" s="23"/>
      <c r="AP3592" s="23"/>
      <c r="AQ3592" s="23">
        <v>7</v>
      </c>
      <c r="AR3592" s="23"/>
      <c r="AS3592" s="23"/>
      <c r="AT3592" s="23"/>
      <c r="AU3592" s="14" t="str">
        <f>HYPERLINK("http://www.openstreetmap.org/?mlat=31.0551&amp;mlon=46.2502&amp;zoom=12#map=12/31.0551/46.2502","Maplink1")</f>
        <v>Maplink1</v>
      </c>
      <c r="AV3592" s="14" t="str">
        <f>HYPERLINK("https://www.google.iq/maps/search/+31.0551,46.2502/@31.0551,46.2502,14z?hl=en","Maplink2")</f>
        <v>Maplink2</v>
      </c>
      <c r="AW3592" s="14" t="str">
        <f>HYPERLINK("http://www.bing.com/maps/?lvl=14&amp;sty=h&amp;cp=31.0551~46.2502&amp;sp=point.31.0551_46.2502_Sharaa Al-hklas","Maplink3")</f>
        <v>Maplink3</v>
      </c>
    </row>
    <row r="3593" spans="1:49" x14ac:dyDescent="0.25">
      <c r="A3593" s="21">
        <v>22344</v>
      </c>
      <c r="B3593" s="22" t="s">
        <v>25</v>
      </c>
      <c r="C3593" s="22" t="s">
        <v>6882</v>
      </c>
      <c r="D3593" s="22" t="s">
        <v>6979</v>
      </c>
      <c r="E3593" s="22" t="s">
        <v>6980</v>
      </c>
      <c r="F3593" s="22">
        <v>31.051034999999999</v>
      </c>
      <c r="G3593" s="22">
        <v>46.257305000000002</v>
      </c>
      <c r="H3593" s="21" t="s">
        <v>6835</v>
      </c>
      <c r="I3593" s="21" t="s">
        <v>6885</v>
      </c>
      <c r="J3593" s="21" t="s">
        <v>6981</v>
      </c>
      <c r="K3593" s="24">
        <v>13</v>
      </c>
      <c r="L3593" s="24">
        <v>78</v>
      </c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13</v>
      </c>
      <c r="Z3593" s="23"/>
      <c r="AA3593" s="23"/>
      <c r="AB3593" s="23"/>
      <c r="AC3593" s="23"/>
      <c r="AD3593" s="23"/>
      <c r="AE3593" s="23"/>
      <c r="AF3593" s="23">
        <v>5</v>
      </c>
      <c r="AG3593" s="23"/>
      <c r="AH3593" s="23"/>
      <c r="AI3593" s="23"/>
      <c r="AJ3593" s="23"/>
      <c r="AK3593" s="23">
        <v>8</v>
      </c>
      <c r="AL3593" s="23"/>
      <c r="AM3593" s="23"/>
      <c r="AN3593" s="23"/>
      <c r="AO3593" s="23">
        <v>3</v>
      </c>
      <c r="AP3593" s="23"/>
      <c r="AQ3593" s="23">
        <v>10</v>
      </c>
      <c r="AR3593" s="23"/>
      <c r="AS3593" s="23"/>
      <c r="AT3593" s="23"/>
      <c r="AU3593" s="14" t="str">
        <f>HYPERLINK("http://www.openstreetmap.org/?mlat=31.051&amp;mlon=46.2573&amp;zoom=12#map=12/31.051/46.2573","Maplink1")</f>
        <v>Maplink1</v>
      </c>
      <c r="AV3593" s="14" t="str">
        <f>HYPERLINK("https://www.google.iq/maps/search/+31.051,46.2573/@31.051,46.2573,14z?hl=en","Maplink2")</f>
        <v>Maplink2</v>
      </c>
      <c r="AW3593" s="14" t="str">
        <f>HYPERLINK("http://www.bing.com/maps/?lvl=14&amp;sty=h&amp;cp=31.051~46.2573&amp;sp=point.31.051_46.2573_Share Eshreen","Maplink3")</f>
        <v>Maplink3</v>
      </c>
    </row>
    <row r="3594" spans="1:49" x14ac:dyDescent="0.25">
      <c r="A3594" s="21">
        <v>10269</v>
      </c>
      <c r="B3594" s="22" t="s">
        <v>25</v>
      </c>
      <c r="C3594" s="22" t="s">
        <v>6882</v>
      </c>
      <c r="D3594" s="22" t="s">
        <v>6982</v>
      </c>
      <c r="E3594" s="22" t="s">
        <v>6983</v>
      </c>
      <c r="F3594" s="22">
        <v>31.258140000000001</v>
      </c>
      <c r="G3594" s="22">
        <v>46.31</v>
      </c>
      <c r="H3594" s="21" t="s">
        <v>6835</v>
      </c>
      <c r="I3594" s="21" t="s">
        <v>6885</v>
      </c>
      <c r="J3594" s="21" t="s">
        <v>6984</v>
      </c>
      <c r="K3594" s="24">
        <v>20</v>
      </c>
      <c r="L3594" s="24">
        <v>120</v>
      </c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20</v>
      </c>
      <c r="Z3594" s="23"/>
      <c r="AA3594" s="23"/>
      <c r="AB3594" s="23"/>
      <c r="AC3594" s="23"/>
      <c r="AD3594" s="23"/>
      <c r="AE3594" s="23"/>
      <c r="AF3594" s="23">
        <v>17</v>
      </c>
      <c r="AG3594" s="23"/>
      <c r="AH3594" s="23"/>
      <c r="AI3594" s="23">
        <v>1</v>
      </c>
      <c r="AJ3594" s="23">
        <v>1</v>
      </c>
      <c r="AK3594" s="23">
        <v>1</v>
      </c>
      <c r="AL3594" s="23"/>
      <c r="AM3594" s="23"/>
      <c r="AN3594" s="23"/>
      <c r="AO3594" s="23">
        <v>1</v>
      </c>
      <c r="AP3594" s="23">
        <v>5</v>
      </c>
      <c r="AQ3594" s="23">
        <v>13</v>
      </c>
      <c r="AR3594" s="23"/>
      <c r="AS3594" s="23">
        <v>1</v>
      </c>
      <c r="AT3594" s="23"/>
      <c r="AU3594" s="14" t="str">
        <f>HYPERLINK("http://www.openstreetmap.org/?mlat=31.2581&amp;mlon=46.31&amp;zoom=12#map=12/31.2581/46.31","Maplink1")</f>
        <v>Maplink1</v>
      </c>
      <c r="AV3594" s="14" t="str">
        <f>HYPERLINK("https://www.google.iq/maps/search/+31.2581,46.31/@31.2581,46.31,14z?hl=en","Maplink2")</f>
        <v>Maplink2</v>
      </c>
      <c r="AW3594" s="14" t="str">
        <f>HYPERLINK("http://www.bing.com/maps/?lvl=14&amp;sty=h&amp;cp=31.2581~46.31&amp;sp=point.31.2581_46.31_Sindaliyah-Sidenaweyah","Maplink3")</f>
        <v>Maplink3</v>
      </c>
    </row>
    <row r="3595" spans="1:49" x14ac:dyDescent="0.25">
      <c r="A3595" s="21">
        <v>10295</v>
      </c>
      <c r="B3595" s="22" t="s">
        <v>25</v>
      </c>
      <c r="C3595" s="22" t="s">
        <v>6882</v>
      </c>
      <c r="D3595" s="22" t="s">
        <v>6985</v>
      </c>
      <c r="E3595" s="22" t="s">
        <v>6986</v>
      </c>
      <c r="F3595" s="22">
        <v>31.133569999999999</v>
      </c>
      <c r="G3595" s="22">
        <v>46.430019999999999</v>
      </c>
      <c r="H3595" s="21" t="s">
        <v>6835</v>
      </c>
      <c r="I3595" s="21" t="s">
        <v>6885</v>
      </c>
      <c r="J3595" s="21" t="s">
        <v>6987</v>
      </c>
      <c r="K3595" s="24">
        <v>15</v>
      </c>
      <c r="L3595" s="24">
        <v>90</v>
      </c>
      <c r="M3595" s="23">
        <v>1</v>
      </c>
      <c r="N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>
        <v>14</v>
      </c>
      <c r="Z3595" s="23"/>
      <c r="AA3595" s="23"/>
      <c r="AB3595" s="23"/>
      <c r="AC3595" s="23"/>
      <c r="AD3595" s="23"/>
      <c r="AE3595" s="23"/>
      <c r="AF3595" s="23">
        <v>10</v>
      </c>
      <c r="AG3595" s="23"/>
      <c r="AH3595" s="23"/>
      <c r="AI3595" s="23"/>
      <c r="AJ3595" s="23"/>
      <c r="AK3595" s="23">
        <v>5</v>
      </c>
      <c r="AL3595" s="23"/>
      <c r="AM3595" s="23"/>
      <c r="AN3595" s="23"/>
      <c r="AO3595" s="23"/>
      <c r="AP3595" s="23"/>
      <c r="AQ3595" s="23">
        <v>14</v>
      </c>
      <c r="AR3595" s="23"/>
      <c r="AS3595" s="23">
        <v>1</v>
      </c>
      <c r="AT3595" s="23"/>
      <c r="AU3595" s="14" t="str">
        <f>HYPERLINK("http://www.openstreetmap.org/?mlat=31.1336&amp;mlon=46.43&amp;zoom=12#map=12/31.1336/46.43","Maplink1")</f>
        <v>Maplink1</v>
      </c>
      <c r="AV3595" s="14" t="str">
        <f>HYPERLINK("https://www.google.iq/maps/search/+31.1336,46.43/@31.1336,46.43,14z?hl=en","Maplink2")</f>
        <v>Maplink2</v>
      </c>
      <c r="AW3595" s="14" t="str">
        <f>HYPERLINK("http://www.bing.com/maps/?lvl=14&amp;sty=h&amp;cp=31.1336~46.43&amp;sp=point.31.1336_46.43_Syied Dakhil","Maplink3")</f>
        <v>Maplink3</v>
      </c>
    </row>
    <row r="3596" spans="1:49" x14ac:dyDescent="0.25">
      <c r="A3596" s="21">
        <v>24820</v>
      </c>
      <c r="B3596" s="22" t="s">
        <v>25</v>
      </c>
      <c r="C3596" s="22" t="s">
        <v>6882</v>
      </c>
      <c r="D3596" s="22" t="s">
        <v>6988</v>
      </c>
      <c r="E3596" s="22" t="s">
        <v>8132</v>
      </c>
      <c r="F3596" s="22">
        <v>31.132010999999999</v>
      </c>
      <c r="G3596" s="22">
        <v>46.434111000000001</v>
      </c>
      <c r="H3596" s="21" t="s">
        <v>6835</v>
      </c>
      <c r="I3596" s="21" t="s">
        <v>6885</v>
      </c>
      <c r="J3596" s="21"/>
      <c r="K3596" s="24">
        <v>5</v>
      </c>
      <c r="L3596" s="24">
        <v>30</v>
      </c>
      <c r="M3596" s="23">
        <v>5</v>
      </c>
      <c r="N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>
        <v>5</v>
      </c>
      <c r="AL3596" s="23"/>
      <c r="AM3596" s="23"/>
      <c r="AN3596" s="23"/>
      <c r="AO3596" s="23"/>
      <c r="AP3596" s="23"/>
      <c r="AQ3596" s="23"/>
      <c r="AR3596" s="23">
        <v>5</v>
      </c>
      <c r="AS3596" s="23"/>
      <c r="AT3596" s="23"/>
      <c r="AU3596" s="14" t="str">
        <f>HYPERLINK("http://www.openstreetmap.org/?mlat=31.132&amp;mlon=46.4341&amp;zoom=12#map=12/31.132/46.4341","Maplink1")</f>
        <v>Maplink1</v>
      </c>
      <c r="AV3596" s="14" t="str">
        <f>HYPERLINK("https://www.google.iq/maps/search/+31.132,46.4341/@31.132,46.4341,14z?hl=en","Maplink2")</f>
        <v>Maplink2</v>
      </c>
      <c r="AW3596" s="14" t="str">
        <f>HYPERLINK("http://www.bing.com/maps/?lvl=14&amp;sty=h&amp;cp=31.132~46.4341&amp;sp=point.31.132_46.4341_Syied Dakhil-Al-bjara","Maplink3")</f>
        <v>Maplink3</v>
      </c>
    </row>
    <row r="3597" spans="1:49" x14ac:dyDescent="0.25">
      <c r="A3597" s="21">
        <v>24821</v>
      </c>
      <c r="B3597" s="22" t="s">
        <v>25</v>
      </c>
      <c r="C3597" s="22" t="s">
        <v>6882</v>
      </c>
      <c r="D3597" s="22" t="s">
        <v>6989</v>
      </c>
      <c r="E3597" s="22" t="s">
        <v>8133</v>
      </c>
      <c r="F3597" s="22">
        <v>31.134392999999999</v>
      </c>
      <c r="G3597" s="22">
        <v>46.437888999999998</v>
      </c>
      <c r="H3597" s="21" t="s">
        <v>6835</v>
      </c>
      <c r="I3597" s="21" t="s">
        <v>6885</v>
      </c>
      <c r="J3597" s="21"/>
      <c r="K3597" s="24">
        <v>2</v>
      </c>
      <c r="L3597" s="24">
        <v>12</v>
      </c>
      <c r="M3597" s="23"/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/>
      <c r="Z3597" s="23"/>
      <c r="AA3597" s="23">
        <v>2</v>
      </c>
      <c r="AB3597" s="23"/>
      <c r="AC3597" s="23"/>
      <c r="AD3597" s="23"/>
      <c r="AE3597" s="23"/>
      <c r="AF3597" s="23">
        <v>2</v>
      </c>
      <c r="AG3597" s="23"/>
      <c r="AH3597" s="23"/>
      <c r="AI3597" s="23"/>
      <c r="AJ3597" s="23"/>
      <c r="AK3597" s="23"/>
      <c r="AL3597" s="23"/>
      <c r="AM3597" s="23"/>
      <c r="AN3597" s="23"/>
      <c r="AO3597" s="23"/>
      <c r="AP3597" s="23"/>
      <c r="AQ3597" s="23"/>
      <c r="AR3597" s="23">
        <v>2</v>
      </c>
      <c r="AS3597" s="23"/>
      <c r="AT3597" s="23"/>
      <c r="AU3597" s="14" t="str">
        <f>HYPERLINK("http://www.openstreetmap.org/?mlat=31.1344&amp;mlon=46.4379&amp;zoom=12#map=12/31.1344/46.4379","Maplink1")</f>
        <v>Maplink1</v>
      </c>
      <c r="AV3597" s="14" t="str">
        <f>HYPERLINK("https://www.google.iq/maps/search/+31.1344,46.4379/@31.1344,46.4379,14z?hl=en","Maplink2")</f>
        <v>Maplink2</v>
      </c>
      <c r="AW3597" s="14" t="str">
        <f>HYPERLINK("http://www.bing.com/maps/?lvl=14&amp;sty=h&amp;cp=31.1344~46.4379&amp;sp=point.31.1344_46.4379_Syied Dakhil-Al-hay al-askary","Maplink3")</f>
        <v>Maplink3</v>
      </c>
    </row>
    <row r="3598" spans="1:49" x14ac:dyDescent="0.25">
      <c r="A3598" s="21">
        <v>25760</v>
      </c>
      <c r="B3598" s="22" t="s">
        <v>25</v>
      </c>
      <c r="C3598" s="22" t="s">
        <v>6882</v>
      </c>
      <c r="D3598" s="22" t="s">
        <v>6990</v>
      </c>
      <c r="E3598" s="22" t="s">
        <v>6991</v>
      </c>
      <c r="F3598" s="22">
        <v>30.989017</v>
      </c>
      <c r="G3598" s="22">
        <v>46.307842000000001</v>
      </c>
      <c r="H3598" s="21" t="s">
        <v>6835</v>
      </c>
      <c r="I3598" s="21" t="s">
        <v>6885</v>
      </c>
      <c r="J3598" s="21"/>
      <c r="K3598" s="24">
        <v>6</v>
      </c>
      <c r="L3598" s="24">
        <v>36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6</v>
      </c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/>
      <c r="AK3598" s="23">
        <v>6</v>
      </c>
      <c r="AL3598" s="23"/>
      <c r="AM3598" s="23"/>
      <c r="AN3598" s="23"/>
      <c r="AO3598" s="23"/>
      <c r="AP3598" s="23">
        <v>6</v>
      </c>
      <c r="AQ3598" s="23"/>
      <c r="AR3598" s="23"/>
      <c r="AS3598" s="23"/>
      <c r="AT3598" s="23"/>
      <c r="AU3598" s="14" t="str">
        <f>HYPERLINK("http://www.openstreetmap.org/?mlat=30.989&amp;mlon=46.3078&amp;zoom=12#map=12/30.989/46.3078","Maplink1")</f>
        <v>Maplink1</v>
      </c>
      <c r="AV3598" s="14" t="str">
        <f>HYPERLINK("https://www.google.iq/maps/search/+30.989,46.3078/@30.989,46.3078,14z?hl=en","Maplink2")</f>
        <v>Maplink2</v>
      </c>
      <c r="AW3598" s="14" t="str">
        <f>HYPERLINK("http://www.bing.com/maps/?lvl=14&amp;sty=h&amp;cp=30.989~46.3078&amp;sp=point.30.989_46.3078_The Abu Athm","Maplink3")</f>
        <v>Maplink3</v>
      </c>
    </row>
    <row r="3599" spans="1:49" x14ac:dyDescent="0.25">
      <c r="A3599" s="21">
        <v>23685</v>
      </c>
      <c r="B3599" s="22" t="s">
        <v>25</v>
      </c>
      <c r="C3599" s="22" t="s">
        <v>6882</v>
      </c>
      <c r="D3599" s="22" t="s">
        <v>6992</v>
      </c>
      <c r="E3599" s="22" t="s">
        <v>6993</v>
      </c>
      <c r="F3599" s="22">
        <v>31.091276000000001</v>
      </c>
      <c r="G3599" s="22">
        <v>46.238101</v>
      </c>
      <c r="H3599" s="21" t="s">
        <v>6835</v>
      </c>
      <c r="I3599" s="21" t="s">
        <v>6885</v>
      </c>
      <c r="J3599" s="21" t="s">
        <v>6994</v>
      </c>
      <c r="K3599" s="24">
        <v>9</v>
      </c>
      <c r="L3599" s="24">
        <v>54</v>
      </c>
      <c r="M3599" s="23">
        <v>5</v>
      </c>
      <c r="N3599" s="23"/>
      <c r="O3599" s="23"/>
      <c r="P3599" s="23"/>
      <c r="Q3599" s="23"/>
      <c r="R3599" s="23"/>
      <c r="S3599" s="23"/>
      <c r="T3599" s="23"/>
      <c r="U3599" s="23">
        <v>4</v>
      </c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>
        <v>1</v>
      </c>
      <c r="AG3599" s="23"/>
      <c r="AH3599" s="23"/>
      <c r="AI3599" s="23"/>
      <c r="AJ3599" s="23"/>
      <c r="AK3599" s="23">
        <v>8</v>
      </c>
      <c r="AL3599" s="23"/>
      <c r="AM3599" s="23"/>
      <c r="AN3599" s="23"/>
      <c r="AO3599" s="23"/>
      <c r="AP3599" s="23"/>
      <c r="AQ3599" s="23"/>
      <c r="AR3599" s="23">
        <v>9</v>
      </c>
      <c r="AS3599" s="23"/>
      <c r="AT3599" s="23"/>
      <c r="AU3599" s="14" t="str">
        <f>HYPERLINK("http://www.openstreetmap.org/?mlat=31.0913&amp;mlon=46.2381&amp;zoom=12#map=12/31.0913/46.2381","Maplink1")</f>
        <v>Maplink1</v>
      </c>
      <c r="AV3599" s="14" t="str">
        <f>HYPERLINK("https://www.google.iq/maps/search/+31.0913,46.2381/@31.0913,46.2381,14z?hl=en","Maplink2")</f>
        <v>Maplink2</v>
      </c>
      <c r="AW3599" s="14" t="str">
        <f>HYPERLINK("http://www.bing.com/maps/?lvl=14&amp;sty=h&amp;cp=31.0913~46.2381&amp;sp=point.31.0913_46.2381_Um Al Dood","Maplink3")</f>
        <v>Maplink3</v>
      </c>
    </row>
    <row r="3600" spans="1:49" x14ac:dyDescent="0.25">
      <c r="A3600" s="21">
        <v>9113</v>
      </c>
      <c r="B3600" s="22" t="s">
        <v>25</v>
      </c>
      <c r="C3600" s="22" t="s">
        <v>6882</v>
      </c>
      <c r="D3600" s="22" t="s">
        <v>6995</v>
      </c>
      <c r="E3600" s="22" t="s">
        <v>6996</v>
      </c>
      <c r="F3600" s="22">
        <v>30.95</v>
      </c>
      <c r="G3600" s="22">
        <v>46.12</v>
      </c>
      <c r="H3600" s="21" t="s">
        <v>6835</v>
      </c>
      <c r="I3600" s="21" t="s">
        <v>6885</v>
      </c>
      <c r="J3600" s="21" t="s">
        <v>6997</v>
      </c>
      <c r="K3600" s="24">
        <v>60</v>
      </c>
      <c r="L3600" s="24">
        <v>360</v>
      </c>
      <c r="M3600" s="23">
        <v>7</v>
      </c>
      <c r="N3600" s="23">
        <v>6</v>
      </c>
      <c r="O3600" s="23"/>
      <c r="P3600" s="23"/>
      <c r="Q3600" s="23"/>
      <c r="R3600" s="23"/>
      <c r="S3600" s="23"/>
      <c r="T3600" s="23"/>
      <c r="U3600" s="23">
        <v>3</v>
      </c>
      <c r="V3600" s="23"/>
      <c r="W3600" s="23"/>
      <c r="X3600" s="23"/>
      <c r="Y3600" s="23">
        <v>44</v>
      </c>
      <c r="Z3600" s="23"/>
      <c r="AA3600" s="23"/>
      <c r="AB3600" s="23"/>
      <c r="AC3600" s="23"/>
      <c r="AD3600" s="23"/>
      <c r="AE3600" s="23"/>
      <c r="AF3600" s="23">
        <v>40</v>
      </c>
      <c r="AG3600" s="23"/>
      <c r="AH3600" s="23"/>
      <c r="AI3600" s="23"/>
      <c r="AJ3600" s="23"/>
      <c r="AK3600" s="23">
        <v>20</v>
      </c>
      <c r="AL3600" s="23"/>
      <c r="AM3600" s="23"/>
      <c r="AN3600" s="23"/>
      <c r="AO3600" s="23">
        <v>2</v>
      </c>
      <c r="AP3600" s="23"/>
      <c r="AQ3600" s="23">
        <v>47</v>
      </c>
      <c r="AR3600" s="23">
        <v>11</v>
      </c>
      <c r="AS3600" s="23"/>
      <c r="AT3600" s="23"/>
      <c r="AU3600" s="14" t="str">
        <f>HYPERLINK("http://www.openstreetmap.org/?mlat=30.95&amp;mlon=46.12&amp;zoom=12#map=12/30.95/46.12","Maplink1")</f>
        <v>Maplink1</v>
      </c>
      <c r="AV3600" s="14" t="str">
        <f>HYPERLINK("https://www.google.iq/maps/search/+30.95,46.12/@30.95,46.12,14z?hl=en","Maplink2")</f>
        <v>Maplink2</v>
      </c>
      <c r="AW3600" s="14" t="str">
        <f>HYPERLINK("http://www.bing.com/maps/?lvl=14&amp;sty=h&amp;cp=30.95~46.12&amp;sp=point.30.95_46.12_Ur","Maplink3")</f>
        <v>Maplink3</v>
      </c>
    </row>
    <row r="3601" spans="1:49" x14ac:dyDescent="0.25">
      <c r="A3601" s="21">
        <v>9206</v>
      </c>
      <c r="B3601" s="22" t="s">
        <v>25</v>
      </c>
      <c r="C3601" s="22" t="s">
        <v>6998</v>
      </c>
      <c r="D3601" s="22" t="s">
        <v>6999</v>
      </c>
      <c r="E3601" s="22" t="s">
        <v>7000</v>
      </c>
      <c r="F3601" s="22">
        <v>30.901737000000001</v>
      </c>
      <c r="G3601" s="22">
        <v>46.458756999999999</v>
      </c>
      <c r="H3601" s="21" t="s">
        <v>6835</v>
      </c>
      <c r="I3601" s="21" t="s">
        <v>7001</v>
      </c>
      <c r="J3601" s="21" t="s">
        <v>7002</v>
      </c>
      <c r="K3601" s="24">
        <v>10</v>
      </c>
      <c r="L3601" s="24">
        <v>60</v>
      </c>
      <c r="M3601" s="23">
        <v>3</v>
      </c>
      <c r="N3601" s="23"/>
      <c r="O3601" s="23"/>
      <c r="P3601" s="23"/>
      <c r="Q3601" s="23"/>
      <c r="R3601" s="23"/>
      <c r="S3601" s="23"/>
      <c r="T3601" s="23"/>
      <c r="U3601" s="23">
        <v>2</v>
      </c>
      <c r="V3601" s="23"/>
      <c r="W3601" s="23"/>
      <c r="X3601" s="23"/>
      <c r="Y3601" s="23">
        <v>5</v>
      </c>
      <c r="Z3601" s="23"/>
      <c r="AA3601" s="23"/>
      <c r="AB3601" s="23"/>
      <c r="AC3601" s="23"/>
      <c r="AD3601" s="23"/>
      <c r="AE3601" s="23"/>
      <c r="AF3601" s="23">
        <v>6</v>
      </c>
      <c r="AG3601" s="23"/>
      <c r="AH3601" s="23"/>
      <c r="AI3601" s="23"/>
      <c r="AJ3601" s="23"/>
      <c r="AK3601" s="23">
        <v>4</v>
      </c>
      <c r="AL3601" s="23"/>
      <c r="AM3601" s="23"/>
      <c r="AN3601" s="23"/>
      <c r="AO3601" s="23"/>
      <c r="AP3601" s="23"/>
      <c r="AQ3601" s="23">
        <v>1</v>
      </c>
      <c r="AR3601" s="23">
        <v>6</v>
      </c>
      <c r="AS3601" s="23">
        <v>3</v>
      </c>
      <c r="AT3601" s="23"/>
      <c r="AU3601" s="14" t="str">
        <f>HYPERLINK("http://www.openstreetmap.org/?mlat=30.9017&amp;mlon=46.4588&amp;zoom=12#map=12/30.9017/46.4588","Maplink1")</f>
        <v>Maplink1</v>
      </c>
      <c r="AV3601" s="14" t="str">
        <f>HYPERLINK("https://www.google.iq/maps/search/+30.9017,46.4588/@30.9017,46.4588,14z?hl=en","Maplink2")</f>
        <v>Maplink2</v>
      </c>
      <c r="AW3601" s="14" t="str">
        <f>HYPERLINK("http://www.bing.com/maps/?lvl=14&amp;sty=h&amp;cp=30.9017~46.4588&amp;sp=point.30.9017_46.4588_Al Esmaelya 2","Maplink3")</f>
        <v>Maplink3</v>
      </c>
    </row>
    <row r="3602" spans="1:49" x14ac:dyDescent="0.25">
      <c r="A3602" s="21">
        <v>24721</v>
      </c>
      <c r="B3602" s="22" t="s">
        <v>25</v>
      </c>
      <c r="C3602" s="22" t="s">
        <v>6998</v>
      </c>
      <c r="D3602" s="22" t="s">
        <v>7003</v>
      </c>
      <c r="E3602" s="22" t="s">
        <v>7004</v>
      </c>
      <c r="F3602" s="22">
        <v>30.958279999999998</v>
      </c>
      <c r="G3602" s="22">
        <v>46.357126000000001</v>
      </c>
      <c r="H3602" s="21" t="s">
        <v>6835</v>
      </c>
      <c r="I3602" s="21" t="s">
        <v>7001</v>
      </c>
      <c r="J3602" s="21"/>
      <c r="K3602" s="24">
        <v>30</v>
      </c>
      <c r="L3602" s="24">
        <v>180</v>
      </c>
      <c r="M3602" s="23"/>
      <c r="N3602" s="23"/>
      <c r="O3602" s="23"/>
      <c r="P3602" s="23"/>
      <c r="Q3602" s="23"/>
      <c r="R3602" s="23"/>
      <c r="S3602" s="23"/>
      <c r="T3602" s="23"/>
      <c r="U3602" s="23">
        <v>10</v>
      </c>
      <c r="V3602" s="23"/>
      <c r="W3602" s="23"/>
      <c r="X3602" s="23"/>
      <c r="Y3602" s="23">
        <v>20</v>
      </c>
      <c r="Z3602" s="23"/>
      <c r="AA3602" s="23"/>
      <c r="AB3602" s="23"/>
      <c r="AC3602" s="23"/>
      <c r="AD3602" s="23"/>
      <c r="AE3602" s="23"/>
      <c r="AF3602" s="23">
        <v>12</v>
      </c>
      <c r="AG3602" s="23"/>
      <c r="AH3602" s="23"/>
      <c r="AI3602" s="23"/>
      <c r="AJ3602" s="23"/>
      <c r="AK3602" s="23">
        <v>18</v>
      </c>
      <c r="AL3602" s="23"/>
      <c r="AM3602" s="23"/>
      <c r="AN3602" s="23"/>
      <c r="AO3602" s="23"/>
      <c r="AP3602" s="23">
        <v>22</v>
      </c>
      <c r="AQ3602" s="23"/>
      <c r="AR3602" s="23">
        <v>8</v>
      </c>
      <c r="AS3602" s="23"/>
      <c r="AT3602" s="23"/>
      <c r="AU3602" s="14" t="str">
        <f>HYPERLINK("http://www.openstreetmap.org/?mlat=30.9583&amp;mlon=46.3571&amp;zoom=12#map=12/30.9583/46.3571","Maplink1")</f>
        <v>Maplink1</v>
      </c>
      <c r="AV3602" s="14" t="str">
        <f>HYPERLINK("https://www.google.iq/maps/search/+30.9583,46.3571/@30.9583,46.3571,14z?hl=en","Maplink2")</f>
        <v>Maplink2</v>
      </c>
      <c r="AW3602" s="14" t="str">
        <f>HYPERLINK("http://www.bing.com/maps/?lvl=14&amp;sty=h&amp;cp=30.9583~46.3571&amp;sp=point.30.9583_46.3571_Al Fadhliyah Al Barid Street","Maplink3")</f>
        <v>Maplink3</v>
      </c>
    </row>
    <row r="3603" spans="1:49" x14ac:dyDescent="0.25">
      <c r="A3603" s="21">
        <v>25436</v>
      </c>
      <c r="B3603" s="22" t="s">
        <v>25</v>
      </c>
      <c r="C3603" s="22" t="s">
        <v>6998</v>
      </c>
      <c r="D3603" s="22" t="s">
        <v>7005</v>
      </c>
      <c r="E3603" s="22" t="s">
        <v>7006</v>
      </c>
      <c r="F3603" s="22">
        <v>30.901945000000001</v>
      </c>
      <c r="G3603" s="22">
        <v>46.444506400000002</v>
      </c>
      <c r="H3603" s="21" t="s">
        <v>6835</v>
      </c>
      <c r="I3603" s="21" t="s">
        <v>7001</v>
      </c>
      <c r="J3603" s="21"/>
      <c r="K3603" s="24">
        <v>17</v>
      </c>
      <c r="L3603" s="24">
        <v>102</v>
      </c>
      <c r="M3603" s="23"/>
      <c r="N3603" s="23"/>
      <c r="O3603" s="23"/>
      <c r="P3603" s="23"/>
      <c r="Q3603" s="23"/>
      <c r="R3603" s="23"/>
      <c r="S3603" s="23"/>
      <c r="T3603" s="23"/>
      <c r="U3603" s="23">
        <v>5</v>
      </c>
      <c r="V3603" s="23"/>
      <c r="W3603" s="23"/>
      <c r="X3603" s="23"/>
      <c r="Y3603" s="23">
        <v>8</v>
      </c>
      <c r="Z3603" s="23"/>
      <c r="AA3603" s="23">
        <v>4</v>
      </c>
      <c r="AB3603" s="23"/>
      <c r="AC3603" s="23"/>
      <c r="AD3603" s="23"/>
      <c r="AE3603" s="23"/>
      <c r="AF3603" s="23">
        <v>3</v>
      </c>
      <c r="AG3603" s="23"/>
      <c r="AH3603" s="23"/>
      <c r="AI3603" s="23"/>
      <c r="AJ3603" s="23"/>
      <c r="AK3603" s="23">
        <v>14</v>
      </c>
      <c r="AL3603" s="23"/>
      <c r="AM3603" s="23"/>
      <c r="AN3603" s="23"/>
      <c r="AO3603" s="23"/>
      <c r="AP3603" s="23">
        <v>5</v>
      </c>
      <c r="AQ3603" s="23">
        <v>4</v>
      </c>
      <c r="AR3603" s="23">
        <v>8</v>
      </c>
      <c r="AS3603" s="23"/>
      <c r="AT3603" s="23"/>
      <c r="AU3603" s="14" t="str">
        <f>HYPERLINK("http://www.openstreetmap.org/?mlat=30.9019&amp;mlon=46.4445&amp;zoom=12#map=12/30.9019/46.4445","Maplink1")</f>
        <v>Maplink1</v>
      </c>
      <c r="AV3603" s="14" t="str">
        <f>HYPERLINK("https://www.google.iq/maps/search/+30.9019,46.4445/@30.9019,46.4445,14z?hl=en","Maplink2")</f>
        <v>Maplink2</v>
      </c>
      <c r="AW3603" s="14" t="str">
        <f>HYPERLINK("http://www.bing.com/maps/?lvl=14&amp;sty=h&amp;cp=30.9019~46.4445&amp;sp=point.30.9019_46.4445_Al Kibla","Maplink3")</f>
        <v>Maplink3</v>
      </c>
    </row>
    <row r="3604" spans="1:49" x14ac:dyDescent="0.25">
      <c r="A3604" s="21">
        <v>25437</v>
      </c>
      <c r="B3604" s="22" t="s">
        <v>25</v>
      </c>
      <c r="C3604" s="22" t="s">
        <v>6998</v>
      </c>
      <c r="D3604" s="22" t="s">
        <v>6911</v>
      </c>
      <c r="E3604" s="22" t="s">
        <v>7007</v>
      </c>
      <c r="F3604" s="22">
        <v>30.900406</v>
      </c>
      <c r="G3604" s="22">
        <v>46.451576000000003</v>
      </c>
      <c r="H3604" s="21" t="s">
        <v>6835</v>
      </c>
      <c r="I3604" s="21" t="s">
        <v>7001</v>
      </c>
      <c r="J3604" s="21"/>
      <c r="K3604" s="24">
        <v>4</v>
      </c>
      <c r="L3604" s="24">
        <v>24</v>
      </c>
      <c r="M3604" s="23">
        <v>2</v>
      </c>
      <c r="N3604" s="23"/>
      <c r="O3604" s="23"/>
      <c r="P3604" s="23"/>
      <c r="Q3604" s="23"/>
      <c r="R3604" s="23"/>
      <c r="S3604" s="23"/>
      <c r="T3604" s="23"/>
      <c r="U3604" s="23">
        <v>2</v>
      </c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23">
        <v>2</v>
      </c>
      <c r="AG3604" s="23"/>
      <c r="AH3604" s="23"/>
      <c r="AI3604" s="23"/>
      <c r="AJ3604" s="23"/>
      <c r="AK3604" s="23">
        <v>2</v>
      </c>
      <c r="AL3604" s="23"/>
      <c r="AM3604" s="23"/>
      <c r="AN3604" s="23"/>
      <c r="AO3604" s="23"/>
      <c r="AP3604" s="23"/>
      <c r="AQ3604" s="23">
        <v>4</v>
      </c>
      <c r="AR3604" s="23"/>
      <c r="AS3604" s="23"/>
      <c r="AT3604" s="23"/>
      <c r="AU3604" s="14" t="str">
        <f>HYPERLINK("http://www.openstreetmap.org/?mlat=30.9004&amp;mlon=46.4516&amp;zoom=12#map=12/30.9004/46.4516","Maplink1")</f>
        <v>Maplink1</v>
      </c>
      <c r="AV3604" s="14" t="str">
        <f>HYPERLINK("https://www.google.iq/maps/search/+30.9004,46.4516/@30.9004,46.4516,14z?hl=en","Maplink2")</f>
        <v>Maplink2</v>
      </c>
      <c r="AW3604" s="14" t="str">
        <f>HYPERLINK("http://www.bing.com/maps/?lvl=14&amp;sty=h&amp;cp=30.9004~46.4516&amp;sp=point.30.9004_46.4516_Al Shumokh","Maplink3")</f>
        <v>Maplink3</v>
      </c>
    </row>
    <row r="3605" spans="1:49" x14ac:dyDescent="0.25">
      <c r="A3605" s="21">
        <v>9262</v>
      </c>
      <c r="B3605" s="22" t="s">
        <v>25</v>
      </c>
      <c r="C3605" s="22" t="s">
        <v>6998</v>
      </c>
      <c r="D3605" s="22" t="s">
        <v>7008</v>
      </c>
      <c r="E3605" s="22" t="s">
        <v>7009</v>
      </c>
      <c r="F3605" s="22">
        <v>30.911110999999998</v>
      </c>
      <c r="G3605" s="22">
        <v>46.476388999999998</v>
      </c>
      <c r="H3605" s="21" t="s">
        <v>6835</v>
      </c>
      <c r="I3605" s="21" t="s">
        <v>7001</v>
      </c>
      <c r="J3605" s="21" t="s">
        <v>7010</v>
      </c>
      <c r="K3605" s="24">
        <v>18</v>
      </c>
      <c r="L3605" s="24">
        <v>108</v>
      </c>
      <c r="M3605" s="23"/>
      <c r="N3605" s="23">
        <v>1</v>
      </c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>
        <v>17</v>
      </c>
      <c r="Z3605" s="23"/>
      <c r="AA3605" s="23"/>
      <c r="AB3605" s="23"/>
      <c r="AC3605" s="23"/>
      <c r="AD3605" s="23"/>
      <c r="AE3605" s="23"/>
      <c r="AF3605" s="23">
        <v>3</v>
      </c>
      <c r="AG3605" s="23"/>
      <c r="AH3605" s="23"/>
      <c r="AI3605" s="23"/>
      <c r="AJ3605" s="23"/>
      <c r="AK3605" s="23">
        <v>15</v>
      </c>
      <c r="AL3605" s="23"/>
      <c r="AM3605" s="23"/>
      <c r="AN3605" s="23"/>
      <c r="AO3605" s="23">
        <v>3</v>
      </c>
      <c r="AP3605" s="23">
        <v>15</v>
      </c>
      <c r="AQ3605" s="23"/>
      <c r="AR3605" s="23"/>
      <c r="AS3605" s="23"/>
      <c r="AT3605" s="23"/>
      <c r="AU3605" s="14" t="str">
        <f>HYPERLINK("http://www.openstreetmap.org/?mlat=30.9111&amp;mlon=46.4764&amp;zoom=12#map=12/30.9111/46.4764","Maplink1")</f>
        <v>Maplink1</v>
      </c>
      <c r="AV3605" s="14" t="str">
        <f>HYPERLINK("https://www.google.iq/maps/search/+30.9111,46.4764/@30.9111,46.4764,14z?hl=en","Maplink2")</f>
        <v>Maplink2</v>
      </c>
      <c r="AW3605" s="14" t="str">
        <f>HYPERLINK("http://www.bing.com/maps/?lvl=14&amp;sty=h&amp;cp=30.9111~46.4764&amp;sp=point.30.9111_46.4764_Al-akaekah","Maplink3")</f>
        <v>Maplink3</v>
      </c>
    </row>
    <row r="3606" spans="1:49" x14ac:dyDescent="0.25">
      <c r="A3606" s="21">
        <v>9328</v>
      </c>
      <c r="B3606" s="22" t="s">
        <v>25</v>
      </c>
      <c r="C3606" s="22" t="s">
        <v>6998</v>
      </c>
      <c r="D3606" s="22" t="s">
        <v>7011</v>
      </c>
      <c r="E3606" s="22" t="s">
        <v>120</v>
      </c>
      <c r="F3606" s="22">
        <v>30.956944</v>
      </c>
      <c r="G3606" s="22">
        <v>46.350555999999997</v>
      </c>
      <c r="H3606" s="21" t="s">
        <v>6835</v>
      </c>
      <c r="I3606" s="21" t="s">
        <v>7001</v>
      </c>
      <c r="J3606" s="21" t="s">
        <v>7012</v>
      </c>
      <c r="K3606" s="24">
        <v>10</v>
      </c>
      <c r="L3606" s="24">
        <v>60</v>
      </c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10</v>
      </c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>
        <v>10</v>
      </c>
      <c r="AL3606" s="23"/>
      <c r="AM3606" s="23"/>
      <c r="AN3606" s="23"/>
      <c r="AO3606" s="23"/>
      <c r="AP3606" s="23">
        <v>10</v>
      </c>
      <c r="AQ3606" s="23"/>
      <c r="AR3606" s="23"/>
      <c r="AS3606" s="23"/>
      <c r="AT3606" s="23"/>
      <c r="AU3606" s="14" t="str">
        <f>HYPERLINK("http://www.openstreetmap.org/?mlat=30.9569&amp;mlon=46.3506&amp;zoom=12#map=12/30.9569/46.3506","Maplink1")</f>
        <v>Maplink1</v>
      </c>
      <c r="AV3606" s="14" t="str">
        <f>HYPERLINK("https://www.google.iq/maps/search/+30.9569,46.3506/@30.9569,46.3506,14z?hl=en","Maplink2")</f>
        <v>Maplink2</v>
      </c>
      <c r="AW3606" s="14" t="str">
        <f>HYPERLINK("http://www.bing.com/maps/?lvl=14&amp;sty=h&amp;cp=30.9569~46.3506&amp;sp=point.30.9569_46.3506_Al-hey Al-Askarey","Maplink3")</f>
        <v>Maplink3</v>
      </c>
    </row>
    <row r="3607" spans="1:49" x14ac:dyDescent="0.25">
      <c r="A3607" s="21">
        <v>9332</v>
      </c>
      <c r="B3607" s="22" t="s">
        <v>25</v>
      </c>
      <c r="C3607" s="22" t="s">
        <v>6998</v>
      </c>
      <c r="D3607" s="22" t="s">
        <v>766</v>
      </c>
      <c r="E3607" s="22" t="s">
        <v>129</v>
      </c>
      <c r="F3607" s="22">
        <v>30.958333</v>
      </c>
      <c r="G3607" s="22">
        <v>46.354166999999997</v>
      </c>
      <c r="H3607" s="21" t="s">
        <v>6835</v>
      </c>
      <c r="I3607" s="21" t="s">
        <v>7001</v>
      </c>
      <c r="J3607" s="21" t="s">
        <v>7013</v>
      </c>
      <c r="K3607" s="24">
        <v>25</v>
      </c>
      <c r="L3607" s="24">
        <v>150</v>
      </c>
      <c r="M3607" s="23">
        <v>3</v>
      </c>
      <c r="N3607" s="23">
        <v>1</v>
      </c>
      <c r="O3607" s="23"/>
      <c r="P3607" s="23"/>
      <c r="Q3607" s="23"/>
      <c r="R3607" s="23">
        <v>9</v>
      </c>
      <c r="S3607" s="23"/>
      <c r="T3607" s="23"/>
      <c r="U3607" s="23"/>
      <c r="V3607" s="23"/>
      <c r="W3607" s="23"/>
      <c r="X3607" s="23"/>
      <c r="Y3607" s="23">
        <v>12</v>
      </c>
      <c r="Z3607" s="23"/>
      <c r="AA3607" s="23"/>
      <c r="AB3607" s="23"/>
      <c r="AC3607" s="23"/>
      <c r="AD3607" s="23"/>
      <c r="AE3607" s="23"/>
      <c r="AF3607" s="23">
        <v>9</v>
      </c>
      <c r="AG3607" s="23"/>
      <c r="AH3607" s="23"/>
      <c r="AI3607" s="23"/>
      <c r="AJ3607" s="23"/>
      <c r="AK3607" s="23">
        <v>16</v>
      </c>
      <c r="AL3607" s="23"/>
      <c r="AM3607" s="23"/>
      <c r="AN3607" s="23"/>
      <c r="AO3607" s="23"/>
      <c r="AP3607" s="23">
        <v>4</v>
      </c>
      <c r="AQ3607" s="23">
        <v>5</v>
      </c>
      <c r="AR3607" s="23">
        <v>8</v>
      </c>
      <c r="AS3607" s="23">
        <v>8</v>
      </c>
      <c r="AT3607" s="23"/>
      <c r="AU3607" s="14" t="str">
        <f>HYPERLINK("http://www.openstreetmap.org/?mlat=30.9583&amp;mlon=46.3542&amp;zoom=12#map=12/30.9583/46.3542","Maplink1")</f>
        <v>Maplink1</v>
      </c>
      <c r="AV3607" s="14" t="str">
        <f>HYPERLINK("https://www.google.iq/maps/search/+30.9583,46.3542/@30.9583,46.3542,14z?hl=en","Maplink2")</f>
        <v>Maplink2</v>
      </c>
      <c r="AW3607" s="14" t="str">
        <f>HYPERLINK("http://www.bing.com/maps/?lvl=14&amp;sty=h&amp;cp=30.9583~46.3542&amp;sp=point.30.9583_46.3542_Al-shuhadaa","Maplink3")</f>
        <v>Maplink3</v>
      </c>
    </row>
    <row r="3608" spans="1:49" x14ac:dyDescent="0.25">
      <c r="A3608" s="21">
        <v>24783</v>
      </c>
      <c r="B3608" s="22" t="s">
        <v>25</v>
      </c>
      <c r="C3608" s="22" t="s">
        <v>6998</v>
      </c>
      <c r="D3608" s="22" t="s">
        <v>7014</v>
      </c>
      <c r="E3608" s="22" t="s">
        <v>7015</v>
      </c>
      <c r="F3608" s="22">
        <v>30.9589</v>
      </c>
      <c r="G3608" s="22">
        <v>46.356599000000003</v>
      </c>
      <c r="H3608" s="21" t="s">
        <v>6835</v>
      </c>
      <c r="I3608" s="21" t="s">
        <v>7001</v>
      </c>
      <c r="J3608" s="21"/>
      <c r="K3608" s="24">
        <v>5</v>
      </c>
      <c r="L3608" s="24">
        <v>30</v>
      </c>
      <c r="M3608" s="23"/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/>
      <c r="Z3608" s="23"/>
      <c r="AA3608" s="23">
        <v>5</v>
      </c>
      <c r="AB3608" s="23"/>
      <c r="AC3608" s="23"/>
      <c r="AD3608" s="23"/>
      <c r="AE3608" s="23"/>
      <c r="AF3608" s="23"/>
      <c r="AG3608" s="23"/>
      <c r="AH3608" s="23"/>
      <c r="AI3608" s="23"/>
      <c r="AJ3608" s="23"/>
      <c r="AK3608" s="23">
        <v>5</v>
      </c>
      <c r="AL3608" s="23"/>
      <c r="AM3608" s="23"/>
      <c r="AN3608" s="23"/>
      <c r="AO3608" s="23"/>
      <c r="AP3608" s="23">
        <v>5</v>
      </c>
      <c r="AQ3608" s="23"/>
      <c r="AR3608" s="23"/>
      <c r="AS3608" s="23"/>
      <c r="AT3608" s="23"/>
      <c r="AU3608" s="14" t="str">
        <f>HYPERLINK("http://www.openstreetmap.org/?mlat=30.9589&amp;mlon=46.3566&amp;zoom=12#map=12/30.9589/46.3566","Maplink1")</f>
        <v>Maplink1</v>
      </c>
      <c r="AV3608" s="14" t="str">
        <f>HYPERLINK("https://www.google.iq/maps/search/+30.9589,46.3566/@30.9589,46.3566,14z?hl=en","Maplink2")</f>
        <v>Maplink2</v>
      </c>
      <c r="AW3608" s="14" t="str">
        <f>HYPERLINK("http://www.bing.com/maps/?lvl=14&amp;sty=h&amp;cp=30.9589~46.3566&amp;sp=point.30.9589_46.3566_Hey Al Tahrear","Maplink3")</f>
        <v>Maplink3</v>
      </c>
    </row>
    <row r="3609" spans="1:49" x14ac:dyDescent="0.25">
      <c r="A3609" s="21">
        <v>24493</v>
      </c>
      <c r="B3609" s="22" t="s">
        <v>25</v>
      </c>
      <c r="C3609" s="22" t="s">
        <v>6998</v>
      </c>
      <c r="D3609" s="22" t="s">
        <v>7016</v>
      </c>
      <c r="E3609" s="22" t="s">
        <v>7017</v>
      </c>
      <c r="F3609" s="22">
        <v>30.906654</v>
      </c>
      <c r="G3609" s="22">
        <v>46.444360000000003</v>
      </c>
      <c r="H3609" s="21" t="s">
        <v>6835</v>
      </c>
      <c r="I3609" s="21" t="s">
        <v>7001</v>
      </c>
      <c r="J3609" s="21"/>
      <c r="K3609" s="24">
        <v>9</v>
      </c>
      <c r="L3609" s="24">
        <v>54</v>
      </c>
      <c r="M3609" s="23">
        <v>9</v>
      </c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/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>
        <v>9</v>
      </c>
      <c r="AL3609" s="23"/>
      <c r="AM3609" s="23"/>
      <c r="AN3609" s="23"/>
      <c r="AO3609" s="23"/>
      <c r="AP3609" s="23">
        <v>9</v>
      </c>
      <c r="AQ3609" s="23"/>
      <c r="AR3609" s="23"/>
      <c r="AS3609" s="23"/>
      <c r="AT3609" s="23"/>
      <c r="AU3609" s="14" t="str">
        <f>HYPERLINK("http://www.openstreetmap.org/?mlat=30.9067&amp;mlon=46.4444&amp;zoom=12#map=12/30.9067/46.4444","Maplink1")</f>
        <v>Maplink1</v>
      </c>
      <c r="AV3609" s="14" t="str">
        <f>HYPERLINK("https://www.google.iq/maps/search/+30.9067,46.4444/@30.9067,46.4444,14z?hl=en","Maplink2")</f>
        <v>Maplink2</v>
      </c>
      <c r="AW3609" s="14" t="str">
        <f>HYPERLINK("http://www.bing.com/maps/?lvl=14&amp;sty=h&amp;cp=30.9067~46.4444&amp;sp=point.30.9067_46.4444_Hey al-chaoui","Maplink3")</f>
        <v>Maplink3</v>
      </c>
    </row>
    <row r="3610" spans="1:49" x14ac:dyDescent="0.25">
      <c r="A3610" s="21">
        <v>9261</v>
      </c>
      <c r="B3610" s="22" t="s">
        <v>25</v>
      </c>
      <c r="C3610" s="22" t="s">
        <v>6998</v>
      </c>
      <c r="D3610" s="22" t="s">
        <v>7018</v>
      </c>
      <c r="E3610" s="22" t="s">
        <v>1098</v>
      </c>
      <c r="F3610" s="22">
        <v>30.909167</v>
      </c>
      <c r="G3610" s="22">
        <v>46.449722000000001</v>
      </c>
      <c r="H3610" s="21" t="s">
        <v>6835</v>
      </c>
      <c r="I3610" s="21" t="s">
        <v>7001</v>
      </c>
      <c r="J3610" s="21" t="s">
        <v>7019</v>
      </c>
      <c r="K3610" s="24">
        <v>8</v>
      </c>
      <c r="L3610" s="24">
        <v>48</v>
      </c>
      <c r="M3610" s="23"/>
      <c r="N3610" s="23"/>
      <c r="O3610" s="23">
        <v>4</v>
      </c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4</v>
      </c>
      <c r="Z3610" s="23"/>
      <c r="AA3610" s="23"/>
      <c r="AB3610" s="23"/>
      <c r="AC3610" s="23"/>
      <c r="AD3610" s="23"/>
      <c r="AE3610" s="23"/>
      <c r="AF3610" s="23"/>
      <c r="AG3610" s="23"/>
      <c r="AH3610" s="23"/>
      <c r="AI3610" s="23"/>
      <c r="AJ3610" s="23"/>
      <c r="AK3610" s="23">
        <v>8</v>
      </c>
      <c r="AL3610" s="23"/>
      <c r="AM3610" s="23"/>
      <c r="AN3610" s="23"/>
      <c r="AO3610" s="23">
        <v>5</v>
      </c>
      <c r="AP3610" s="23"/>
      <c r="AQ3610" s="23">
        <v>3</v>
      </c>
      <c r="AR3610" s="23"/>
      <c r="AS3610" s="23"/>
      <c r="AT3610" s="23"/>
      <c r="AU3610" s="14" t="str">
        <f>HYPERLINK("http://www.openstreetmap.org/?mlat=30.9092&amp;mlon=46.4497&amp;zoom=12#map=12/30.9092/46.4497","Maplink1")</f>
        <v>Maplink1</v>
      </c>
      <c r="AV3610" s="14" t="str">
        <f>HYPERLINK("https://www.google.iq/maps/search/+30.9092,46.4497/@30.9092,46.4497,14z?hl=en","Maplink2")</f>
        <v>Maplink2</v>
      </c>
      <c r="AW3610" s="14" t="str">
        <f>HYPERLINK("http://www.bing.com/maps/?lvl=14&amp;sty=h&amp;cp=30.9092~46.4497&amp;sp=point.30.9092_46.4497_Hey al-ghadeir","Maplink3")</f>
        <v>Maplink3</v>
      </c>
    </row>
    <row r="3611" spans="1:49" x14ac:dyDescent="0.25">
      <c r="A3611" s="21">
        <v>9258</v>
      </c>
      <c r="B3611" s="22" t="s">
        <v>25</v>
      </c>
      <c r="C3611" s="22" t="s">
        <v>6998</v>
      </c>
      <c r="D3611" s="22" t="s">
        <v>7020</v>
      </c>
      <c r="E3611" s="22" t="s">
        <v>2196</v>
      </c>
      <c r="F3611" s="22">
        <v>30.8825</v>
      </c>
      <c r="G3611" s="22">
        <v>46.575000000000003</v>
      </c>
      <c r="H3611" s="21" t="s">
        <v>6835</v>
      </c>
      <c r="I3611" s="21" t="s">
        <v>7001</v>
      </c>
      <c r="J3611" s="21" t="s">
        <v>7021</v>
      </c>
      <c r="K3611" s="24">
        <v>19</v>
      </c>
      <c r="L3611" s="24">
        <v>114</v>
      </c>
      <c r="M3611" s="23"/>
      <c r="N3611" s="23"/>
      <c r="O3611" s="23"/>
      <c r="P3611" s="23"/>
      <c r="Q3611" s="23"/>
      <c r="R3611" s="23"/>
      <c r="S3611" s="23"/>
      <c r="T3611" s="23"/>
      <c r="U3611" s="23">
        <v>6</v>
      </c>
      <c r="V3611" s="23"/>
      <c r="W3611" s="23"/>
      <c r="X3611" s="23"/>
      <c r="Y3611" s="23">
        <v>10</v>
      </c>
      <c r="Z3611" s="23"/>
      <c r="AA3611" s="23">
        <v>3</v>
      </c>
      <c r="AB3611" s="23"/>
      <c r="AC3611" s="23"/>
      <c r="AD3611" s="23"/>
      <c r="AE3611" s="23"/>
      <c r="AF3611" s="23">
        <v>11</v>
      </c>
      <c r="AG3611" s="23"/>
      <c r="AH3611" s="23"/>
      <c r="AI3611" s="23"/>
      <c r="AJ3611" s="23"/>
      <c r="AK3611" s="23">
        <v>8</v>
      </c>
      <c r="AL3611" s="23"/>
      <c r="AM3611" s="23"/>
      <c r="AN3611" s="23"/>
      <c r="AO3611" s="23"/>
      <c r="AP3611" s="23"/>
      <c r="AQ3611" s="23">
        <v>19</v>
      </c>
      <c r="AR3611" s="23"/>
      <c r="AS3611" s="23"/>
      <c r="AT3611" s="23"/>
      <c r="AU3611" s="14" t="str">
        <f>HYPERLINK("http://www.openstreetmap.org/?mlat=30.8825&amp;mlon=46.575&amp;zoom=12#map=12/30.8825/46.575","Maplink1")</f>
        <v>Maplink1</v>
      </c>
      <c r="AV3611" s="14" t="str">
        <f>HYPERLINK("https://www.google.iq/maps/search/+30.8825,46.575/@30.8825,46.575,14z?hl=en","Maplink2")</f>
        <v>Maplink2</v>
      </c>
      <c r="AW3611" s="14" t="str">
        <f>HYPERLINK("http://www.bing.com/maps/?lvl=14&amp;sty=h&amp;cp=30.8825~46.575&amp;sp=point.30.8825_46.575_Hey al-zahraa","Maplink3")</f>
        <v>Maplink3</v>
      </c>
    </row>
    <row r="3612" spans="1:49" x14ac:dyDescent="0.25">
      <c r="A3612" s="21">
        <v>8878</v>
      </c>
      <c r="B3612" s="22" t="s">
        <v>25</v>
      </c>
      <c r="C3612" s="22" t="s">
        <v>6998</v>
      </c>
      <c r="D3612" s="22" t="s">
        <v>7022</v>
      </c>
      <c r="E3612" s="22" t="s">
        <v>7023</v>
      </c>
      <c r="F3612" s="22">
        <v>30.87</v>
      </c>
      <c r="G3612" s="22">
        <v>46.57</v>
      </c>
      <c r="H3612" s="21" t="s">
        <v>6835</v>
      </c>
      <c r="I3612" s="21" t="s">
        <v>7001</v>
      </c>
      <c r="J3612" s="21" t="s">
        <v>7024</v>
      </c>
      <c r="K3612" s="24">
        <v>45</v>
      </c>
      <c r="L3612" s="24">
        <v>270</v>
      </c>
      <c r="M3612" s="23"/>
      <c r="N3612" s="23">
        <v>4</v>
      </c>
      <c r="O3612" s="23">
        <v>1</v>
      </c>
      <c r="P3612" s="23"/>
      <c r="Q3612" s="23"/>
      <c r="R3612" s="23">
        <v>1</v>
      </c>
      <c r="S3612" s="23"/>
      <c r="T3612" s="23"/>
      <c r="U3612" s="23">
        <v>9</v>
      </c>
      <c r="V3612" s="23"/>
      <c r="W3612" s="23"/>
      <c r="X3612" s="23"/>
      <c r="Y3612" s="23">
        <v>30</v>
      </c>
      <c r="Z3612" s="23"/>
      <c r="AA3612" s="23"/>
      <c r="AB3612" s="23"/>
      <c r="AC3612" s="23"/>
      <c r="AD3612" s="23"/>
      <c r="AE3612" s="23"/>
      <c r="AF3612" s="23">
        <v>20</v>
      </c>
      <c r="AG3612" s="23"/>
      <c r="AH3612" s="23"/>
      <c r="AI3612" s="23"/>
      <c r="AJ3612" s="23"/>
      <c r="AK3612" s="23">
        <v>16</v>
      </c>
      <c r="AL3612" s="23">
        <v>9</v>
      </c>
      <c r="AM3612" s="23"/>
      <c r="AN3612" s="23"/>
      <c r="AO3612" s="23">
        <v>3</v>
      </c>
      <c r="AP3612" s="23">
        <v>8</v>
      </c>
      <c r="AQ3612" s="23">
        <v>20</v>
      </c>
      <c r="AR3612" s="23">
        <v>14</v>
      </c>
      <c r="AS3612" s="23"/>
      <c r="AT3612" s="23"/>
      <c r="AU3612" s="14" t="str">
        <f>HYPERLINK("http://www.openstreetmap.org/?mlat=30.87&amp;mlon=46.57&amp;zoom=12#map=12/30.87/46.57","Maplink1")</f>
        <v>Maplink1</v>
      </c>
      <c r="AV3612" s="14" t="str">
        <f>HYPERLINK("https://www.google.iq/maps/search/+30.87,46.57/@30.87,46.57,14z?hl=en","Maplink2")</f>
        <v>Maplink2</v>
      </c>
      <c r="AW3612" s="14" t="str">
        <f>HYPERLINK("http://www.bing.com/maps/?lvl=14&amp;sty=h&amp;cp=30.87~46.57&amp;sp=point.30.87_46.57_Karmat Bani Said","Maplink3")</f>
        <v>Maplink3</v>
      </c>
    </row>
    <row r="3613" spans="1:49" x14ac:dyDescent="0.25">
      <c r="A3613" s="21">
        <v>25088</v>
      </c>
      <c r="B3613" s="22" t="s">
        <v>26</v>
      </c>
      <c r="C3613" s="22" t="s">
        <v>7025</v>
      </c>
      <c r="D3613" s="22" t="s">
        <v>7026</v>
      </c>
      <c r="E3613" s="22" t="s">
        <v>7027</v>
      </c>
      <c r="F3613" s="22">
        <v>32.935011869599997</v>
      </c>
      <c r="G3613" s="22">
        <v>44.958860250400001</v>
      </c>
      <c r="H3613" s="21" t="s">
        <v>7028</v>
      </c>
      <c r="I3613" s="21" t="s">
        <v>7029</v>
      </c>
      <c r="J3613" s="21"/>
      <c r="K3613" s="24">
        <v>4</v>
      </c>
      <c r="L3613" s="24">
        <v>24</v>
      </c>
      <c r="M3613" s="23"/>
      <c r="N3613" s="23"/>
      <c r="O3613" s="23"/>
      <c r="P3613" s="23"/>
      <c r="Q3613" s="23"/>
      <c r="R3613" s="23">
        <v>2</v>
      </c>
      <c r="S3613" s="23"/>
      <c r="T3613" s="23"/>
      <c r="U3613" s="23"/>
      <c r="V3613" s="23"/>
      <c r="W3613" s="23"/>
      <c r="X3613" s="23"/>
      <c r="Y3613" s="23">
        <v>2</v>
      </c>
      <c r="Z3613" s="23"/>
      <c r="AA3613" s="23"/>
      <c r="AB3613" s="23"/>
      <c r="AC3613" s="23"/>
      <c r="AD3613" s="23"/>
      <c r="AE3613" s="23"/>
      <c r="AF3613" s="23">
        <v>4</v>
      </c>
      <c r="AG3613" s="23"/>
      <c r="AH3613" s="23"/>
      <c r="AI3613" s="23"/>
      <c r="AJ3613" s="23"/>
      <c r="AK3613" s="23"/>
      <c r="AL3613" s="23"/>
      <c r="AM3613" s="23"/>
      <c r="AN3613" s="23"/>
      <c r="AO3613" s="23">
        <v>2</v>
      </c>
      <c r="AP3613" s="23">
        <v>2</v>
      </c>
      <c r="AQ3613" s="23"/>
      <c r="AR3613" s="23"/>
      <c r="AS3613" s="23"/>
      <c r="AT3613" s="23"/>
      <c r="AU3613" s="14" t="str">
        <f>HYPERLINK("http://www.openstreetmap.org/?mlat=32.9078&amp;mlon=45.081&amp;zoom=12#map=12/32.9078/45.081","Maplink1")</f>
        <v>Maplink1</v>
      </c>
      <c r="AV3613" s="14" t="str">
        <f>HYPERLINK("https://www.google.iq/maps/search/+32.9078,45.081/@32.9078,45.081,14z?hl=en","Maplink2")</f>
        <v>Maplink2</v>
      </c>
      <c r="AW3613" s="14" t="str">
        <f>HYPERLINK("http://www.bing.com/maps/?lvl=14&amp;sty=h&amp;cp=32.9078~45.081&amp;sp=point.32.9078_45.081_Abhath Nakhel village","Maplink3")</f>
        <v>Maplink3</v>
      </c>
    </row>
    <row r="3614" spans="1:49" x14ac:dyDescent="0.25">
      <c r="A3614" s="21">
        <v>24850</v>
      </c>
      <c r="B3614" s="22" t="s">
        <v>26</v>
      </c>
      <c r="C3614" s="22" t="s">
        <v>7025</v>
      </c>
      <c r="D3614" s="22" t="s">
        <v>7032</v>
      </c>
      <c r="E3614" s="22" t="s">
        <v>7033</v>
      </c>
      <c r="F3614" s="22">
        <v>32.985356233700003</v>
      </c>
      <c r="G3614" s="22">
        <v>44.849349951999997</v>
      </c>
      <c r="H3614" s="21" t="s">
        <v>7028</v>
      </c>
      <c r="I3614" s="21" t="s">
        <v>7029</v>
      </c>
      <c r="J3614" s="21"/>
      <c r="K3614" s="24">
        <v>4</v>
      </c>
      <c r="L3614" s="24">
        <v>24</v>
      </c>
      <c r="M3614" s="23">
        <v>3</v>
      </c>
      <c r="N3614" s="23"/>
      <c r="O3614" s="23">
        <v>1</v>
      </c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23">
        <v>1</v>
      </c>
      <c r="AG3614" s="23"/>
      <c r="AH3614" s="23"/>
      <c r="AI3614" s="23"/>
      <c r="AJ3614" s="23"/>
      <c r="AK3614" s="23">
        <v>3</v>
      </c>
      <c r="AL3614" s="23"/>
      <c r="AM3614" s="23"/>
      <c r="AN3614" s="23"/>
      <c r="AO3614" s="23"/>
      <c r="AP3614" s="23"/>
      <c r="AQ3614" s="23">
        <v>1</v>
      </c>
      <c r="AR3614" s="23"/>
      <c r="AS3614" s="23">
        <v>3</v>
      </c>
      <c r="AT3614" s="23"/>
      <c r="AU3614" s="14" t="str">
        <f>HYPERLINK("http://www.openstreetmap.org/?mlat=33.0124&amp;mlon=44.7852&amp;zoom=12#map=12/33.0124/44.7852","Maplink1")</f>
        <v>Maplink1</v>
      </c>
      <c r="AV3614" s="14" t="str">
        <f>HYPERLINK("https://www.google.iq/maps/search/+33.0124,44.7852/@33.0124,44.7852,14z?hl=en","Maplink2")</f>
        <v>Maplink2</v>
      </c>
      <c r="AW3614" s="14" t="str">
        <f>HYPERLINK("http://www.bing.com/maps/?lvl=14&amp;sty=h&amp;cp=33.0124~44.7852&amp;sp=point.33.0124_44.7852_Al Dawar Al Gharbi","Maplink3")</f>
        <v>Maplink3</v>
      </c>
    </row>
    <row r="3615" spans="1:49" x14ac:dyDescent="0.25">
      <c r="A3615" s="21">
        <v>22690</v>
      </c>
      <c r="B3615" s="22" t="s">
        <v>26</v>
      </c>
      <c r="C3615" s="22" t="s">
        <v>7025</v>
      </c>
      <c r="D3615" s="22" t="s">
        <v>7034</v>
      </c>
      <c r="E3615" s="22" t="s">
        <v>2184</v>
      </c>
      <c r="F3615" s="22">
        <v>32.930405761899998</v>
      </c>
      <c r="G3615" s="22">
        <v>44.970126334200003</v>
      </c>
      <c r="H3615" s="21" t="s">
        <v>7028</v>
      </c>
      <c r="I3615" s="21" t="s">
        <v>7029</v>
      </c>
      <c r="J3615" s="21" t="s">
        <v>7035</v>
      </c>
      <c r="K3615" s="24">
        <v>14</v>
      </c>
      <c r="L3615" s="24">
        <v>84</v>
      </c>
      <c r="M3615" s="23">
        <v>1</v>
      </c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>
        <v>13</v>
      </c>
      <c r="Z3615" s="23"/>
      <c r="AA3615" s="23"/>
      <c r="AB3615" s="23"/>
      <c r="AC3615" s="23"/>
      <c r="AD3615" s="23"/>
      <c r="AE3615" s="23"/>
      <c r="AF3615" s="23"/>
      <c r="AG3615" s="23"/>
      <c r="AH3615" s="23"/>
      <c r="AI3615" s="23"/>
      <c r="AJ3615" s="23"/>
      <c r="AK3615" s="23">
        <v>14</v>
      </c>
      <c r="AL3615" s="23"/>
      <c r="AM3615" s="23"/>
      <c r="AN3615" s="23"/>
      <c r="AO3615" s="23"/>
      <c r="AP3615" s="23">
        <v>13</v>
      </c>
      <c r="AQ3615" s="23"/>
      <c r="AR3615" s="23"/>
      <c r="AS3615" s="23">
        <v>1</v>
      </c>
      <c r="AT3615" s="23"/>
      <c r="AU3615" s="14" t="str">
        <f>HYPERLINK("http://www.openstreetmap.org/?mlat=32.8931&amp;mlon=45.0692&amp;zoom=12#map=12/32.8931/45.0692","Maplink1")</f>
        <v>Maplink1</v>
      </c>
      <c r="AV3615" s="14" t="str">
        <f>HYPERLINK("https://www.google.iq/maps/search/+32.8931,45.0692/@32.8931,45.0692,14z?hl=en","Maplink2")</f>
        <v>Maplink2</v>
      </c>
      <c r="AW3615" s="14" t="str">
        <f>HYPERLINK("http://www.bing.com/maps/?lvl=14&amp;sty=h&amp;cp=32.8931~45.0692&amp;sp=point.32.8931_45.0692_Al Murtadha village","Maplink3")</f>
        <v>Maplink3</v>
      </c>
    </row>
    <row r="3616" spans="1:49" x14ac:dyDescent="0.25">
      <c r="A3616" s="21">
        <v>24844</v>
      </c>
      <c r="B3616" s="22" t="s">
        <v>26</v>
      </c>
      <c r="C3616" s="22" t="s">
        <v>7025</v>
      </c>
      <c r="D3616" s="22" t="s">
        <v>7037</v>
      </c>
      <c r="E3616" s="22" t="s">
        <v>7038</v>
      </c>
      <c r="F3616" s="22">
        <v>32.917417012599998</v>
      </c>
      <c r="G3616" s="22">
        <v>45.032265682099997</v>
      </c>
      <c r="H3616" s="21" t="s">
        <v>7028</v>
      </c>
      <c r="I3616" s="21" t="s">
        <v>7029</v>
      </c>
      <c r="J3616" s="21"/>
      <c r="K3616" s="24">
        <v>25</v>
      </c>
      <c r="L3616" s="24">
        <v>150</v>
      </c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>
        <v>25</v>
      </c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>
        <v>25</v>
      </c>
      <c r="AL3616" s="23"/>
      <c r="AM3616" s="23"/>
      <c r="AN3616" s="23"/>
      <c r="AO3616" s="23"/>
      <c r="AP3616" s="23">
        <v>25</v>
      </c>
      <c r="AQ3616" s="23"/>
      <c r="AR3616" s="23"/>
      <c r="AS3616" s="23"/>
      <c r="AT3616" s="23"/>
      <c r="AU3616" s="14" t="str">
        <f>HYPERLINK("http://www.openstreetmap.org/?mlat=32.9076&amp;mlon=45.0512&amp;zoom=12#map=12/32.9076/45.0512","Maplink1")</f>
        <v>Maplink1</v>
      </c>
      <c r="AV3616" s="14" t="str">
        <f>HYPERLINK("https://www.google.iq/maps/search/+32.9076,45.0512/@32.9076,45.0512,14z?hl=en","Maplink2")</f>
        <v>Maplink2</v>
      </c>
      <c r="AW3616" s="14" t="str">
        <f>HYPERLINK("http://www.bing.com/maps/?lvl=14&amp;sty=h&amp;cp=32.9076~45.0512&amp;sp=point.32.9076_45.0512_Al Sadoniyah","Maplink3")</f>
        <v>Maplink3</v>
      </c>
    </row>
    <row r="3617" spans="1:49" x14ac:dyDescent="0.25">
      <c r="A3617" s="21">
        <v>22361</v>
      </c>
      <c r="B3617" s="22" t="s">
        <v>26</v>
      </c>
      <c r="C3617" s="22" t="s">
        <v>7025</v>
      </c>
      <c r="D3617" s="22" t="s">
        <v>9184</v>
      </c>
      <c r="E3617" s="22" t="s">
        <v>7074</v>
      </c>
      <c r="F3617" s="22">
        <v>32.9107552336</v>
      </c>
      <c r="G3617" s="22">
        <v>45.047405660000003</v>
      </c>
      <c r="H3617" s="21" t="s">
        <v>7028</v>
      </c>
      <c r="I3617" s="21" t="s">
        <v>7029</v>
      </c>
      <c r="J3617" s="21" t="s">
        <v>7075</v>
      </c>
      <c r="K3617" s="24">
        <v>8</v>
      </c>
      <c r="L3617" s="24">
        <v>48</v>
      </c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>
        <v>8</v>
      </c>
      <c r="Z3617" s="23"/>
      <c r="AA3617" s="23"/>
      <c r="AB3617" s="23"/>
      <c r="AC3617" s="23"/>
      <c r="AD3617" s="23"/>
      <c r="AE3617" s="23"/>
      <c r="AF3617" s="23">
        <v>2</v>
      </c>
      <c r="AG3617" s="23"/>
      <c r="AH3617" s="23"/>
      <c r="AI3617" s="23"/>
      <c r="AJ3617" s="23"/>
      <c r="AK3617" s="23">
        <v>6</v>
      </c>
      <c r="AL3617" s="23"/>
      <c r="AM3617" s="23"/>
      <c r="AN3617" s="23"/>
      <c r="AO3617" s="23"/>
      <c r="AP3617" s="23">
        <v>8</v>
      </c>
      <c r="AQ3617" s="23"/>
      <c r="AR3617" s="23"/>
      <c r="AS3617" s="23"/>
      <c r="AT3617" s="23"/>
      <c r="AU3617" s="14" t="str">
        <f>HYPERLINK("http://www.openstreetmap.org/?mlat=32.9149&amp;mlon=45.0504&amp;zoom=12#map=12/32.9149/45.0504","Maplink1")</f>
        <v>Maplink1</v>
      </c>
      <c r="AV3617" s="14" t="str">
        <f>HYPERLINK("https://www.google.iq/maps/search/+32.9149,45.0504/@32.9149,45.0504,14z?hl=en","Maplink2")</f>
        <v>Maplink2</v>
      </c>
      <c r="AW3617" s="14" t="str">
        <f>HYPERLINK("http://www.bing.com/maps/?lvl=14&amp;sty=h&amp;cp=32.9149~45.0504&amp;sp=point.32.9149_45.0504_Hay Al Shabab 1","Maplink3")</f>
        <v>Maplink3</v>
      </c>
    </row>
    <row r="3618" spans="1:49" x14ac:dyDescent="0.25">
      <c r="A3618" s="21">
        <v>24858</v>
      </c>
      <c r="B3618" s="22" t="s">
        <v>26</v>
      </c>
      <c r="C3618" s="22" t="s">
        <v>7025</v>
      </c>
      <c r="D3618" s="22" t="s">
        <v>7039</v>
      </c>
      <c r="E3618" s="22" t="s">
        <v>7040</v>
      </c>
      <c r="F3618" s="22">
        <v>32.914289699400001</v>
      </c>
      <c r="G3618" s="22">
        <v>45.053913897599998</v>
      </c>
      <c r="H3618" s="21" t="s">
        <v>7028</v>
      </c>
      <c r="I3618" s="21" t="s">
        <v>7029</v>
      </c>
      <c r="J3618" s="21"/>
      <c r="K3618" s="24">
        <v>19</v>
      </c>
      <c r="L3618" s="24">
        <v>114</v>
      </c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>
        <v>19</v>
      </c>
      <c r="Z3618" s="23"/>
      <c r="AA3618" s="23"/>
      <c r="AB3618" s="23"/>
      <c r="AC3618" s="23"/>
      <c r="AD3618" s="23"/>
      <c r="AE3618" s="23"/>
      <c r="AF3618" s="23">
        <v>19</v>
      </c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>
        <v>19</v>
      </c>
      <c r="AQ3618" s="23"/>
      <c r="AR3618" s="23"/>
      <c r="AS3618" s="23"/>
      <c r="AT3618" s="23"/>
      <c r="AU3618" s="14" t="str">
        <f>HYPERLINK("http://www.openstreetmap.org/?mlat=32.9146&amp;mlon=45.0627&amp;zoom=12#map=12/32.9146/45.0627","Maplink1")</f>
        <v>Maplink1</v>
      </c>
      <c r="AV3618" s="14" t="str">
        <f>HYPERLINK("https://www.google.iq/maps/search/+32.9146,45.0627/@32.9146,45.0627,14z?hl=en","Maplink2")</f>
        <v>Maplink2</v>
      </c>
      <c r="AW3618" s="14" t="str">
        <f>HYPERLINK("http://www.bing.com/maps/?lvl=14&amp;sty=h&amp;cp=32.9146~45.0627&amp;sp=point.32.9146_45.0627_Al-Azezia 150 area","Maplink3")</f>
        <v>Maplink3</v>
      </c>
    </row>
    <row r="3619" spans="1:49" x14ac:dyDescent="0.25">
      <c r="A3619" s="21">
        <v>19363</v>
      </c>
      <c r="B3619" s="22" t="s">
        <v>26</v>
      </c>
      <c r="C3619" s="22" t="s">
        <v>7025</v>
      </c>
      <c r="D3619" s="22" t="s">
        <v>7043</v>
      </c>
      <c r="E3619" s="22" t="s">
        <v>7044</v>
      </c>
      <c r="F3619" s="22">
        <v>32.889688658899999</v>
      </c>
      <c r="G3619" s="22">
        <v>45.085827136900001</v>
      </c>
      <c r="H3619" s="21" t="s">
        <v>7028</v>
      </c>
      <c r="I3619" s="21" t="s">
        <v>7029</v>
      </c>
      <c r="J3619" s="21" t="s">
        <v>7045</v>
      </c>
      <c r="K3619" s="24">
        <v>8</v>
      </c>
      <c r="L3619" s="24">
        <v>48</v>
      </c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>
        <v>8</v>
      </c>
      <c r="Z3619" s="23"/>
      <c r="AA3619" s="23"/>
      <c r="AB3619" s="23"/>
      <c r="AC3619" s="23"/>
      <c r="AD3619" s="23"/>
      <c r="AE3619" s="23"/>
      <c r="AF3619" s="23">
        <v>2</v>
      </c>
      <c r="AG3619" s="23"/>
      <c r="AH3619" s="23"/>
      <c r="AI3619" s="23"/>
      <c r="AJ3619" s="23"/>
      <c r="AK3619" s="23">
        <v>6</v>
      </c>
      <c r="AL3619" s="23"/>
      <c r="AM3619" s="23"/>
      <c r="AN3619" s="23"/>
      <c r="AO3619" s="23"/>
      <c r="AP3619" s="23">
        <v>5</v>
      </c>
      <c r="AQ3619" s="23">
        <v>3</v>
      </c>
      <c r="AR3619" s="23"/>
      <c r="AS3619" s="23"/>
      <c r="AT3619" s="23"/>
      <c r="AU3619" s="14" t="str">
        <f>HYPERLINK("http://www.openstreetmap.org/?mlat=32.9191&amp;mlon=45.0329&amp;zoom=12#map=12/32.9191/45.0329","Maplink1")</f>
        <v>Maplink1</v>
      </c>
      <c r="AV3619" s="14" t="str">
        <f>HYPERLINK("https://www.google.iq/maps/search/+32.9191,45.0329/@32.9191,45.0329,14z?hl=en","Maplink2")</f>
        <v>Maplink2</v>
      </c>
      <c r="AW3619" s="14" t="str">
        <f>HYPERLINK("http://www.bing.com/maps/?lvl=14&amp;sty=h&amp;cp=32.9191~45.0329&amp;sp=point.32.9191_45.0329_Al-Dair al-Aala","Maplink3")</f>
        <v>Maplink3</v>
      </c>
    </row>
    <row r="3620" spans="1:49" x14ac:dyDescent="0.25">
      <c r="A3620" s="21">
        <v>21043</v>
      </c>
      <c r="B3620" s="22" t="s">
        <v>26</v>
      </c>
      <c r="C3620" s="22" t="s">
        <v>7025</v>
      </c>
      <c r="D3620" s="22" t="s">
        <v>9185</v>
      </c>
      <c r="E3620" s="22" t="s">
        <v>7041</v>
      </c>
      <c r="F3620" s="22">
        <v>32.745142326600003</v>
      </c>
      <c r="G3620" s="22">
        <v>45.301654326399998</v>
      </c>
      <c r="H3620" s="21" t="s">
        <v>7028</v>
      </c>
      <c r="I3620" s="21" t="s">
        <v>7029</v>
      </c>
      <c r="J3620" s="21" t="s">
        <v>7042</v>
      </c>
      <c r="K3620" s="24">
        <v>50</v>
      </c>
      <c r="L3620" s="24">
        <v>300</v>
      </c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>
        <v>50</v>
      </c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>
        <v>7</v>
      </c>
      <c r="AK3620" s="23">
        <v>40</v>
      </c>
      <c r="AL3620" s="23"/>
      <c r="AM3620" s="23">
        <v>3</v>
      </c>
      <c r="AN3620" s="23"/>
      <c r="AO3620" s="23"/>
      <c r="AP3620" s="23"/>
      <c r="AQ3620" s="23">
        <v>50</v>
      </c>
      <c r="AR3620" s="23"/>
      <c r="AS3620" s="23"/>
      <c r="AT3620" s="23"/>
      <c r="AU3620" s="14" t="str">
        <f>HYPERLINK("http://www.openstreetmap.org/?mlat=32.7706&amp;mlon=45.274&amp;zoom=12#map=12/32.7706/45.274","Maplink1")</f>
        <v>Maplink1</v>
      </c>
      <c r="AV3620" s="14" t="str">
        <f>HYPERLINK("https://www.google.iq/maps/search/+32.7706,45.274/@32.7706,45.274,14z?hl=en","Maplink2")</f>
        <v>Maplink2</v>
      </c>
      <c r="AW3620" s="14" t="str">
        <f>HYPERLINK("http://www.bing.com/maps/?lvl=14&amp;sty=h&amp;cp=32.7706~45.274&amp;sp=point.32.7706_45.274_Al-Dabbuni","Maplink3")</f>
        <v>Maplink3</v>
      </c>
    </row>
    <row r="3621" spans="1:49" x14ac:dyDescent="0.25">
      <c r="A3621" s="21">
        <v>25094</v>
      </c>
      <c r="B3621" s="22" t="s">
        <v>26</v>
      </c>
      <c r="C3621" s="22" t="s">
        <v>7025</v>
      </c>
      <c r="D3621" s="22" t="s">
        <v>9186</v>
      </c>
      <c r="E3621" s="22" t="s">
        <v>7046</v>
      </c>
      <c r="F3621" s="22">
        <v>32.895333070500001</v>
      </c>
      <c r="G3621" s="22">
        <v>45.083384374700003</v>
      </c>
      <c r="H3621" s="21" t="s">
        <v>7028</v>
      </c>
      <c r="I3621" s="21" t="s">
        <v>7029</v>
      </c>
      <c r="J3621" s="21"/>
      <c r="K3621" s="24">
        <v>33</v>
      </c>
      <c r="L3621" s="24">
        <v>198</v>
      </c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>
        <v>33</v>
      </c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>
        <v>33</v>
      </c>
      <c r="AL3621" s="23"/>
      <c r="AM3621" s="23"/>
      <c r="AN3621" s="23"/>
      <c r="AO3621" s="23"/>
      <c r="AP3621" s="23">
        <v>33</v>
      </c>
      <c r="AQ3621" s="23"/>
      <c r="AR3621" s="23"/>
      <c r="AS3621" s="23"/>
      <c r="AT3621" s="23"/>
      <c r="AU3621" s="14" t="str">
        <f>HYPERLINK("http://www.openstreetmap.org/?mlat=32.8735&amp;mlon=45.0385&amp;zoom=12#map=12/32.8735/45.0385","Maplink1")</f>
        <v>Maplink1</v>
      </c>
      <c r="AV3621" s="14" t="str">
        <f>HYPERLINK("https://www.google.iq/maps/search/+32.8735,45.0385/@32.8735,45.0385,14z?hl=en","Maplink2")</f>
        <v>Maplink2</v>
      </c>
      <c r="AW3621" s="14" t="str">
        <f>HYPERLINK("http://www.bing.com/maps/?lvl=14&amp;sty=h&amp;cp=32.8735~45.0385&amp;sp=point.32.8735_45.0385_Al-Dir Al Aela 2","Maplink3")</f>
        <v>Maplink3</v>
      </c>
    </row>
    <row r="3622" spans="1:49" x14ac:dyDescent="0.25">
      <c r="A3622" s="21">
        <v>24852</v>
      </c>
      <c r="B3622" s="22" t="s">
        <v>26</v>
      </c>
      <c r="C3622" s="22" t="s">
        <v>7025</v>
      </c>
      <c r="D3622" s="22" t="s">
        <v>7047</v>
      </c>
      <c r="E3622" s="22" t="s">
        <v>7048</v>
      </c>
      <c r="F3622" s="22">
        <v>32.934064958500002</v>
      </c>
      <c r="G3622" s="22">
        <v>44.971753382599999</v>
      </c>
      <c r="H3622" s="21" t="s">
        <v>7028</v>
      </c>
      <c r="I3622" s="21" t="s">
        <v>7029</v>
      </c>
      <c r="J3622" s="21"/>
      <c r="K3622" s="24">
        <v>15</v>
      </c>
      <c r="L3622" s="24">
        <v>90</v>
      </c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>
        <v>15</v>
      </c>
      <c r="Z3622" s="23"/>
      <c r="AA3622" s="23"/>
      <c r="AB3622" s="23"/>
      <c r="AC3622" s="23"/>
      <c r="AD3622" s="23"/>
      <c r="AE3622" s="23"/>
      <c r="AF3622" s="23">
        <v>15</v>
      </c>
      <c r="AG3622" s="23"/>
      <c r="AH3622" s="23"/>
      <c r="AI3622" s="23"/>
      <c r="AJ3622" s="23"/>
      <c r="AK3622" s="23"/>
      <c r="AL3622" s="23"/>
      <c r="AM3622" s="23"/>
      <c r="AN3622" s="23"/>
      <c r="AO3622" s="23"/>
      <c r="AP3622" s="23">
        <v>15</v>
      </c>
      <c r="AQ3622" s="23"/>
      <c r="AR3622" s="23"/>
      <c r="AS3622" s="23"/>
      <c r="AT3622" s="23"/>
      <c r="AU3622" s="14" t="str">
        <f>HYPERLINK("http://www.openstreetmap.org/?mlat=32.9892&amp;mlon=45.1943&amp;zoom=12#map=12/32.9892/45.1943","Maplink1")</f>
        <v>Maplink1</v>
      </c>
      <c r="AV3622" s="14" t="str">
        <f>HYPERLINK("https://www.google.iq/maps/search/+32.9892,45.1943/@32.9892,45.1943,14z?hl=en","Maplink2")</f>
        <v>Maplink2</v>
      </c>
      <c r="AW3622" s="14" t="str">
        <f>HYPERLINK("http://www.bing.com/maps/?lvl=14&amp;sty=h&amp;cp=32.9892~45.1943&amp;sp=point.32.9892_45.1943_Al-Hardan Village","Maplink3")</f>
        <v>Maplink3</v>
      </c>
    </row>
    <row r="3623" spans="1:49" x14ac:dyDescent="0.25">
      <c r="A3623" s="21">
        <v>24860</v>
      </c>
      <c r="B3623" s="22" t="s">
        <v>26</v>
      </c>
      <c r="C3623" s="22" t="s">
        <v>7025</v>
      </c>
      <c r="D3623" s="22" t="s">
        <v>9187</v>
      </c>
      <c r="E3623" s="22" t="s">
        <v>1145</v>
      </c>
      <c r="F3623" s="22">
        <v>32.927194351300002</v>
      </c>
      <c r="G3623" s="22">
        <v>44.987003852900003</v>
      </c>
      <c r="H3623" s="21" t="s">
        <v>7028</v>
      </c>
      <c r="I3623" s="21" t="s">
        <v>7029</v>
      </c>
      <c r="J3623" s="21"/>
      <c r="K3623" s="24">
        <v>7</v>
      </c>
      <c r="L3623" s="24">
        <v>42</v>
      </c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>
        <v>7</v>
      </c>
      <c r="Z3623" s="23"/>
      <c r="AA3623" s="23"/>
      <c r="AB3623" s="23"/>
      <c r="AC3623" s="23"/>
      <c r="AD3623" s="23"/>
      <c r="AE3623" s="23"/>
      <c r="AF3623" s="23"/>
      <c r="AG3623" s="23"/>
      <c r="AH3623" s="23">
        <v>7</v>
      </c>
      <c r="AI3623" s="23"/>
      <c r="AJ3623" s="23"/>
      <c r="AK3623" s="23"/>
      <c r="AL3623" s="23"/>
      <c r="AM3623" s="23"/>
      <c r="AN3623" s="23"/>
      <c r="AO3623" s="23"/>
      <c r="AP3623" s="23">
        <v>7</v>
      </c>
      <c r="AQ3623" s="23"/>
      <c r="AR3623" s="23"/>
      <c r="AS3623" s="23"/>
      <c r="AT3623" s="23"/>
      <c r="AU3623" s="14" t="str">
        <f>HYPERLINK("http://www.openstreetmap.org/?mlat=32.9055&amp;mlon=45.0738&amp;zoom=12#map=12/32.9055/45.0738","Maplink1")</f>
        <v>Maplink1</v>
      </c>
      <c r="AV3623" s="14" t="str">
        <f>HYPERLINK("https://www.google.iq/maps/search/+32.9055,45.0738/@32.9055,45.0738,14z?hl=en","Maplink2")</f>
        <v>Maplink2</v>
      </c>
      <c r="AW3623" s="14" t="str">
        <f>HYPERLINK("http://www.bing.com/maps/?lvl=14&amp;sty=h&amp;cp=32.9055~45.0738&amp;sp=point.32.9055_45.0738_Al-Jadidada","Maplink3")</f>
        <v>Maplink3</v>
      </c>
    </row>
    <row r="3624" spans="1:49" x14ac:dyDescent="0.25">
      <c r="A3624" s="21">
        <v>25090</v>
      </c>
      <c r="B3624" s="22" t="s">
        <v>26</v>
      </c>
      <c r="C3624" s="22" t="s">
        <v>7025</v>
      </c>
      <c r="D3624" s="22" t="s">
        <v>6191</v>
      </c>
      <c r="E3624" s="22" t="s">
        <v>6192</v>
      </c>
      <c r="F3624" s="22">
        <v>32.9239471729</v>
      </c>
      <c r="G3624" s="22">
        <v>44.957610772099997</v>
      </c>
      <c r="H3624" s="21" t="s">
        <v>7028</v>
      </c>
      <c r="I3624" s="21" t="s">
        <v>7029</v>
      </c>
      <c r="J3624" s="21"/>
      <c r="K3624" s="24">
        <v>11</v>
      </c>
      <c r="L3624" s="24">
        <v>66</v>
      </c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>
        <v>11</v>
      </c>
      <c r="Z3624" s="23"/>
      <c r="AA3624" s="23"/>
      <c r="AB3624" s="23"/>
      <c r="AC3624" s="23"/>
      <c r="AD3624" s="23"/>
      <c r="AE3624" s="23"/>
      <c r="AF3624" s="23">
        <v>11</v>
      </c>
      <c r="AG3624" s="23"/>
      <c r="AH3624" s="23"/>
      <c r="AI3624" s="23"/>
      <c r="AJ3624" s="23"/>
      <c r="AK3624" s="23"/>
      <c r="AL3624" s="23"/>
      <c r="AM3624" s="23"/>
      <c r="AN3624" s="23"/>
      <c r="AO3624" s="23"/>
      <c r="AP3624" s="23">
        <v>11</v>
      </c>
      <c r="AQ3624" s="23"/>
      <c r="AR3624" s="23"/>
      <c r="AS3624" s="23"/>
      <c r="AT3624" s="23"/>
      <c r="AU3624" s="14" t="str">
        <f>HYPERLINK("http://www.openstreetmap.org/?mlat=32.9245&amp;mlon=44.9905&amp;zoom=12#map=12/32.9245/44.9905","Maplink1")</f>
        <v>Maplink1</v>
      </c>
      <c r="AV3624" s="14" t="str">
        <f>HYPERLINK("https://www.google.iq/maps/search/+32.9245,44.9905/@32.9245,44.9905,14z?hl=en","Maplink2")</f>
        <v>Maplink2</v>
      </c>
      <c r="AW3624" s="14" t="str">
        <f>HYPERLINK("http://www.bing.com/maps/?lvl=14&amp;sty=h&amp;cp=32.9245~44.9905&amp;sp=point.32.9245_44.9905_Al-Karama village","Maplink3")</f>
        <v>Maplink3</v>
      </c>
    </row>
    <row r="3625" spans="1:49" x14ac:dyDescent="0.25">
      <c r="A3625" s="21">
        <v>24856</v>
      </c>
      <c r="B3625" s="22" t="s">
        <v>26</v>
      </c>
      <c r="C3625" s="22" t="s">
        <v>7025</v>
      </c>
      <c r="D3625" s="22" t="s">
        <v>9188</v>
      </c>
      <c r="E3625" s="22" t="s">
        <v>7049</v>
      </c>
      <c r="F3625" s="22">
        <v>32.9201113787</v>
      </c>
      <c r="G3625" s="22">
        <v>45.073911061499999</v>
      </c>
      <c r="H3625" s="21" t="s">
        <v>7028</v>
      </c>
      <c r="I3625" s="21" t="s">
        <v>7029</v>
      </c>
      <c r="J3625" s="21"/>
      <c r="K3625" s="24">
        <v>70</v>
      </c>
      <c r="L3625" s="24">
        <v>420</v>
      </c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>
        <v>70</v>
      </c>
      <c r="Z3625" s="23"/>
      <c r="AA3625" s="23"/>
      <c r="AB3625" s="23"/>
      <c r="AC3625" s="23"/>
      <c r="AD3625" s="23"/>
      <c r="AE3625" s="23"/>
      <c r="AF3625" s="23">
        <v>22</v>
      </c>
      <c r="AG3625" s="23"/>
      <c r="AH3625" s="23">
        <v>43</v>
      </c>
      <c r="AI3625" s="23"/>
      <c r="AJ3625" s="23"/>
      <c r="AK3625" s="23">
        <v>5</v>
      </c>
      <c r="AL3625" s="23"/>
      <c r="AM3625" s="23"/>
      <c r="AN3625" s="23"/>
      <c r="AO3625" s="23"/>
      <c r="AP3625" s="23">
        <v>70</v>
      </c>
      <c r="AQ3625" s="23"/>
      <c r="AR3625" s="23"/>
      <c r="AS3625" s="23"/>
      <c r="AT3625" s="23"/>
      <c r="AU3625" s="14" t="str">
        <f>HYPERLINK("http://www.openstreetmap.org/?mlat=32.9057&amp;mlon=45.072&amp;zoom=12#map=12/32.9057/45.072","Maplink1")</f>
        <v>Maplink1</v>
      </c>
      <c r="AV3625" s="14" t="str">
        <f>HYPERLINK("https://www.google.iq/maps/search/+32.9057,45.072/@32.9057,45.072,14z?hl=en","Maplink2")</f>
        <v>Maplink2</v>
      </c>
      <c r="AW3625" s="14" t="str">
        <f>HYPERLINK("http://www.bing.com/maps/?lvl=14&amp;sty=h&amp;cp=32.9057~45.072&amp;sp=point.32.9057_45.072_Al-Kamas 2","Maplink3")</f>
        <v>Maplink3</v>
      </c>
    </row>
    <row r="3626" spans="1:49" x14ac:dyDescent="0.25">
      <c r="A3626" s="21">
        <v>24857</v>
      </c>
      <c r="B3626" s="22" t="s">
        <v>26</v>
      </c>
      <c r="C3626" s="22" t="s">
        <v>7025</v>
      </c>
      <c r="D3626" s="22" t="s">
        <v>9189</v>
      </c>
      <c r="E3626" s="22" t="s">
        <v>7050</v>
      </c>
      <c r="F3626" s="22">
        <v>32.924250577199999</v>
      </c>
      <c r="G3626" s="22">
        <v>45.072760053499998</v>
      </c>
      <c r="H3626" s="21" t="s">
        <v>7028</v>
      </c>
      <c r="I3626" s="21" t="s">
        <v>7029</v>
      </c>
      <c r="J3626" s="21"/>
      <c r="K3626" s="24">
        <v>8</v>
      </c>
      <c r="L3626" s="24">
        <v>48</v>
      </c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>
        <v>8</v>
      </c>
      <c r="Z3626" s="23"/>
      <c r="AA3626" s="23"/>
      <c r="AB3626" s="23"/>
      <c r="AC3626" s="23"/>
      <c r="AD3626" s="23"/>
      <c r="AE3626" s="23"/>
      <c r="AF3626" s="23"/>
      <c r="AG3626" s="23"/>
      <c r="AH3626" s="23"/>
      <c r="AI3626" s="23"/>
      <c r="AJ3626" s="23"/>
      <c r="AK3626" s="23">
        <v>8</v>
      </c>
      <c r="AL3626" s="23"/>
      <c r="AM3626" s="23"/>
      <c r="AN3626" s="23"/>
      <c r="AO3626" s="23"/>
      <c r="AP3626" s="23">
        <v>8</v>
      </c>
      <c r="AQ3626" s="23"/>
      <c r="AR3626" s="23"/>
      <c r="AS3626" s="23"/>
      <c r="AT3626" s="23"/>
      <c r="AU3626" s="14" t="str">
        <f>HYPERLINK("http://www.openstreetmap.org/?mlat=32.9174&amp;mlon=45.0731&amp;zoom=12#map=12/32.9174/45.0731","Maplink1")</f>
        <v>Maplink1</v>
      </c>
      <c r="AV3626" s="14" t="str">
        <f>HYPERLINK("https://www.google.iq/maps/search/+32.9174,45.0731/@32.9174,45.0731,14z?hl=en","Maplink2")</f>
        <v>Maplink2</v>
      </c>
      <c r="AW3626" s="14" t="str">
        <f>HYPERLINK("http://www.bing.com/maps/?lvl=14&amp;sty=h&amp;cp=32.9174~45.0731&amp;sp=point.32.9174_45.0731_Al-Kamas 3","Maplink3")</f>
        <v>Maplink3</v>
      </c>
    </row>
    <row r="3627" spans="1:49" x14ac:dyDescent="0.25">
      <c r="A3627" s="21">
        <v>24855</v>
      </c>
      <c r="B3627" s="22" t="s">
        <v>26</v>
      </c>
      <c r="C3627" s="22" t="s">
        <v>7025</v>
      </c>
      <c r="D3627" s="22" t="s">
        <v>9190</v>
      </c>
      <c r="E3627" s="22" t="s">
        <v>7051</v>
      </c>
      <c r="F3627" s="22">
        <v>32.916426540099998</v>
      </c>
      <c r="G3627" s="22">
        <v>45.071748721100001</v>
      </c>
      <c r="H3627" s="21" t="s">
        <v>7028</v>
      </c>
      <c r="I3627" s="21" t="s">
        <v>7029</v>
      </c>
      <c r="J3627" s="21"/>
      <c r="K3627" s="24">
        <v>8</v>
      </c>
      <c r="L3627" s="24">
        <v>48</v>
      </c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8</v>
      </c>
      <c r="Z3627" s="23"/>
      <c r="AA3627" s="23"/>
      <c r="AB3627" s="23"/>
      <c r="AC3627" s="23"/>
      <c r="AD3627" s="23"/>
      <c r="AE3627" s="23"/>
      <c r="AF3627" s="23">
        <v>8</v>
      </c>
      <c r="AG3627" s="23"/>
      <c r="AH3627" s="23"/>
      <c r="AI3627" s="23"/>
      <c r="AJ3627" s="23"/>
      <c r="AK3627" s="23"/>
      <c r="AL3627" s="23"/>
      <c r="AM3627" s="23"/>
      <c r="AN3627" s="23"/>
      <c r="AO3627" s="23"/>
      <c r="AP3627" s="23">
        <v>8</v>
      </c>
      <c r="AQ3627" s="23"/>
      <c r="AR3627" s="23"/>
      <c r="AS3627" s="23"/>
      <c r="AT3627" s="23"/>
      <c r="AU3627" s="14" t="str">
        <f>HYPERLINK("http://www.openstreetmap.org/?mlat=32.9152&amp;mlon=45.0723&amp;zoom=12#map=12/32.9152/45.0723","Maplink1")</f>
        <v>Maplink1</v>
      </c>
      <c r="AV3627" s="14" t="str">
        <f>HYPERLINK("https://www.google.iq/maps/search/+32.9152,45.0723/@32.9152,45.0723,14z?hl=en","Maplink2")</f>
        <v>Maplink2</v>
      </c>
      <c r="AW3627" s="14" t="str">
        <f>HYPERLINK("http://www.bing.com/maps/?lvl=14&amp;sty=h&amp;cp=32.9152~45.0723&amp;sp=point.32.9152_45.0723_Al-Kamas1","Maplink3")</f>
        <v>Maplink3</v>
      </c>
    </row>
    <row r="3628" spans="1:49" x14ac:dyDescent="0.25">
      <c r="A3628" s="21">
        <v>25089</v>
      </c>
      <c r="B3628" s="22" t="s">
        <v>26</v>
      </c>
      <c r="C3628" s="22" t="s">
        <v>7025</v>
      </c>
      <c r="D3628" s="22" t="s">
        <v>7052</v>
      </c>
      <c r="E3628" s="22" t="s">
        <v>7053</v>
      </c>
      <c r="F3628" s="22">
        <v>32.765210834400001</v>
      </c>
      <c r="G3628" s="22">
        <v>45.272276230199999</v>
      </c>
      <c r="H3628" s="21" t="s">
        <v>7028</v>
      </c>
      <c r="I3628" s="21" t="s">
        <v>7029</v>
      </c>
      <c r="J3628" s="21"/>
      <c r="K3628" s="24">
        <v>5</v>
      </c>
      <c r="L3628" s="24">
        <v>30</v>
      </c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5</v>
      </c>
      <c r="Z3628" s="23"/>
      <c r="AA3628" s="23"/>
      <c r="AB3628" s="23"/>
      <c r="AC3628" s="23"/>
      <c r="AD3628" s="23"/>
      <c r="AE3628" s="23"/>
      <c r="AF3628" s="23">
        <v>5</v>
      </c>
      <c r="AG3628" s="23"/>
      <c r="AH3628" s="23"/>
      <c r="AI3628" s="23"/>
      <c r="AJ3628" s="23"/>
      <c r="AK3628" s="23"/>
      <c r="AL3628" s="23"/>
      <c r="AM3628" s="23"/>
      <c r="AN3628" s="23"/>
      <c r="AO3628" s="23">
        <v>5</v>
      </c>
      <c r="AP3628" s="23"/>
      <c r="AQ3628" s="23"/>
      <c r="AR3628" s="23"/>
      <c r="AS3628" s="23"/>
      <c r="AT3628" s="23"/>
      <c r="AU3628" s="14" t="str">
        <f>HYPERLINK("http://www.openstreetmap.org/?mlat=32.9116&amp;mlon=44.9966&amp;zoom=12#map=12/32.9116/44.9966","Maplink1")</f>
        <v>Maplink1</v>
      </c>
      <c r="AV3628" s="14" t="str">
        <f>HYPERLINK("https://www.google.iq/maps/search/+32.9116,44.9966/@32.9116,44.9966,14z?hl=en","Maplink2")</f>
        <v>Maplink2</v>
      </c>
      <c r="AW3628" s="14" t="str">
        <f>HYPERLINK("http://www.bing.com/maps/?lvl=14&amp;sty=h&amp;cp=32.9116~44.9966&amp;sp=point.32.9116_44.9966_Al-Manseya","Maplink3")</f>
        <v>Maplink3</v>
      </c>
    </row>
    <row r="3629" spans="1:49" x14ac:dyDescent="0.25">
      <c r="A3629" s="21">
        <v>24853</v>
      </c>
      <c r="B3629" s="22" t="s">
        <v>26</v>
      </c>
      <c r="C3629" s="22" t="s">
        <v>7025</v>
      </c>
      <c r="D3629" s="22" t="s">
        <v>7054</v>
      </c>
      <c r="E3629" s="22" t="s">
        <v>7055</v>
      </c>
      <c r="F3629" s="22">
        <v>33.020920373800003</v>
      </c>
      <c r="G3629" s="22">
        <v>44.809029613600003</v>
      </c>
      <c r="H3629" s="21" t="s">
        <v>7028</v>
      </c>
      <c r="I3629" s="21" t="s">
        <v>7029</v>
      </c>
      <c r="J3629" s="21"/>
      <c r="K3629" s="24">
        <v>12</v>
      </c>
      <c r="L3629" s="24">
        <v>72</v>
      </c>
      <c r="M3629" s="23">
        <v>10</v>
      </c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>
        <v>2</v>
      </c>
      <c r="Z3629" s="23"/>
      <c r="AA3629" s="23"/>
      <c r="AB3629" s="23"/>
      <c r="AC3629" s="23"/>
      <c r="AD3629" s="23"/>
      <c r="AE3629" s="23"/>
      <c r="AF3629" s="23">
        <v>1</v>
      </c>
      <c r="AG3629" s="23"/>
      <c r="AH3629" s="23"/>
      <c r="AI3629" s="23"/>
      <c r="AJ3629" s="23"/>
      <c r="AK3629" s="23">
        <v>11</v>
      </c>
      <c r="AL3629" s="23"/>
      <c r="AM3629" s="23"/>
      <c r="AN3629" s="23"/>
      <c r="AO3629" s="23">
        <v>2</v>
      </c>
      <c r="AP3629" s="23">
        <v>2</v>
      </c>
      <c r="AQ3629" s="23"/>
      <c r="AR3629" s="23"/>
      <c r="AS3629" s="23">
        <v>8</v>
      </c>
      <c r="AT3629" s="23"/>
      <c r="AU3629" s="14" t="str">
        <f>HYPERLINK("http://www.openstreetmap.org/?mlat=33.0234&amp;mlon=44.7957&amp;zoom=12#map=12/33.0234/44.7957","Maplink1")</f>
        <v>Maplink1</v>
      </c>
      <c r="AV3629" s="14" t="str">
        <f>HYPERLINK("https://www.google.iq/maps/search/+33.0234,44.7957/@33.0234,44.7957,14z?hl=en","Maplink2")</f>
        <v>Maplink2</v>
      </c>
      <c r="AW3629" s="14" t="str">
        <f>HYPERLINK("http://www.bing.com/maps/?lvl=14&amp;sty=h&amp;cp=33.0234~44.7957&amp;sp=point.33.0234_44.7957_Al-Mazraa","Maplink3")</f>
        <v>Maplink3</v>
      </c>
    </row>
    <row r="3630" spans="1:49" x14ac:dyDescent="0.25">
      <c r="A3630" s="21">
        <v>24854</v>
      </c>
      <c r="B3630" s="22" t="s">
        <v>26</v>
      </c>
      <c r="C3630" s="22" t="s">
        <v>7025</v>
      </c>
      <c r="D3630" s="22" t="s">
        <v>7056</v>
      </c>
      <c r="E3630" s="22" t="s">
        <v>7057</v>
      </c>
      <c r="F3630" s="22">
        <v>32.930874933799998</v>
      </c>
      <c r="G3630" s="22">
        <v>44.981756668999999</v>
      </c>
      <c r="H3630" s="21" t="s">
        <v>7028</v>
      </c>
      <c r="I3630" s="21" t="s">
        <v>7029</v>
      </c>
      <c r="J3630" s="21"/>
      <c r="K3630" s="24">
        <v>35</v>
      </c>
      <c r="L3630" s="24">
        <v>210</v>
      </c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>
        <v>35</v>
      </c>
      <c r="Z3630" s="23"/>
      <c r="AA3630" s="23"/>
      <c r="AB3630" s="23"/>
      <c r="AC3630" s="23"/>
      <c r="AD3630" s="23"/>
      <c r="AE3630" s="23"/>
      <c r="AF3630" s="23">
        <v>35</v>
      </c>
      <c r="AG3630" s="23"/>
      <c r="AH3630" s="23"/>
      <c r="AI3630" s="23"/>
      <c r="AJ3630" s="23"/>
      <c r="AK3630" s="23"/>
      <c r="AL3630" s="23"/>
      <c r="AM3630" s="23"/>
      <c r="AN3630" s="23"/>
      <c r="AO3630" s="23"/>
      <c r="AP3630" s="23">
        <v>35</v>
      </c>
      <c r="AQ3630" s="23"/>
      <c r="AR3630" s="23"/>
      <c r="AS3630" s="23"/>
      <c r="AT3630" s="23"/>
      <c r="AU3630" s="14" t="str">
        <f>HYPERLINK("http://www.openstreetmap.org/?mlat=33.0022&amp;mlon=44.8445&amp;zoom=12#map=12/33.0022/44.8445","Maplink1")</f>
        <v>Maplink1</v>
      </c>
      <c r="AV3630" s="14" t="str">
        <f>HYPERLINK("https://www.google.iq/maps/search/+33.0022,44.8445/@33.0022,44.8445,14z?hl=en","Maplink2")</f>
        <v>Maplink2</v>
      </c>
      <c r="AW3630" s="14" t="str">
        <f>HYPERLINK("http://www.bing.com/maps/?lvl=14&amp;sty=h&amp;cp=33.0022~44.8445&amp;sp=point.33.0022_44.8445_Al-Nedhal village","Maplink3")</f>
        <v>Maplink3</v>
      </c>
    </row>
    <row r="3631" spans="1:49" x14ac:dyDescent="0.25">
      <c r="A3631" s="21">
        <v>21340</v>
      </c>
      <c r="B3631" s="22" t="s">
        <v>26</v>
      </c>
      <c r="C3631" s="22" t="s">
        <v>7025</v>
      </c>
      <c r="D3631" s="22" t="s">
        <v>7058</v>
      </c>
      <c r="E3631" s="22" t="s">
        <v>7059</v>
      </c>
      <c r="F3631" s="22">
        <v>32.938333854900002</v>
      </c>
      <c r="G3631" s="22">
        <v>44.950073476500002</v>
      </c>
      <c r="H3631" s="21" t="s">
        <v>7028</v>
      </c>
      <c r="I3631" s="21" t="s">
        <v>7029</v>
      </c>
      <c r="J3631" s="21" t="s">
        <v>7060</v>
      </c>
      <c r="K3631" s="24">
        <v>17</v>
      </c>
      <c r="L3631" s="24">
        <v>102</v>
      </c>
      <c r="M3631" s="23"/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>
        <v>17</v>
      </c>
      <c r="Z3631" s="23"/>
      <c r="AA3631" s="23"/>
      <c r="AB3631" s="23"/>
      <c r="AC3631" s="23"/>
      <c r="AD3631" s="23"/>
      <c r="AE3631" s="23"/>
      <c r="AF3631" s="23">
        <v>17</v>
      </c>
      <c r="AG3631" s="23"/>
      <c r="AH3631" s="23"/>
      <c r="AI3631" s="23"/>
      <c r="AJ3631" s="23"/>
      <c r="AK3631" s="23"/>
      <c r="AL3631" s="23"/>
      <c r="AM3631" s="23"/>
      <c r="AN3631" s="23"/>
      <c r="AO3631" s="23"/>
      <c r="AP3631" s="23">
        <v>17</v>
      </c>
      <c r="AQ3631" s="23"/>
      <c r="AR3631" s="23"/>
      <c r="AS3631" s="23"/>
      <c r="AT3631" s="23"/>
      <c r="AU3631" s="14" t="str">
        <f>HYPERLINK("http://www.openstreetmap.org/?mlat=32.9386&amp;mlon=44.9621&amp;zoom=12#map=12/32.9386/44.9621","Maplink1")</f>
        <v>Maplink1</v>
      </c>
      <c r="AV3631" s="14" t="str">
        <f>HYPERLINK("https://www.google.iq/maps/search/+32.9386,44.9621/@32.9386,44.9621,14z?hl=en","Maplink2")</f>
        <v>Maplink2</v>
      </c>
      <c r="AW3631" s="14" t="str">
        <f>HYPERLINK("http://www.bing.com/maps/?lvl=14&amp;sty=h&amp;cp=32.9386~44.9621&amp;sp=point.32.9386_44.9621_Al-Qutniya al Sharqiya","Maplink3")</f>
        <v>Maplink3</v>
      </c>
    </row>
    <row r="3632" spans="1:49" x14ac:dyDescent="0.25">
      <c r="A3632" s="21">
        <v>24841</v>
      </c>
      <c r="B3632" s="22" t="s">
        <v>26</v>
      </c>
      <c r="C3632" s="22" t="s">
        <v>7025</v>
      </c>
      <c r="D3632" s="22" t="s">
        <v>7061</v>
      </c>
      <c r="E3632" s="22" t="s">
        <v>4130</v>
      </c>
      <c r="F3632" s="22">
        <v>32.921632872700002</v>
      </c>
      <c r="G3632" s="22">
        <v>45.005779285099997</v>
      </c>
      <c r="H3632" s="21" t="s">
        <v>7028</v>
      </c>
      <c r="I3632" s="21" t="s">
        <v>7029</v>
      </c>
      <c r="J3632" s="21"/>
      <c r="K3632" s="24">
        <v>7</v>
      </c>
      <c r="L3632" s="24">
        <v>42</v>
      </c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7</v>
      </c>
      <c r="Z3632" s="23"/>
      <c r="AA3632" s="23"/>
      <c r="AB3632" s="23"/>
      <c r="AC3632" s="23"/>
      <c r="AD3632" s="23"/>
      <c r="AE3632" s="23"/>
      <c r="AF3632" s="23">
        <v>7</v>
      </c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>
        <v>7</v>
      </c>
      <c r="AQ3632" s="23"/>
      <c r="AR3632" s="23"/>
      <c r="AS3632" s="23"/>
      <c r="AT3632" s="23"/>
      <c r="AU3632" s="14" t="str">
        <f>HYPERLINK("http://www.openstreetmap.org/?mlat=32.9046&amp;mlon=45.057&amp;zoom=12#map=12/32.9046/45.057","Maplink1")</f>
        <v>Maplink1</v>
      </c>
      <c r="AV3632" s="14" t="str">
        <f>HYPERLINK("https://www.google.iq/maps/search/+32.9046,45.057/@32.9046,45.057,14z?hl=en","Maplink2")</f>
        <v>Maplink2</v>
      </c>
      <c r="AW3632" s="14" t="str">
        <f>HYPERLINK("http://www.bing.com/maps/?lvl=14&amp;sty=h&amp;cp=32.9046~45.057&amp;sp=point.32.9046_45.057_Al-Rafidain","Maplink3")</f>
        <v>Maplink3</v>
      </c>
    </row>
    <row r="3633" spans="1:49" x14ac:dyDescent="0.25">
      <c r="A3633" s="21">
        <v>24859</v>
      </c>
      <c r="B3633" s="22" t="s">
        <v>26</v>
      </c>
      <c r="C3633" s="22" t="s">
        <v>7025</v>
      </c>
      <c r="D3633" s="22" t="s">
        <v>7062</v>
      </c>
      <c r="E3633" s="22" t="s">
        <v>7063</v>
      </c>
      <c r="F3633" s="22">
        <v>32.9074849195</v>
      </c>
      <c r="G3633" s="22">
        <v>45.055378031799997</v>
      </c>
      <c r="H3633" s="21" t="s">
        <v>7028</v>
      </c>
      <c r="I3633" s="21" t="s">
        <v>7029</v>
      </c>
      <c r="J3633" s="21"/>
      <c r="K3633" s="24">
        <v>29</v>
      </c>
      <c r="L3633" s="24">
        <v>174</v>
      </c>
      <c r="M3633" s="23">
        <v>9</v>
      </c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>
        <v>20</v>
      </c>
      <c r="Z3633" s="23"/>
      <c r="AA3633" s="23"/>
      <c r="AB3633" s="23"/>
      <c r="AC3633" s="23"/>
      <c r="AD3633" s="23"/>
      <c r="AE3633" s="23"/>
      <c r="AF3633" s="23">
        <v>20</v>
      </c>
      <c r="AG3633" s="23"/>
      <c r="AH3633" s="23"/>
      <c r="AI3633" s="23"/>
      <c r="AJ3633" s="23"/>
      <c r="AK3633" s="23">
        <v>9</v>
      </c>
      <c r="AL3633" s="23"/>
      <c r="AM3633" s="23"/>
      <c r="AN3633" s="23"/>
      <c r="AO3633" s="23">
        <v>9</v>
      </c>
      <c r="AP3633" s="23">
        <v>20</v>
      </c>
      <c r="AQ3633" s="23"/>
      <c r="AR3633" s="23"/>
      <c r="AS3633" s="23"/>
      <c r="AT3633" s="23"/>
      <c r="AU3633" s="14" t="str">
        <f>HYPERLINK("http://www.openstreetmap.org/?mlat=32.9094&amp;mlon=45.0647&amp;zoom=12#map=12/32.9094/45.0647","Maplink1")</f>
        <v>Maplink1</v>
      </c>
      <c r="AV3633" s="14" t="str">
        <f>HYPERLINK("https://www.google.iq/maps/search/+32.9094,45.0647/@32.9094,45.0647,14z?hl=en","Maplink2")</f>
        <v>Maplink2</v>
      </c>
      <c r="AW3633" s="14" t="str">
        <f>HYPERLINK("http://www.bing.com/maps/?lvl=14&amp;sty=h&amp;cp=32.9094~45.0647&amp;sp=point.32.9094_45.0647_Al-Sarai","Maplink3")</f>
        <v>Maplink3</v>
      </c>
    </row>
    <row r="3634" spans="1:49" x14ac:dyDescent="0.25">
      <c r="A3634" s="21">
        <v>24842</v>
      </c>
      <c r="B3634" s="22" t="s">
        <v>26</v>
      </c>
      <c r="C3634" s="22" t="s">
        <v>7025</v>
      </c>
      <c r="D3634" s="22" t="s">
        <v>7064</v>
      </c>
      <c r="E3634" s="22" t="s">
        <v>7065</v>
      </c>
      <c r="F3634" s="22">
        <v>32.911803327599998</v>
      </c>
      <c r="G3634" s="22">
        <v>45.051017010199999</v>
      </c>
      <c r="H3634" s="21" t="s">
        <v>7028</v>
      </c>
      <c r="I3634" s="21" t="s">
        <v>7029</v>
      </c>
      <c r="J3634" s="21"/>
      <c r="K3634" s="24">
        <v>4</v>
      </c>
      <c r="L3634" s="24">
        <v>24</v>
      </c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4</v>
      </c>
      <c r="Z3634" s="23"/>
      <c r="AA3634" s="23"/>
      <c r="AB3634" s="23"/>
      <c r="AC3634" s="23"/>
      <c r="AD3634" s="23"/>
      <c r="AE3634" s="23"/>
      <c r="AF3634" s="23">
        <v>4</v>
      </c>
      <c r="AG3634" s="23"/>
      <c r="AH3634" s="23"/>
      <c r="AI3634" s="23"/>
      <c r="AJ3634" s="23"/>
      <c r="AK3634" s="23"/>
      <c r="AL3634" s="23"/>
      <c r="AM3634" s="23"/>
      <c r="AN3634" s="23"/>
      <c r="AO3634" s="23"/>
      <c r="AP3634" s="23">
        <v>4</v>
      </c>
      <c r="AQ3634" s="23"/>
      <c r="AR3634" s="23"/>
      <c r="AS3634" s="23"/>
      <c r="AT3634" s="23"/>
      <c r="AU3634" s="14" t="str">
        <f>HYPERLINK("http://www.openstreetmap.org/?mlat=32.9049&amp;mlon=45.0404&amp;zoom=12#map=12/32.9049/45.0404","Maplink1")</f>
        <v>Maplink1</v>
      </c>
      <c r="AV3634" s="14" t="str">
        <f>HYPERLINK("https://www.google.iq/maps/search/+32.9049,45.0404/@32.9049,45.0404,14z?hl=en","Maplink2")</f>
        <v>Maplink2</v>
      </c>
      <c r="AW3634" s="14" t="str">
        <f>HYPERLINK("http://www.bing.com/maps/?lvl=14&amp;sty=h&amp;cp=32.9049~45.0404&amp;sp=point.32.9049_45.0404_Al-Shabab 2","Maplink3")</f>
        <v>Maplink3</v>
      </c>
    </row>
    <row r="3635" spans="1:49" x14ac:dyDescent="0.25">
      <c r="A3635" s="21">
        <v>25084</v>
      </c>
      <c r="B3635" s="22" t="s">
        <v>26</v>
      </c>
      <c r="C3635" s="22" t="s">
        <v>7025</v>
      </c>
      <c r="D3635" s="22" t="s">
        <v>9191</v>
      </c>
      <c r="E3635" s="22" t="s">
        <v>7066</v>
      </c>
      <c r="F3635" s="22">
        <v>32.917926665400003</v>
      </c>
      <c r="G3635" s="22">
        <v>44.958368571500003</v>
      </c>
      <c r="H3635" s="21" t="s">
        <v>7028</v>
      </c>
      <c r="I3635" s="21" t="s">
        <v>7029</v>
      </c>
      <c r="J3635" s="21"/>
      <c r="K3635" s="24">
        <v>14</v>
      </c>
      <c r="L3635" s="24">
        <v>84</v>
      </c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>
        <v>14</v>
      </c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>
        <v>14</v>
      </c>
      <c r="AL3635" s="23"/>
      <c r="AM3635" s="23"/>
      <c r="AN3635" s="23"/>
      <c r="AO3635" s="23"/>
      <c r="AP3635" s="23">
        <v>14</v>
      </c>
      <c r="AQ3635" s="23"/>
      <c r="AR3635" s="23"/>
      <c r="AS3635" s="23"/>
      <c r="AT3635" s="23"/>
      <c r="AU3635" s="14" t="str">
        <f>HYPERLINK("http://www.openstreetmap.org/?mlat=32.8994&amp;mlon=45.0838&amp;zoom=12#map=12/32.8994/45.0838","Maplink1")</f>
        <v>Maplink1</v>
      </c>
      <c r="AV3635" s="14" t="str">
        <f>HYPERLINK("https://www.google.iq/maps/search/+32.8994,45.0838/@32.8994,45.0838,14z?hl=en","Maplink2")</f>
        <v>Maplink2</v>
      </c>
      <c r="AW3635" s="14" t="str">
        <f>HYPERLINK("http://www.bing.com/maps/?lvl=14&amp;sty=h&amp;cp=32.8994~45.0838&amp;sp=point.32.8994_45.0838_Al-Sharif Alradi","Maplink3")</f>
        <v>Maplink3</v>
      </c>
    </row>
    <row r="3636" spans="1:49" x14ac:dyDescent="0.25">
      <c r="A3636" s="21">
        <v>19454</v>
      </c>
      <c r="B3636" s="22" t="s">
        <v>26</v>
      </c>
      <c r="C3636" s="22" t="s">
        <v>7025</v>
      </c>
      <c r="D3636" s="22" t="s">
        <v>7067</v>
      </c>
      <c r="E3636" s="22" t="s">
        <v>7068</v>
      </c>
      <c r="F3636" s="22">
        <v>32.957270748699997</v>
      </c>
      <c r="G3636" s="22">
        <v>44.889357968799999</v>
      </c>
      <c r="H3636" s="21" t="s">
        <v>7028</v>
      </c>
      <c r="I3636" s="21" t="s">
        <v>7029</v>
      </c>
      <c r="J3636" s="21" t="s">
        <v>7069</v>
      </c>
      <c r="K3636" s="24">
        <v>5</v>
      </c>
      <c r="L3636" s="24">
        <v>30</v>
      </c>
      <c r="M3636" s="23"/>
      <c r="N3636" s="23"/>
      <c r="O3636" s="23"/>
      <c r="P3636" s="23"/>
      <c r="Q3636" s="23"/>
      <c r="R3636" s="23"/>
      <c r="S3636" s="23"/>
      <c r="T3636" s="23"/>
      <c r="U3636" s="23">
        <v>4</v>
      </c>
      <c r="V3636" s="23"/>
      <c r="W3636" s="23"/>
      <c r="X3636" s="23"/>
      <c r="Y3636" s="23">
        <v>1</v>
      </c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>
        <v>5</v>
      </c>
      <c r="AL3636" s="23"/>
      <c r="AM3636" s="23"/>
      <c r="AN3636" s="23"/>
      <c r="AO3636" s="23"/>
      <c r="AP3636" s="23">
        <v>1</v>
      </c>
      <c r="AQ3636" s="23">
        <v>4</v>
      </c>
      <c r="AR3636" s="23"/>
      <c r="AS3636" s="23"/>
      <c r="AT3636" s="23"/>
      <c r="AU3636" s="14" t="str">
        <f>HYPERLINK("http://www.openstreetmap.org/?mlat=33.0881&amp;mlon=44.78&amp;zoom=12#map=12/33.0881/44.78","Maplink1")</f>
        <v>Maplink1</v>
      </c>
      <c r="AV3636" s="14" t="str">
        <f>HYPERLINK("https://www.google.iq/maps/search/+33.0881,44.78/@33.0881,44.78,14z?hl=en","Maplink2")</f>
        <v>Maplink2</v>
      </c>
      <c r="AW3636" s="14" t="str">
        <f>HYPERLINK("http://www.bing.com/maps/?lvl=14&amp;sty=h&amp;cp=33.0881~44.78&amp;sp=point.33.0881_44.78_Al-Tanmeya","Maplink3")</f>
        <v>Maplink3</v>
      </c>
    </row>
    <row r="3637" spans="1:49" x14ac:dyDescent="0.25">
      <c r="A3637" s="21">
        <v>24849</v>
      </c>
      <c r="B3637" s="22" t="s">
        <v>26</v>
      </c>
      <c r="C3637" s="22" t="s">
        <v>7025</v>
      </c>
      <c r="D3637" s="22" t="s">
        <v>7070</v>
      </c>
      <c r="E3637" s="22" t="s">
        <v>7071</v>
      </c>
      <c r="F3637" s="22">
        <v>32.965334274200004</v>
      </c>
      <c r="G3637" s="22">
        <v>44.863150844400003</v>
      </c>
      <c r="H3637" s="21" t="s">
        <v>7028</v>
      </c>
      <c r="I3637" s="21" t="s">
        <v>7029</v>
      </c>
      <c r="J3637" s="21"/>
      <c r="K3637" s="24">
        <v>11</v>
      </c>
      <c r="L3637" s="24">
        <v>66</v>
      </c>
      <c r="M3637" s="23"/>
      <c r="N3637" s="23"/>
      <c r="O3637" s="23"/>
      <c r="P3637" s="23"/>
      <c r="Q3637" s="23"/>
      <c r="R3637" s="23"/>
      <c r="S3637" s="23"/>
      <c r="T3637" s="23"/>
      <c r="U3637" s="23">
        <v>6</v>
      </c>
      <c r="V3637" s="23"/>
      <c r="W3637" s="23"/>
      <c r="X3637" s="23"/>
      <c r="Y3637" s="23">
        <v>5</v>
      </c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>
        <v>11</v>
      </c>
      <c r="AL3637" s="23"/>
      <c r="AM3637" s="23"/>
      <c r="AN3637" s="23"/>
      <c r="AO3637" s="23"/>
      <c r="AP3637" s="23">
        <v>5</v>
      </c>
      <c r="AQ3637" s="23">
        <v>6</v>
      </c>
      <c r="AR3637" s="23"/>
      <c r="AS3637" s="23"/>
      <c r="AT3637" s="23"/>
      <c r="AU3637" s="14" t="str">
        <f>HYPERLINK("http://www.openstreetmap.org/?mlat=33.0682&amp;mlon=44.7566&amp;zoom=12#map=12/33.0682/44.7566","Maplink1")</f>
        <v>Maplink1</v>
      </c>
      <c r="AV3637" s="14" t="str">
        <f>HYPERLINK("https://www.google.iq/maps/search/+33.0682,44.7566/@33.0682,44.7566,14z?hl=en","Maplink2")</f>
        <v>Maplink2</v>
      </c>
      <c r="AW3637" s="14" t="str">
        <f>HYPERLINK("http://www.bing.com/maps/?lvl=14&amp;sty=h&amp;cp=33.0682~44.7566&amp;sp=point.33.0682_44.7566_Bader Al-Kubra","Maplink3")</f>
        <v>Maplink3</v>
      </c>
    </row>
    <row r="3638" spans="1:49" x14ac:dyDescent="0.25">
      <c r="A3638" s="21">
        <v>18443</v>
      </c>
      <c r="B3638" s="22" t="s">
        <v>26</v>
      </c>
      <c r="C3638" s="22" t="s">
        <v>7025</v>
      </c>
      <c r="D3638" s="22" t="s">
        <v>9192</v>
      </c>
      <c r="E3638" s="22" t="s">
        <v>7030</v>
      </c>
      <c r="F3638" s="22">
        <v>32.9114187108</v>
      </c>
      <c r="G3638" s="22">
        <v>45.062006883899997</v>
      </c>
      <c r="H3638" s="21" t="s">
        <v>7028</v>
      </c>
      <c r="I3638" s="21" t="s">
        <v>7029</v>
      </c>
      <c r="J3638" s="21" t="s">
        <v>7031</v>
      </c>
      <c r="K3638" s="24">
        <v>42</v>
      </c>
      <c r="L3638" s="24">
        <v>252</v>
      </c>
      <c r="M3638" s="23">
        <v>10</v>
      </c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32</v>
      </c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>
        <v>42</v>
      </c>
      <c r="AL3638" s="23"/>
      <c r="AM3638" s="23"/>
      <c r="AN3638" s="23"/>
      <c r="AO3638" s="23"/>
      <c r="AP3638" s="23"/>
      <c r="AQ3638" s="23">
        <v>32</v>
      </c>
      <c r="AR3638" s="23"/>
      <c r="AS3638" s="23">
        <v>10</v>
      </c>
      <c r="AT3638" s="23"/>
      <c r="AU3638" s="14" t="str">
        <f>HYPERLINK("http://www.openstreetmap.org/?mlat=32.9074&amp;mlon=45.0668&amp;zoom=12#map=12/32.9074/45.0668","Maplink1")</f>
        <v>Maplink1</v>
      </c>
      <c r="AV3638" s="14" t="str">
        <f>HYPERLINK("https://www.google.iq/maps/search/+32.9074,45.0668/@32.9074,45.0668,14z?hl=en","Maplink2")</f>
        <v>Maplink2</v>
      </c>
      <c r="AW3638" s="14" t="str">
        <f>HYPERLINK("http://www.bing.com/maps/?lvl=14&amp;sty=h&amp;cp=32.9074~45.0668&amp;sp=point.32.9074_45.0668_Al Aziziya","Maplink3")</f>
        <v>Maplink3</v>
      </c>
    </row>
    <row r="3639" spans="1:49" x14ac:dyDescent="0.25">
      <c r="A3639" s="21">
        <v>19367</v>
      </c>
      <c r="B3639" s="22" t="s">
        <v>26</v>
      </c>
      <c r="C3639" s="22" t="s">
        <v>7025</v>
      </c>
      <c r="D3639" s="22" t="s">
        <v>9193</v>
      </c>
      <c r="E3639" s="22" t="s">
        <v>7072</v>
      </c>
      <c r="F3639" s="22">
        <v>32.920127060299997</v>
      </c>
      <c r="G3639" s="22">
        <v>45.019757907100001</v>
      </c>
      <c r="H3639" s="21" t="s">
        <v>7028</v>
      </c>
      <c r="I3639" s="21" t="s">
        <v>7029</v>
      </c>
      <c r="J3639" s="21" t="s">
        <v>7073</v>
      </c>
      <c r="K3639" s="24">
        <v>4</v>
      </c>
      <c r="L3639" s="24">
        <v>24</v>
      </c>
      <c r="M3639" s="23"/>
      <c r="N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>
        <v>4</v>
      </c>
      <c r="Z3639" s="23"/>
      <c r="AA3639" s="23"/>
      <c r="AB3639" s="23"/>
      <c r="AC3639" s="23"/>
      <c r="AD3639" s="23"/>
      <c r="AE3639" s="23"/>
      <c r="AF3639" s="23">
        <v>4</v>
      </c>
      <c r="AG3639" s="23"/>
      <c r="AH3639" s="23"/>
      <c r="AI3639" s="23"/>
      <c r="AJ3639" s="23"/>
      <c r="AK3639" s="23"/>
      <c r="AL3639" s="23"/>
      <c r="AM3639" s="23"/>
      <c r="AN3639" s="23"/>
      <c r="AO3639" s="23"/>
      <c r="AP3639" s="23">
        <v>4</v>
      </c>
      <c r="AQ3639" s="23"/>
      <c r="AR3639" s="23"/>
      <c r="AS3639" s="23"/>
      <c r="AT3639" s="23"/>
      <c r="AU3639" s="14" t="str">
        <f>HYPERLINK("http://www.openstreetmap.org/?mlat=32.9138&amp;mlon=45.1129&amp;zoom=12#map=12/32.9138/45.1129","Maplink1")</f>
        <v>Maplink1</v>
      </c>
      <c r="AV3639" s="14" t="str">
        <f>HYPERLINK("https://www.google.iq/maps/search/+32.9138,45.1129/@32.9138,45.1129,14z?hl=en","Maplink2")</f>
        <v>Maplink2</v>
      </c>
      <c r="AW3639" s="14" t="str">
        <f>HYPERLINK("http://www.bing.com/maps/?lvl=14&amp;sty=h&amp;cp=32.9138~45.1129&amp;sp=point.32.9138_45.1129_Harbi and hmoor village","Maplink3")</f>
        <v>Maplink3</v>
      </c>
    </row>
    <row r="3640" spans="1:49" x14ac:dyDescent="0.25">
      <c r="A3640" s="21">
        <v>22360</v>
      </c>
      <c r="B3640" s="22" t="s">
        <v>26</v>
      </c>
      <c r="C3640" s="22" t="s">
        <v>7025</v>
      </c>
      <c r="D3640" s="22" t="s">
        <v>9194</v>
      </c>
      <c r="E3640" s="22" t="s">
        <v>4676</v>
      </c>
      <c r="F3640" s="22">
        <v>32.917172122700002</v>
      </c>
      <c r="G3640" s="22">
        <v>45.058617638999998</v>
      </c>
      <c r="H3640" s="21" t="s">
        <v>7028</v>
      </c>
      <c r="I3640" s="21" t="s">
        <v>7029</v>
      </c>
      <c r="J3640" s="21" t="s">
        <v>7036</v>
      </c>
      <c r="K3640" s="24">
        <v>40</v>
      </c>
      <c r="L3640" s="24">
        <v>240</v>
      </c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40</v>
      </c>
      <c r="Z3640" s="23"/>
      <c r="AA3640" s="23"/>
      <c r="AB3640" s="23"/>
      <c r="AC3640" s="23"/>
      <c r="AD3640" s="23"/>
      <c r="AE3640" s="23"/>
      <c r="AF3640" s="23"/>
      <c r="AG3640" s="23"/>
      <c r="AH3640" s="23"/>
      <c r="AI3640" s="23"/>
      <c r="AJ3640" s="23"/>
      <c r="AK3640" s="23">
        <v>40</v>
      </c>
      <c r="AL3640" s="23"/>
      <c r="AM3640" s="23"/>
      <c r="AN3640" s="23"/>
      <c r="AO3640" s="23"/>
      <c r="AP3640" s="23">
        <v>40</v>
      </c>
      <c r="AQ3640" s="23"/>
      <c r="AR3640" s="23"/>
      <c r="AS3640" s="23"/>
      <c r="AT3640" s="23"/>
      <c r="AU3640" s="14" t="str">
        <f>HYPERLINK("http://www.openstreetmap.org/?mlat=32.9179&amp;mlon=45.0484&amp;zoom=12#map=12/32.9179/45.0484","Maplink1")</f>
        <v>Maplink1</v>
      </c>
      <c r="AV3640" s="14" t="str">
        <f>HYPERLINK("https://www.google.iq/maps/search/+32.9179,45.0484/@32.9179,45.0484,14z?hl=en","Maplink2")</f>
        <v>Maplink2</v>
      </c>
      <c r="AW3640" s="14" t="str">
        <f>HYPERLINK("http://www.bing.com/maps/?lvl=14&amp;sty=h&amp;cp=32.9179~45.0484&amp;sp=point.32.9179_45.0484_Al Quds","Maplink3")</f>
        <v>Maplink3</v>
      </c>
    </row>
    <row r="3641" spans="1:49" x14ac:dyDescent="0.25">
      <c r="A3641" s="21">
        <v>24845</v>
      </c>
      <c r="B3641" s="22" t="s">
        <v>26</v>
      </c>
      <c r="C3641" s="22" t="s">
        <v>7025</v>
      </c>
      <c r="D3641" s="22" t="s">
        <v>7076</v>
      </c>
      <c r="E3641" s="22" t="s">
        <v>7077</v>
      </c>
      <c r="F3641" s="22">
        <v>32.912592222299999</v>
      </c>
      <c r="G3641" s="22">
        <v>45.057023628300001</v>
      </c>
      <c r="H3641" s="21" t="s">
        <v>7028</v>
      </c>
      <c r="I3641" s="21" t="s">
        <v>7029</v>
      </c>
      <c r="J3641" s="21"/>
      <c r="K3641" s="24">
        <v>9</v>
      </c>
      <c r="L3641" s="24">
        <v>54</v>
      </c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>
        <v>9</v>
      </c>
      <c r="Z3641" s="23"/>
      <c r="AA3641" s="23"/>
      <c r="AB3641" s="23"/>
      <c r="AC3641" s="23"/>
      <c r="AD3641" s="23"/>
      <c r="AE3641" s="23"/>
      <c r="AF3641" s="23"/>
      <c r="AG3641" s="23"/>
      <c r="AH3641" s="23"/>
      <c r="AI3641" s="23"/>
      <c r="AJ3641" s="23"/>
      <c r="AK3641" s="23">
        <v>9</v>
      </c>
      <c r="AL3641" s="23"/>
      <c r="AM3641" s="23"/>
      <c r="AN3641" s="23"/>
      <c r="AO3641" s="23"/>
      <c r="AP3641" s="23">
        <v>9</v>
      </c>
      <c r="AQ3641" s="23"/>
      <c r="AR3641" s="23"/>
      <c r="AS3641" s="23"/>
      <c r="AT3641" s="23"/>
      <c r="AU3641" s="14" t="str">
        <f>HYPERLINK("http://www.openstreetmap.org/?mlat=32.9051&amp;mlon=45.0739&amp;zoom=12#map=12/32.9051/45.0739","Maplink1")</f>
        <v>Maplink1</v>
      </c>
      <c r="AV3641" s="14" t="str">
        <f>HYPERLINK("https://www.google.iq/maps/search/+32.9051,45.0739/@32.9051,45.0739,14z?hl=en","Maplink2")</f>
        <v>Maplink2</v>
      </c>
      <c r="AW3641" s="14" t="str">
        <f>HYPERLINK("http://www.bing.com/maps/?lvl=14&amp;sty=h&amp;cp=32.9051~45.0739&amp;sp=point.32.9051_45.0739_Hay Al-Askari 1","Maplink3")</f>
        <v>Maplink3</v>
      </c>
    </row>
    <row r="3642" spans="1:49" x14ac:dyDescent="0.25">
      <c r="A3642" s="21">
        <v>24846</v>
      </c>
      <c r="B3642" s="22" t="s">
        <v>26</v>
      </c>
      <c r="C3642" s="22" t="s">
        <v>7025</v>
      </c>
      <c r="D3642" s="22" t="s">
        <v>7078</v>
      </c>
      <c r="E3642" s="22" t="s">
        <v>7079</v>
      </c>
      <c r="F3642" s="22">
        <v>32.911068412900001</v>
      </c>
      <c r="G3642" s="22">
        <v>45.060520847200003</v>
      </c>
      <c r="H3642" s="21" t="s">
        <v>7028</v>
      </c>
      <c r="I3642" s="21" t="s">
        <v>7029</v>
      </c>
      <c r="J3642" s="21"/>
      <c r="K3642" s="24">
        <v>8</v>
      </c>
      <c r="L3642" s="24">
        <v>48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>
        <v>8</v>
      </c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/>
      <c r="AK3642" s="23">
        <v>8</v>
      </c>
      <c r="AL3642" s="23"/>
      <c r="AM3642" s="23"/>
      <c r="AN3642" s="23"/>
      <c r="AO3642" s="23"/>
      <c r="AP3642" s="23">
        <v>8</v>
      </c>
      <c r="AQ3642" s="23"/>
      <c r="AR3642" s="23"/>
      <c r="AS3642" s="23"/>
      <c r="AT3642" s="23"/>
      <c r="AU3642" s="14" t="str">
        <f>HYPERLINK("http://www.openstreetmap.org/?mlat=32.9022&amp;mlon=45.076&amp;zoom=12#map=12/32.9022/45.076","Maplink1")</f>
        <v>Maplink1</v>
      </c>
      <c r="AV3642" s="14" t="str">
        <f>HYPERLINK("https://www.google.iq/maps/search/+32.9022,45.076/@32.9022,45.076,14z?hl=en","Maplink2")</f>
        <v>Maplink2</v>
      </c>
      <c r="AW3642" s="14" t="str">
        <f>HYPERLINK("http://www.bing.com/maps/?lvl=14&amp;sty=h&amp;cp=32.9022~45.076&amp;sp=point.32.9022_45.076_Hay Al-Askari 3","Maplink3")</f>
        <v>Maplink3</v>
      </c>
    </row>
    <row r="3643" spans="1:49" x14ac:dyDescent="0.25">
      <c r="A3643" s="21">
        <v>24757</v>
      </c>
      <c r="B3643" s="22" t="s">
        <v>26</v>
      </c>
      <c r="C3643" s="22" t="s">
        <v>7025</v>
      </c>
      <c r="D3643" s="22" t="s">
        <v>7080</v>
      </c>
      <c r="E3643" s="22" t="s">
        <v>7081</v>
      </c>
      <c r="F3643" s="22">
        <v>32.909408740899998</v>
      </c>
      <c r="G3643" s="22">
        <v>45.0462563046</v>
      </c>
      <c r="H3643" s="21" t="s">
        <v>7028</v>
      </c>
      <c r="I3643" s="21" t="s">
        <v>7029</v>
      </c>
      <c r="J3643" s="21"/>
      <c r="K3643" s="24">
        <v>4</v>
      </c>
      <c r="L3643" s="24">
        <v>24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4</v>
      </c>
      <c r="Z3643" s="23"/>
      <c r="AA3643" s="23"/>
      <c r="AB3643" s="23"/>
      <c r="AC3643" s="23"/>
      <c r="AD3643" s="23"/>
      <c r="AE3643" s="23"/>
      <c r="AF3643" s="23">
        <v>4</v>
      </c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>
        <v>4</v>
      </c>
      <c r="AQ3643" s="23"/>
      <c r="AR3643" s="23"/>
      <c r="AS3643" s="23"/>
      <c r="AT3643" s="23"/>
      <c r="AU3643" s="14" t="str">
        <f>HYPERLINK("http://www.openstreetmap.org/?mlat=32.9175&amp;mlon=45.0527&amp;zoom=12#map=12/32.9175/45.0527","Maplink1")</f>
        <v>Maplink1</v>
      </c>
      <c r="AV3643" s="14" t="str">
        <f>HYPERLINK("https://www.google.iq/maps/search/+32.9175,45.0527/@32.9175,45.0527,14z?hl=en","Maplink2")</f>
        <v>Maplink2</v>
      </c>
      <c r="AW3643" s="14" t="str">
        <f>HYPERLINK("http://www.bing.com/maps/?lvl=14&amp;sty=h&amp;cp=32.9175~45.0527&amp;sp=point.32.9175_45.0527_Hay Al-Hashimy","Maplink3")</f>
        <v>Maplink3</v>
      </c>
    </row>
    <row r="3644" spans="1:49" x14ac:dyDescent="0.25">
      <c r="A3644" s="21">
        <v>24840</v>
      </c>
      <c r="B3644" s="22" t="s">
        <v>26</v>
      </c>
      <c r="C3644" s="22" t="s">
        <v>7025</v>
      </c>
      <c r="D3644" s="22" t="s">
        <v>7082</v>
      </c>
      <c r="E3644" s="22" t="s">
        <v>7083</v>
      </c>
      <c r="F3644" s="22">
        <v>32.909275338800001</v>
      </c>
      <c r="G3644" s="22">
        <v>45.0515441298</v>
      </c>
      <c r="H3644" s="21" t="s">
        <v>7028</v>
      </c>
      <c r="I3644" s="21" t="s">
        <v>7029</v>
      </c>
      <c r="J3644" s="21"/>
      <c r="K3644" s="24">
        <v>4</v>
      </c>
      <c r="L3644" s="24">
        <v>24</v>
      </c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4</v>
      </c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>
        <v>4</v>
      </c>
      <c r="AL3644" s="23"/>
      <c r="AM3644" s="23"/>
      <c r="AN3644" s="23"/>
      <c r="AO3644" s="23"/>
      <c r="AP3644" s="23">
        <v>4</v>
      </c>
      <c r="AQ3644" s="23"/>
      <c r="AR3644" s="23"/>
      <c r="AS3644" s="23"/>
      <c r="AT3644" s="23"/>
      <c r="AU3644" s="14" t="str">
        <f>HYPERLINK("http://www.openstreetmap.org/?mlat=32.912&amp;mlon=45.0561&amp;zoom=12#map=12/32.912/45.0561","Maplink1")</f>
        <v>Maplink1</v>
      </c>
      <c r="AV3644" s="14" t="str">
        <f>HYPERLINK("https://www.google.iq/maps/search/+32.912,45.0561/@32.912,45.0561,14z?hl=en","Maplink2")</f>
        <v>Maplink2</v>
      </c>
      <c r="AW3644" s="14" t="str">
        <f>HYPERLINK("http://www.bing.com/maps/?lvl=14&amp;sty=h&amp;cp=32.912~45.0561&amp;sp=point.32.912_45.0561_Hay Al-Oroba 1","Maplink3")</f>
        <v>Maplink3</v>
      </c>
    </row>
    <row r="3645" spans="1:49" x14ac:dyDescent="0.25">
      <c r="A3645" s="21">
        <v>24839</v>
      </c>
      <c r="B3645" s="22" t="s">
        <v>26</v>
      </c>
      <c r="C3645" s="22" t="s">
        <v>7025</v>
      </c>
      <c r="D3645" s="22" t="s">
        <v>7084</v>
      </c>
      <c r="E3645" s="22" t="s">
        <v>7085</v>
      </c>
      <c r="F3645" s="22">
        <v>32.907913829599998</v>
      </c>
      <c r="G3645" s="22">
        <v>45.052621889900003</v>
      </c>
      <c r="H3645" s="21" t="s">
        <v>7028</v>
      </c>
      <c r="I3645" s="21" t="s">
        <v>7029</v>
      </c>
      <c r="J3645" s="21"/>
      <c r="K3645" s="24">
        <v>23</v>
      </c>
      <c r="L3645" s="24">
        <v>138</v>
      </c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23</v>
      </c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>
        <v>23</v>
      </c>
      <c r="AL3645" s="23"/>
      <c r="AM3645" s="23"/>
      <c r="AN3645" s="23"/>
      <c r="AO3645" s="23"/>
      <c r="AP3645" s="23">
        <v>23</v>
      </c>
      <c r="AQ3645" s="23"/>
      <c r="AR3645" s="23"/>
      <c r="AS3645" s="23"/>
      <c r="AT3645" s="23"/>
      <c r="AU3645" s="14" t="str">
        <f>HYPERLINK("http://www.openstreetmap.org/?mlat=32.911&amp;mlon=45.0536&amp;zoom=12#map=12/32.911/45.0536","Maplink1")</f>
        <v>Maplink1</v>
      </c>
      <c r="AV3645" s="14" t="str">
        <f>HYPERLINK("https://www.google.iq/maps/search/+32.911,45.0536/@32.911,45.0536,14z?hl=en","Maplink2")</f>
        <v>Maplink2</v>
      </c>
      <c r="AW3645" s="14" t="str">
        <f>HYPERLINK("http://www.bing.com/maps/?lvl=14&amp;sty=h&amp;cp=32.911~45.0536&amp;sp=point.32.911_45.0536_Hay Al-Oroba 2","Maplink3")</f>
        <v>Maplink3</v>
      </c>
    </row>
    <row r="3646" spans="1:49" x14ac:dyDescent="0.25">
      <c r="A3646" s="21">
        <v>24843</v>
      </c>
      <c r="B3646" s="22" t="s">
        <v>26</v>
      </c>
      <c r="C3646" s="22" t="s">
        <v>7025</v>
      </c>
      <c r="D3646" s="22" t="s">
        <v>7086</v>
      </c>
      <c r="E3646" s="22" t="s">
        <v>7087</v>
      </c>
      <c r="F3646" s="22">
        <v>32.916599713399997</v>
      </c>
      <c r="G3646" s="22">
        <v>45.050712516300003</v>
      </c>
      <c r="H3646" s="21" t="s">
        <v>7028</v>
      </c>
      <c r="I3646" s="21" t="s">
        <v>7029</v>
      </c>
      <c r="J3646" s="21"/>
      <c r="K3646" s="24">
        <v>22</v>
      </c>
      <c r="L3646" s="24">
        <v>132</v>
      </c>
      <c r="M3646" s="23">
        <v>2</v>
      </c>
      <c r="N3646" s="23"/>
      <c r="O3646" s="23"/>
      <c r="P3646" s="23"/>
      <c r="Q3646" s="23"/>
      <c r="R3646" s="23">
        <v>1</v>
      </c>
      <c r="S3646" s="23"/>
      <c r="T3646" s="23"/>
      <c r="U3646" s="23"/>
      <c r="V3646" s="23"/>
      <c r="W3646" s="23"/>
      <c r="X3646" s="23"/>
      <c r="Y3646" s="23">
        <v>19</v>
      </c>
      <c r="Z3646" s="23"/>
      <c r="AA3646" s="23"/>
      <c r="AB3646" s="23"/>
      <c r="AC3646" s="23"/>
      <c r="AD3646" s="23"/>
      <c r="AE3646" s="23"/>
      <c r="AF3646" s="23"/>
      <c r="AG3646" s="23"/>
      <c r="AH3646" s="23"/>
      <c r="AI3646" s="23"/>
      <c r="AJ3646" s="23"/>
      <c r="AK3646" s="23">
        <v>22</v>
      </c>
      <c r="AL3646" s="23"/>
      <c r="AM3646" s="23"/>
      <c r="AN3646" s="23"/>
      <c r="AO3646" s="23"/>
      <c r="AP3646" s="23">
        <v>19</v>
      </c>
      <c r="AQ3646" s="23">
        <v>1</v>
      </c>
      <c r="AR3646" s="23"/>
      <c r="AS3646" s="23">
        <v>2</v>
      </c>
      <c r="AT3646" s="23"/>
      <c r="AU3646" s="14" t="str">
        <f>HYPERLINK("http://www.openstreetmap.org/?mlat=32.8973&amp;mlon=45.0786&amp;zoom=12#map=12/32.8973/45.0786","Maplink1")</f>
        <v>Maplink1</v>
      </c>
      <c r="AV3646" s="14" t="str">
        <f>HYPERLINK("https://www.google.iq/maps/search/+32.8973,45.0786/@32.8973,45.0786,14z?hl=en","Maplink2")</f>
        <v>Maplink2</v>
      </c>
      <c r="AW3646" s="14" t="str">
        <f>HYPERLINK("http://www.bing.com/maps/?lvl=14&amp;sty=h&amp;cp=32.8973~45.0786&amp;sp=point.32.8973_45.0786_Hay Fadek","Maplink3")</f>
        <v>Maplink3</v>
      </c>
    </row>
    <row r="3647" spans="1:49" x14ac:dyDescent="0.25">
      <c r="A3647" s="21">
        <v>24864</v>
      </c>
      <c r="B3647" s="22" t="s">
        <v>26</v>
      </c>
      <c r="C3647" s="22" t="s">
        <v>7025</v>
      </c>
      <c r="D3647" s="22" t="s">
        <v>7088</v>
      </c>
      <c r="E3647" s="22" t="s">
        <v>7089</v>
      </c>
      <c r="F3647" s="22">
        <v>32.772468645300002</v>
      </c>
      <c r="G3647" s="22">
        <v>45.207013621400002</v>
      </c>
      <c r="H3647" s="21" t="s">
        <v>7028</v>
      </c>
      <c r="I3647" s="21" t="s">
        <v>7029</v>
      </c>
      <c r="J3647" s="21"/>
      <c r="K3647" s="24">
        <v>6</v>
      </c>
      <c r="L3647" s="24">
        <v>36</v>
      </c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>
        <v>6</v>
      </c>
      <c r="Z3647" s="23"/>
      <c r="AA3647" s="23"/>
      <c r="AB3647" s="23"/>
      <c r="AC3647" s="23"/>
      <c r="AD3647" s="23"/>
      <c r="AE3647" s="23"/>
      <c r="AF3647" s="23">
        <v>6</v>
      </c>
      <c r="AG3647" s="23"/>
      <c r="AH3647" s="23"/>
      <c r="AI3647" s="23"/>
      <c r="AJ3647" s="23"/>
      <c r="AK3647" s="23"/>
      <c r="AL3647" s="23"/>
      <c r="AM3647" s="23"/>
      <c r="AN3647" s="23"/>
      <c r="AO3647" s="23"/>
      <c r="AP3647" s="23"/>
      <c r="AQ3647" s="23">
        <v>6</v>
      </c>
      <c r="AR3647" s="23"/>
      <c r="AS3647" s="23"/>
      <c r="AT3647" s="23"/>
      <c r="AU3647" s="14" t="str">
        <f>HYPERLINK("http://www.openstreetmap.org/?mlat=32.7577&amp;mlon=45.2928&amp;zoom=12#map=12/32.7577/45.2928","Maplink1")</f>
        <v>Maplink1</v>
      </c>
      <c r="AV3647" s="14" t="str">
        <f>HYPERLINK("https://www.google.iq/maps/search/+32.7577,45.2928/@32.7577,45.2928,14z?hl=en","Maplink2")</f>
        <v>Maplink2</v>
      </c>
      <c r="AW3647" s="14" t="str">
        <f>HYPERLINK("http://www.bing.com/maps/?lvl=14&amp;sty=h&amp;cp=32.7577~45.2928&amp;sp=point.32.7577_45.2928_Saloomi village","Maplink3")</f>
        <v>Maplink3</v>
      </c>
    </row>
    <row r="3648" spans="1:49" x14ac:dyDescent="0.25">
      <c r="A3648" s="21">
        <v>24874</v>
      </c>
      <c r="B3648" s="22" t="s">
        <v>26</v>
      </c>
      <c r="C3648" s="22" t="s">
        <v>7025</v>
      </c>
      <c r="D3648" s="22" t="s">
        <v>7090</v>
      </c>
      <c r="E3648" s="22" t="s">
        <v>7091</v>
      </c>
      <c r="F3648" s="22">
        <v>32.75242308</v>
      </c>
      <c r="G3648" s="22">
        <v>45.295756332700002</v>
      </c>
      <c r="H3648" s="21" t="s">
        <v>7028</v>
      </c>
      <c r="I3648" s="21" t="s">
        <v>7029</v>
      </c>
      <c r="J3648" s="21"/>
      <c r="K3648" s="24">
        <v>4</v>
      </c>
      <c r="L3648" s="24">
        <v>24</v>
      </c>
      <c r="M3648" s="23"/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>
        <v>4</v>
      </c>
      <c r="Z3648" s="23"/>
      <c r="AA3648" s="23"/>
      <c r="AB3648" s="23"/>
      <c r="AC3648" s="23"/>
      <c r="AD3648" s="23"/>
      <c r="AE3648" s="23"/>
      <c r="AF3648" s="23">
        <v>4</v>
      </c>
      <c r="AG3648" s="23"/>
      <c r="AH3648" s="23"/>
      <c r="AI3648" s="23"/>
      <c r="AJ3648" s="23"/>
      <c r="AK3648" s="23"/>
      <c r="AL3648" s="23"/>
      <c r="AM3648" s="23"/>
      <c r="AN3648" s="23"/>
      <c r="AO3648" s="23"/>
      <c r="AP3648" s="23"/>
      <c r="AQ3648" s="23">
        <v>4</v>
      </c>
      <c r="AR3648" s="23"/>
      <c r="AS3648" s="23"/>
      <c r="AT3648" s="23"/>
      <c r="AU3648" s="14" t="str">
        <f>HYPERLINK("http://www.openstreetmap.org/?mlat=32.7793&amp;mlon=45.2165&amp;zoom=12#map=12/32.7793/45.2165","Maplink1")</f>
        <v>Maplink1</v>
      </c>
      <c r="AV3648" s="14" t="str">
        <f>HYPERLINK("https://www.google.iq/maps/search/+32.7793,45.2165/@32.7793,45.2165,14z?hl=en","Maplink2")</f>
        <v>Maplink2</v>
      </c>
      <c r="AW3648" s="14" t="str">
        <f>HYPERLINK("http://www.bing.com/maps/?lvl=14&amp;sty=h&amp;cp=32.7793~45.2165&amp;sp=point.32.7793_45.2165_Tabaruk village","Maplink3")</f>
        <v>Maplink3</v>
      </c>
    </row>
    <row r="3649" spans="1:49" x14ac:dyDescent="0.25">
      <c r="A3649" s="21">
        <v>19442</v>
      </c>
      <c r="B3649" s="22" t="s">
        <v>26</v>
      </c>
      <c r="C3649" s="22" t="s">
        <v>7025</v>
      </c>
      <c r="D3649" s="22" t="s">
        <v>7092</v>
      </c>
      <c r="E3649" s="22" t="s">
        <v>7093</v>
      </c>
      <c r="F3649" s="22">
        <v>32.985165729499997</v>
      </c>
      <c r="G3649" s="22">
        <v>44.858002588700003</v>
      </c>
      <c r="H3649" s="21" t="s">
        <v>7028</v>
      </c>
      <c r="I3649" s="21" t="s">
        <v>7029</v>
      </c>
      <c r="J3649" s="21" t="s">
        <v>7094</v>
      </c>
      <c r="K3649" s="24">
        <v>22</v>
      </c>
      <c r="L3649" s="24">
        <v>132</v>
      </c>
      <c r="M3649" s="23">
        <v>20</v>
      </c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>
        <v>2</v>
      </c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/>
      <c r="AK3649" s="23">
        <v>22</v>
      </c>
      <c r="AL3649" s="23"/>
      <c r="AM3649" s="23"/>
      <c r="AN3649" s="23"/>
      <c r="AO3649" s="23"/>
      <c r="AP3649" s="23">
        <v>2</v>
      </c>
      <c r="AQ3649" s="23"/>
      <c r="AR3649" s="23"/>
      <c r="AS3649" s="23">
        <v>20</v>
      </c>
      <c r="AT3649" s="23"/>
      <c r="AU3649" s="14" t="str">
        <f>HYPERLINK("http://www.openstreetmap.org/?mlat=32.9872&amp;mlon=44.8442&amp;zoom=12#map=12/32.9872/44.8442","Maplink1")</f>
        <v>Maplink1</v>
      </c>
      <c r="AV3649" s="14" t="str">
        <f>HYPERLINK("https://www.google.iq/maps/search/+32.9872,44.8442/@32.9872,44.8442,14z?hl=en","Maplink2")</f>
        <v>Maplink2</v>
      </c>
      <c r="AW3649" s="14" t="str">
        <f>HYPERLINK("http://www.bing.com/maps/?lvl=14&amp;sty=h&amp;cp=32.9872~44.8442&amp;sp=point.32.9872_44.8442_Taj al-dien","Maplink3")</f>
        <v>Maplink3</v>
      </c>
    </row>
    <row r="3650" spans="1:49" x14ac:dyDescent="0.25">
      <c r="A3650" s="21">
        <v>24967</v>
      </c>
      <c r="B3650" s="22" t="s">
        <v>26</v>
      </c>
      <c r="C3650" s="22" t="s">
        <v>7025</v>
      </c>
      <c r="D3650" s="22" t="s">
        <v>7095</v>
      </c>
      <c r="E3650" s="22" t="s">
        <v>7096</v>
      </c>
      <c r="F3650" s="22">
        <v>32.987223906399997</v>
      </c>
      <c r="G3650" s="22">
        <v>44.843933173800004</v>
      </c>
      <c r="H3650" s="21" t="s">
        <v>7028</v>
      </c>
      <c r="I3650" s="21" t="s">
        <v>7029</v>
      </c>
      <c r="J3650" s="21"/>
      <c r="K3650" s="24">
        <v>10</v>
      </c>
      <c r="L3650" s="24">
        <v>60</v>
      </c>
      <c r="M3650" s="23"/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10</v>
      </c>
      <c r="Z3650" s="23"/>
      <c r="AA3650" s="23"/>
      <c r="AB3650" s="23"/>
      <c r="AC3650" s="23"/>
      <c r="AD3650" s="23"/>
      <c r="AE3650" s="23"/>
      <c r="AF3650" s="23">
        <v>10</v>
      </c>
      <c r="AG3650" s="23"/>
      <c r="AH3650" s="23"/>
      <c r="AI3650" s="23"/>
      <c r="AJ3650" s="23"/>
      <c r="AK3650" s="23"/>
      <c r="AL3650" s="23"/>
      <c r="AM3650" s="23"/>
      <c r="AN3650" s="23"/>
      <c r="AO3650" s="23"/>
      <c r="AP3650" s="23">
        <v>10</v>
      </c>
      <c r="AQ3650" s="23"/>
      <c r="AR3650" s="23"/>
      <c r="AS3650" s="23"/>
      <c r="AT3650" s="23"/>
      <c r="AU3650" s="14" t="str">
        <f>HYPERLINK("http://www.openstreetmap.org/?mlat=32.9927&amp;mlon=44.7647&amp;zoom=12#map=12/32.9927/44.7647","Maplink1")</f>
        <v>Maplink1</v>
      </c>
      <c r="AV3650" s="14" t="str">
        <f>HYPERLINK("https://www.google.iq/maps/search/+32.9927,44.7647/@32.9927,44.7647,14z?hl=en","Maplink2")</f>
        <v>Maplink2</v>
      </c>
      <c r="AW3650" s="14" t="str">
        <f>HYPERLINK("http://www.bing.com/maps/?lvl=14&amp;sty=h&amp;cp=32.9927~44.7647&amp;sp=point.32.9927_44.7647_Taj al-dien center 1","Maplink3")</f>
        <v>Maplink3</v>
      </c>
    </row>
    <row r="3651" spans="1:49" x14ac:dyDescent="0.25">
      <c r="A3651" s="21">
        <v>19464</v>
      </c>
      <c r="B3651" s="22" t="s">
        <v>26</v>
      </c>
      <c r="C3651" s="22" t="s">
        <v>7025</v>
      </c>
      <c r="D3651" s="22" t="s">
        <v>7097</v>
      </c>
      <c r="E3651" s="22" t="s">
        <v>7098</v>
      </c>
      <c r="F3651" s="22">
        <v>32.944038006299998</v>
      </c>
      <c r="G3651" s="22">
        <v>44.933898945099997</v>
      </c>
      <c r="H3651" s="21" t="s">
        <v>7028</v>
      </c>
      <c r="I3651" s="21" t="s">
        <v>7029</v>
      </c>
      <c r="J3651" s="21" t="s">
        <v>7099</v>
      </c>
      <c r="K3651" s="24">
        <v>6</v>
      </c>
      <c r="L3651" s="24">
        <v>36</v>
      </c>
      <c r="M3651" s="23"/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6</v>
      </c>
      <c r="Z3651" s="23"/>
      <c r="AA3651" s="23"/>
      <c r="AB3651" s="23"/>
      <c r="AC3651" s="23"/>
      <c r="AD3651" s="23"/>
      <c r="AE3651" s="23"/>
      <c r="AF3651" s="23">
        <v>6</v>
      </c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>
        <v>6</v>
      </c>
      <c r="AQ3651" s="23"/>
      <c r="AR3651" s="23"/>
      <c r="AS3651" s="23"/>
      <c r="AT3651" s="23"/>
      <c r="AU3651" s="14" t="str">
        <f>HYPERLINK("http://www.openstreetmap.org/?mlat=33.062&amp;mlon=44.7644&amp;zoom=12#map=12/33.062/44.7644","Maplink1")</f>
        <v>Maplink1</v>
      </c>
      <c r="AV3651" s="14" t="str">
        <f>HYPERLINK("https://www.google.iq/maps/search/+33.062,44.7644/@33.062,44.7644,14z?hl=en","Maplink2")</f>
        <v>Maplink2</v>
      </c>
      <c r="AW3651" s="14" t="str">
        <f>HYPERLINK("http://www.bing.com/maps/?lvl=14&amp;sty=h&amp;cp=33.062~44.7644&amp;sp=point.33.062_44.7644_Tuliha","Maplink3")</f>
        <v>Maplink3</v>
      </c>
    </row>
    <row r="3652" spans="1:49" x14ac:dyDescent="0.25">
      <c r="A3652" s="21">
        <v>24865</v>
      </c>
      <c r="B3652" s="22" t="s">
        <v>26</v>
      </c>
      <c r="C3652" s="22" t="s">
        <v>7025</v>
      </c>
      <c r="D3652" s="22" t="s">
        <v>7100</v>
      </c>
      <c r="E3652" s="22" t="s">
        <v>7101</v>
      </c>
      <c r="F3652" s="22">
        <v>32.939868736400001</v>
      </c>
      <c r="G3652" s="22">
        <v>44.951150950399999</v>
      </c>
      <c r="H3652" s="21" t="s">
        <v>7028</v>
      </c>
      <c r="I3652" s="21" t="s">
        <v>7029</v>
      </c>
      <c r="J3652" s="21"/>
      <c r="K3652" s="24">
        <v>3</v>
      </c>
      <c r="L3652" s="24">
        <v>18</v>
      </c>
      <c r="M3652" s="23"/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>
        <v>3</v>
      </c>
      <c r="Z3652" s="23"/>
      <c r="AA3652" s="23"/>
      <c r="AB3652" s="23"/>
      <c r="AC3652" s="23"/>
      <c r="AD3652" s="23"/>
      <c r="AE3652" s="23"/>
      <c r="AF3652" s="23">
        <v>3</v>
      </c>
      <c r="AG3652" s="23"/>
      <c r="AH3652" s="23"/>
      <c r="AI3652" s="23"/>
      <c r="AJ3652" s="23"/>
      <c r="AK3652" s="23"/>
      <c r="AL3652" s="23"/>
      <c r="AM3652" s="23"/>
      <c r="AN3652" s="23"/>
      <c r="AO3652" s="23"/>
      <c r="AP3652" s="23"/>
      <c r="AQ3652" s="23">
        <v>3</v>
      </c>
      <c r="AR3652" s="23"/>
      <c r="AS3652" s="23"/>
      <c r="AT3652" s="23"/>
      <c r="AU3652" s="14" t="str">
        <f>HYPERLINK("http://www.openstreetmap.org/?mlat=32.7416&amp;mlon=45.3053&amp;zoom=12#map=12/32.7416/45.3053","Maplink1")</f>
        <v>Maplink1</v>
      </c>
      <c r="AV3652" s="14" t="str">
        <f>HYPERLINK("https://www.google.iq/maps/search/+32.7416,45.3053/@32.7416,45.3053,14z?hl=en","Maplink2")</f>
        <v>Maplink2</v>
      </c>
      <c r="AW3652" s="14" t="str">
        <f>HYPERLINK("http://www.bing.com/maps/?lvl=14&amp;sty=h&amp;cp=32.7416~45.3053&amp;sp=point.32.7416_45.3053_Utba Al-Kawaled Village","Maplink3")</f>
        <v>Maplink3</v>
      </c>
    </row>
    <row r="3653" spans="1:49" x14ac:dyDescent="0.25">
      <c r="A3653" s="21">
        <v>19509</v>
      </c>
      <c r="B3653" s="22" t="s">
        <v>26</v>
      </c>
      <c r="C3653" s="22" t="s">
        <v>7102</v>
      </c>
      <c r="D3653" s="22" t="s">
        <v>9195</v>
      </c>
      <c r="E3653" s="22" t="s">
        <v>7103</v>
      </c>
      <c r="F3653" s="22">
        <v>32.124803545299997</v>
      </c>
      <c r="G3653" s="22">
        <v>46.115657187300002</v>
      </c>
      <c r="H3653" s="21" t="s">
        <v>7028</v>
      </c>
      <c r="I3653" s="21" t="s">
        <v>7104</v>
      </c>
      <c r="J3653" s="21" t="s">
        <v>7105</v>
      </c>
      <c r="K3653" s="24">
        <v>13</v>
      </c>
      <c r="L3653" s="24">
        <v>78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>
        <v>13</v>
      </c>
      <c r="Z3653" s="23"/>
      <c r="AA3653" s="23"/>
      <c r="AB3653" s="23"/>
      <c r="AC3653" s="23"/>
      <c r="AD3653" s="23"/>
      <c r="AE3653" s="23"/>
      <c r="AF3653" s="23">
        <v>3</v>
      </c>
      <c r="AG3653" s="23"/>
      <c r="AH3653" s="23"/>
      <c r="AI3653" s="23"/>
      <c r="AJ3653" s="23"/>
      <c r="AK3653" s="23">
        <v>8</v>
      </c>
      <c r="AL3653" s="23"/>
      <c r="AM3653" s="23">
        <v>2</v>
      </c>
      <c r="AN3653" s="23"/>
      <c r="AO3653" s="23"/>
      <c r="AP3653" s="23"/>
      <c r="AQ3653" s="23"/>
      <c r="AR3653" s="23">
        <v>13</v>
      </c>
      <c r="AS3653" s="23"/>
      <c r="AT3653" s="23"/>
      <c r="AU3653" s="14" t="str">
        <f>HYPERLINK("http://www.openstreetmap.org/?mlat=32.1&amp;mlon=46.02&amp;zoom=12#map=12/32.1/46.02","Maplink1")</f>
        <v>Maplink1</v>
      </c>
      <c r="AV3653" s="14" t="str">
        <f>HYPERLINK("https://www.google.iq/maps/search/+32.1,46.02/@32.1,46.02,14z?hl=en","Maplink2")</f>
        <v>Maplink2</v>
      </c>
      <c r="AW3653" s="14" t="str">
        <f>HYPERLINK("http://www.bing.com/maps/?lvl=14&amp;sty=h&amp;cp=32.1~46.02&amp;sp=point.32.1_46.02_Al Bashaer","Maplink3")</f>
        <v>Maplink3</v>
      </c>
    </row>
    <row r="3654" spans="1:49" x14ac:dyDescent="0.25">
      <c r="A3654" s="21">
        <v>25323</v>
      </c>
      <c r="B3654" s="22" t="s">
        <v>26</v>
      </c>
      <c r="C3654" s="22" t="s">
        <v>7102</v>
      </c>
      <c r="D3654" s="22" t="s">
        <v>7106</v>
      </c>
      <c r="E3654" s="22" t="s">
        <v>7107</v>
      </c>
      <c r="F3654" s="22">
        <v>32.125342529199997</v>
      </c>
      <c r="G3654" s="22">
        <v>46.113755203099998</v>
      </c>
      <c r="H3654" s="21" t="s">
        <v>7028</v>
      </c>
      <c r="I3654" s="21" t="s">
        <v>7104</v>
      </c>
      <c r="J3654" s="21"/>
      <c r="K3654" s="24">
        <v>2</v>
      </c>
      <c r="L3654" s="24">
        <v>12</v>
      </c>
      <c r="M3654" s="23"/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>
        <v>2</v>
      </c>
      <c r="Z3654" s="23"/>
      <c r="AA3654" s="23"/>
      <c r="AB3654" s="23"/>
      <c r="AC3654" s="23"/>
      <c r="AD3654" s="23"/>
      <c r="AE3654" s="23"/>
      <c r="AF3654" s="23">
        <v>2</v>
      </c>
      <c r="AG3654" s="23"/>
      <c r="AH3654" s="23"/>
      <c r="AI3654" s="23"/>
      <c r="AJ3654" s="23"/>
      <c r="AK3654" s="23"/>
      <c r="AL3654" s="23"/>
      <c r="AM3654" s="23"/>
      <c r="AN3654" s="23"/>
      <c r="AO3654" s="23"/>
      <c r="AP3654" s="23">
        <v>2</v>
      </c>
      <c r="AQ3654" s="23"/>
      <c r="AR3654" s="23"/>
      <c r="AS3654" s="23"/>
      <c r="AT3654" s="23"/>
      <c r="AU3654" s="14" t="str">
        <f>HYPERLINK("http://www.openstreetmap.org/?mlat=32.127&amp;mlon=46.1206&amp;zoom=12#map=12/32.127/46.1206","Maplink1")</f>
        <v>Maplink1</v>
      </c>
      <c r="AV3654" s="14" t="str">
        <f>HYPERLINK("https://www.google.iq/maps/search/+32.127,46.1206/@32.127,46.1206,14z?hl=en","Maplink2")</f>
        <v>Maplink2</v>
      </c>
      <c r="AW3654" s="14" t="str">
        <f>HYPERLINK("http://www.bing.com/maps/?lvl=14&amp;sty=h&amp;cp=32.127~46.1206&amp;sp=point.32.127_46.1206_Al Bashaer-Al-Muntadhar Village","Maplink3")</f>
        <v>Maplink3</v>
      </c>
    </row>
    <row r="3655" spans="1:49" x14ac:dyDescent="0.25">
      <c r="A3655" s="21">
        <v>25324</v>
      </c>
      <c r="B3655" s="22" t="s">
        <v>26</v>
      </c>
      <c r="C3655" s="22" t="s">
        <v>7102</v>
      </c>
      <c r="D3655" s="22" t="s">
        <v>7108</v>
      </c>
      <c r="E3655" s="22" t="s">
        <v>8134</v>
      </c>
      <c r="F3655" s="22">
        <v>32.1279727521</v>
      </c>
      <c r="G3655" s="22">
        <v>46.105556424200003</v>
      </c>
      <c r="H3655" s="21" t="s">
        <v>7028</v>
      </c>
      <c r="I3655" s="21" t="s">
        <v>7104</v>
      </c>
      <c r="J3655" s="21"/>
      <c r="K3655" s="24">
        <v>6</v>
      </c>
      <c r="L3655" s="24">
        <v>36</v>
      </c>
      <c r="M3655" s="23"/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>
        <v>6</v>
      </c>
      <c r="Z3655" s="23"/>
      <c r="AA3655" s="23"/>
      <c r="AB3655" s="23"/>
      <c r="AC3655" s="23"/>
      <c r="AD3655" s="23"/>
      <c r="AE3655" s="23"/>
      <c r="AF3655" s="23">
        <v>6</v>
      </c>
      <c r="AG3655" s="23"/>
      <c r="AH3655" s="23"/>
      <c r="AI3655" s="23"/>
      <c r="AJ3655" s="23"/>
      <c r="AK3655" s="23"/>
      <c r="AL3655" s="23"/>
      <c r="AM3655" s="23"/>
      <c r="AN3655" s="23"/>
      <c r="AO3655" s="23"/>
      <c r="AP3655" s="23">
        <v>6</v>
      </c>
      <c r="AQ3655" s="23"/>
      <c r="AR3655" s="23"/>
      <c r="AS3655" s="23"/>
      <c r="AT3655" s="23"/>
      <c r="AU3655" s="14" t="str">
        <f>HYPERLINK("http://www.openstreetmap.org/?mlat=32.1245&amp;mlon=46.115&amp;zoom=12#map=12/32.1245/46.115","Maplink1")</f>
        <v>Maplink1</v>
      </c>
      <c r="AV3655" s="14" t="str">
        <f>HYPERLINK("https://www.google.iq/maps/search/+32.1245,46.115/@32.1245,46.115,14z?hl=en","Maplink2")</f>
        <v>Maplink2</v>
      </c>
      <c r="AW3655" s="14" t="str">
        <f>HYPERLINK("http://www.bing.com/maps/?lvl=14&amp;sty=h&amp;cp=32.1245~46.115&amp;sp=point.32.1245_46.115_Al Bashaer-Al-Qudis 1","Maplink3")</f>
        <v>Maplink3</v>
      </c>
    </row>
    <row r="3656" spans="1:49" x14ac:dyDescent="0.25">
      <c r="A3656" s="21">
        <v>25325</v>
      </c>
      <c r="B3656" s="22" t="s">
        <v>26</v>
      </c>
      <c r="C3656" s="22" t="s">
        <v>7102</v>
      </c>
      <c r="D3656" s="22" t="s">
        <v>7109</v>
      </c>
      <c r="E3656" s="22" t="s">
        <v>8135</v>
      </c>
      <c r="F3656" s="22">
        <v>32.1276099747</v>
      </c>
      <c r="G3656" s="22">
        <v>46.109651578700003</v>
      </c>
      <c r="H3656" s="21" t="s">
        <v>7028</v>
      </c>
      <c r="I3656" s="21" t="s">
        <v>7104</v>
      </c>
      <c r="J3656" s="21"/>
      <c r="K3656" s="24">
        <v>14</v>
      </c>
      <c r="L3656" s="24">
        <v>84</v>
      </c>
      <c r="M3656" s="23"/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>
        <v>14</v>
      </c>
      <c r="Z3656" s="23"/>
      <c r="AA3656" s="23"/>
      <c r="AB3656" s="23"/>
      <c r="AC3656" s="23"/>
      <c r="AD3656" s="23"/>
      <c r="AE3656" s="23"/>
      <c r="AF3656" s="23">
        <v>14</v>
      </c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>
        <v>14</v>
      </c>
      <c r="AQ3656" s="23"/>
      <c r="AR3656" s="23"/>
      <c r="AS3656" s="23"/>
      <c r="AT3656" s="23"/>
      <c r="AU3656" s="14" t="str">
        <f>HYPERLINK("http://www.openstreetmap.org/?mlat=32.1225&amp;mlon=46.1189&amp;zoom=12#map=12/32.1225/46.1189","Maplink1")</f>
        <v>Maplink1</v>
      </c>
      <c r="AV3656" s="14" t="str">
        <f>HYPERLINK("https://www.google.iq/maps/search/+32.1225,46.1189/@32.1225,46.1189,14z?hl=en","Maplink2")</f>
        <v>Maplink2</v>
      </c>
      <c r="AW3656" s="14" t="str">
        <f>HYPERLINK("http://www.bing.com/maps/?lvl=14&amp;sty=h&amp;cp=32.1225~46.1189&amp;sp=point.32.1225_46.1189_Al Bashaer-Al-Qudis 2","Maplink3")</f>
        <v>Maplink3</v>
      </c>
    </row>
    <row r="3657" spans="1:49" x14ac:dyDescent="0.25">
      <c r="A3657" s="21">
        <v>18593</v>
      </c>
      <c r="B3657" s="22" t="s">
        <v>26</v>
      </c>
      <c r="C3657" s="22" t="s">
        <v>7102</v>
      </c>
      <c r="D3657" s="22" t="s">
        <v>7110</v>
      </c>
      <c r="E3657" s="22" t="s">
        <v>7111</v>
      </c>
      <c r="F3657" s="22">
        <v>32.2675850595</v>
      </c>
      <c r="G3657" s="22">
        <v>45.929795487100002</v>
      </c>
      <c r="H3657" s="21" t="s">
        <v>7028</v>
      </c>
      <c r="I3657" s="21" t="s">
        <v>7104</v>
      </c>
      <c r="J3657" s="21" t="s">
        <v>7112</v>
      </c>
      <c r="K3657" s="24">
        <v>25</v>
      </c>
      <c r="L3657" s="24">
        <v>150</v>
      </c>
      <c r="M3657" s="23"/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>
        <v>25</v>
      </c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/>
      <c r="AL3657" s="23"/>
      <c r="AM3657" s="23">
        <v>25</v>
      </c>
      <c r="AN3657" s="23"/>
      <c r="AO3657" s="23"/>
      <c r="AP3657" s="23">
        <v>25</v>
      </c>
      <c r="AQ3657" s="23"/>
      <c r="AR3657" s="23"/>
      <c r="AS3657" s="23"/>
      <c r="AT3657" s="23"/>
      <c r="AU3657" s="14" t="str">
        <f>HYPERLINK("http://www.openstreetmap.org/?mlat=32.26&amp;mlon=45.93&amp;zoom=12#map=12/32.26/45.93","Maplink1")</f>
        <v>Maplink1</v>
      </c>
      <c r="AV3657" s="14" t="str">
        <f>HYPERLINK("https://www.google.iq/maps/search/+32.26,45.93/@32.26,45.93,14z?hl=en","Maplink2")</f>
        <v>Maplink2</v>
      </c>
      <c r="AW3657" s="14" t="str">
        <f>HYPERLINK("http://www.bing.com/maps/?lvl=14&amp;sty=h&amp;cp=32.26~45.93&amp;sp=point.32.26_45.93_Al Muwaffaqiyah","Maplink3")</f>
        <v>Maplink3</v>
      </c>
    </row>
    <row r="3658" spans="1:49" x14ac:dyDescent="0.25">
      <c r="A3658" s="21">
        <v>25579</v>
      </c>
      <c r="B3658" s="22" t="s">
        <v>26</v>
      </c>
      <c r="C3658" s="22" t="s">
        <v>7102</v>
      </c>
      <c r="D3658" s="22" t="s">
        <v>7113</v>
      </c>
      <c r="E3658" s="22" t="s">
        <v>7114</v>
      </c>
      <c r="F3658" s="22">
        <v>32.183897890399997</v>
      </c>
      <c r="G3658" s="22">
        <v>46.038032563100003</v>
      </c>
      <c r="H3658" s="21" t="s">
        <v>7028</v>
      </c>
      <c r="I3658" s="21" t="s">
        <v>7104</v>
      </c>
      <c r="J3658" s="21"/>
      <c r="K3658" s="24">
        <v>3</v>
      </c>
      <c r="L3658" s="24">
        <v>18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/>
      <c r="Z3658" s="23"/>
      <c r="AA3658" s="23">
        <v>3</v>
      </c>
      <c r="AB3658" s="23"/>
      <c r="AC3658" s="23"/>
      <c r="AD3658" s="23"/>
      <c r="AE3658" s="23"/>
      <c r="AF3658" s="23">
        <v>3</v>
      </c>
      <c r="AG3658" s="23"/>
      <c r="AH3658" s="23"/>
      <c r="AI3658" s="23"/>
      <c r="AJ3658" s="23"/>
      <c r="AK3658" s="23"/>
      <c r="AL3658" s="23"/>
      <c r="AM3658" s="23"/>
      <c r="AN3658" s="23"/>
      <c r="AO3658" s="23"/>
      <c r="AP3658" s="23"/>
      <c r="AQ3658" s="23">
        <v>3</v>
      </c>
      <c r="AR3658" s="23"/>
      <c r="AS3658" s="23"/>
      <c r="AT3658" s="23"/>
      <c r="AU3658" s="14" t="str">
        <f>HYPERLINK("http://www.openstreetmap.org/?mlat=32.1887&amp;mlon=46.0384&amp;zoom=12#map=12/32.1887/46.0384","Maplink1")</f>
        <v>Maplink1</v>
      </c>
      <c r="AV3658" s="14" t="str">
        <f>HYPERLINK("https://www.google.iq/maps/search/+32.1887,46.0384/@32.1887,46.0384,14z?hl=en","Maplink2")</f>
        <v>Maplink2</v>
      </c>
      <c r="AW3658" s="14" t="str">
        <f>HYPERLINK("http://www.bing.com/maps/?lvl=14&amp;sty=h&amp;cp=32.1887~46.0384&amp;sp=point.32.1887_46.0384_Al-Askari Al-Thania","Maplink3")</f>
        <v>Maplink3</v>
      </c>
    </row>
    <row r="3659" spans="1:49" x14ac:dyDescent="0.25">
      <c r="A3659" s="21">
        <v>25580</v>
      </c>
      <c r="B3659" s="22" t="s">
        <v>26</v>
      </c>
      <c r="C3659" s="22" t="s">
        <v>7102</v>
      </c>
      <c r="D3659" s="22" t="s">
        <v>7115</v>
      </c>
      <c r="E3659" s="22" t="s">
        <v>7116</v>
      </c>
      <c r="F3659" s="22">
        <v>32.187507027199999</v>
      </c>
      <c r="G3659" s="22">
        <v>46.036499137299998</v>
      </c>
      <c r="H3659" s="21" t="s">
        <v>7028</v>
      </c>
      <c r="I3659" s="21" t="s">
        <v>7104</v>
      </c>
      <c r="J3659" s="21"/>
      <c r="K3659" s="24">
        <v>13</v>
      </c>
      <c r="L3659" s="24">
        <v>78</v>
      </c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>
        <v>13</v>
      </c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>
        <v>13</v>
      </c>
      <c r="AL3659" s="23"/>
      <c r="AM3659" s="23"/>
      <c r="AN3659" s="23"/>
      <c r="AO3659" s="23"/>
      <c r="AP3659" s="23">
        <v>13</v>
      </c>
      <c r="AQ3659" s="23"/>
      <c r="AR3659" s="23"/>
      <c r="AS3659" s="23"/>
      <c r="AT3659" s="23"/>
      <c r="AU3659" s="14" t="str">
        <f>HYPERLINK("http://www.openstreetmap.org/?mlat=32.1856&amp;mlon=46.0405&amp;zoom=12#map=12/32.1856/46.0405","Maplink1")</f>
        <v>Maplink1</v>
      </c>
      <c r="AV3659" s="14" t="str">
        <f>HYPERLINK("https://www.google.iq/maps/search/+32.1856,46.0405/@32.1856,46.0405,14z?hl=en","Maplink2")</f>
        <v>Maplink2</v>
      </c>
      <c r="AW3659" s="14" t="str">
        <f>HYPERLINK("http://www.bing.com/maps/?lvl=14&amp;sty=h&amp;cp=32.1856~46.0405&amp;sp=point.32.1856_46.0405_Al-Askari Al-Uwla","Maplink3")</f>
        <v>Maplink3</v>
      </c>
    </row>
    <row r="3660" spans="1:49" x14ac:dyDescent="0.25">
      <c r="A3660" s="21">
        <v>18733</v>
      </c>
      <c r="B3660" s="22" t="s">
        <v>26</v>
      </c>
      <c r="C3660" s="22" t="s">
        <v>7102</v>
      </c>
      <c r="D3660" s="22" t="s">
        <v>7119</v>
      </c>
      <c r="E3660" s="22" t="s">
        <v>3209</v>
      </c>
      <c r="F3660" s="22">
        <v>32.176256150100002</v>
      </c>
      <c r="G3660" s="22">
        <v>46.048030211399997</v>
      </c>
      <c r="H3660" s="21" t="s">
        <v>7028</v>
      </c>
      <c r="I3660" s="21" t="s">
        <v>7104</v>
      </c>
      <c r="J3660" s="21" t="s">
        <v>7120</v>
      </c>
      <c r="K3660" s="24">
        <v>17</v>
      </c>
      <c r="L3660" s="24">
        <v>102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>
        <v>17</v>
      </c>
      <c r="Z3660" s="23"/>
      <c r="AA3660" s="23"/>
      <c r="AB3660" s="23"/>
      <c r="AC3660" s="23"/>
      <c r="AD3660" s="23"/>
      <c r="AE3660" s="23"/>
      <c r="AF3660" s="23">
        <v>17</v>
      </c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>
        <v>17</v>
      </c>
      <c r="AQ3660" s="23"/>
      <c r="AR3660" s="23"/>
      <c r="AS3660" s="23"/>
      <c r="AT3660" s="23"/>
      <c r="AU3660" s="14" t="str">
        <f>HYPERLINK("http://www.openstreetmap.org/?mlat=32.1769&amp;mlon=46.0422&amp;zoom=12#map=12/32.1769/46.0422","Maplink1")</f>
        <v>Maplink1</v>
      </c>
      <c r="AV3660" s="14" t="str">
        <f>HYPERLINK("https://www.google.iq/maps/search/+32.1769,46.0422/@32.1769,46.0422,14z?hl=en","Maplink2")</f>
        <v>Maplink2</v>
      </c>
      <c r="AW3660" s="14" t="str">
        <f>HYPERLINK("http://www.bing.com/maps/?lvl=14&amp;sty=h&amp;cp=32.1769~46.0422&amp;sp=point.32.1769_46.0422_Al-hay al-asri","Maplink3")</f>
        <v>Maplink3</v>
      </c>
    </row>
    <row r="3661" spans="1:49" x14ac:dyDescent="0.25">
      <c r="A3661" s="21">
        <v>25576</v>
      </c>
      <c r="B3661" s="22" t="s">
        <v>26</v>
      </c>
      <c r="C3661" s="22" t="s">
        <v>7102</v>
      </c>
      <c r="D3661" s="22" t="s">
        <v>7121</v>
      </c>
      <c r="E3661" s="22" t="s">
        <v>7122</v>
      </c>
      <c r="F3661" s="22">
        <v>32.180539000000003</v>
      </c>
      <c r="G3661" s="22">
        <v>46.04571</v>
      </c>
      <c r="H3661" s="21" t="s">
        <v>7028</v>
      </c>
      <c r="I3661" s="21" t="s">
        <v>7104</v>
      </c>
      <c r="J3661" s="21"/>
      <c r="K3661" s="24">
        <v>4</v>
      </c>
      <c r="L3661" s="24">
        <v>24</v>
      </c>
      <c r="M3661" s="23"/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4</v>
      </c>
      <c r="Z3661" s="23"/>
      <c r="AA3661" s="23"/>
      <c r="AB3661" s="23"/>
      <c r="AC3661" s="23"/>
      <c r="AD3661" s="23"/>
      <c r="AE3661" s="23"/>
      <c r="AF3661" s="23">
        <v>4</v>
      </c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>
        <v>4</v>
      </c>
      <c r="AQ3661" s="23"/>
      <c r="AR3661" s="23"/>
      <c r="AS3661" s="23"/>
      <c r="AT3661" s="23"/>
      <c r="AU3661" s="14" t="str">
        <f>HYPERLINK("http://www.openstreetmap.org/?mlat=32.1805&amp;mlon=46.0457&amp;zoom=12#map=12/32.1805/46.0457","Maplink1")</f>
        <v>Maplink1</v>
      </c>
      <c r="AV3661" s="14" t="str">
        <f>HYPERLINK("https://www.google.iq/maps/search/+32.1805,46.0457/@32.1805,46.0457,14z?hl=en","Maplink2")</f>
        <v>Maplink2</v>
      </c>
      <c r="AW3661" s="14" t="str">
        <f>HYPERLINK("http://www.bing.com/maps/?lvl=14&amp;sty=h&amp;cp=32.1805~46.0457&amp;sp=point.32.1805_46.0457_Al-Hay Al-Asri Al-Thalitha","Maplink3")</f>
        <v>Maplink3</v>
      </c>
    </row>
    <row r="3662" spans="1:49" x14ac:dyDescent="0.25">
      <c r="A3662" s="21">
        <v>25577</v>
      </c>
      <c r="B3662" s="22" t="s">
        <v>26</v>
      </c>
      <c r="C3662" s="22" t="s">
        <v>7102</v>
      </c>
      <c r="D3662" s="22" t="s">
        <v>7123</v>
      </c>
      <c r="E3662" s="22" t="s">
        <v>7124</v>
      </c>
      <c r="F3662" s="22">
        <v>32.181813468599998</v>
      </c>
      <c r="G3662" s="22">
        <v>46.034149954900002</v>
      </c>
      <c r="H3662" s="21" t="s">
        <v>7028</v>
      </c>
      <c r="I3662" s="21" t="s">
        <v>7104</v>
      </c>
      <c r="J3662" s="21"/>
      <c r="K3662" s="24">
        <v>7</v>
      </c>
      <c r="L3662" s="24">
        <v>42</v>
      </c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>
        <v>7</v>
      </c>
      <c r="Z3662" s="23"/>
      <c r="AA3662" s="23"/>
      <c r="AB3662" s="23"/>
      <c r="AC3662" s="23"/>
      <c r="AD3662" s="23"/>
      <c r="AE3662" s="23"/>
      <c r="AF3662" s="23">
        <v>7</v>
      </c>
      <c r="AG3662" s="23"/>
      <c r="AH3662" s="23"/>
      <c r="AI3662" s="23"/>
      <c r="AJ3662" s="23"/>
      <c r="AK3662" s="23"/>
      <c r="AL3662" s="23"/>
      <c r="AM3662" s="23"/>
      <c r="AN3662" s="23"/>
      <c r="AO3662" s="23"/>
      <c r="AP3662" s="23">
        <v>7</v>
      </c>
      <c r="AQ3662" s="23"/>
      <c r="AR3662" s="23"/>
      <c r="AS3662" s="23"/>
      <c r="AT3662" s="23"/>
      <c r="AU3662" s="14" t="str">
        <f>HYPERLINK("http://www.openstreetmap.org/?mlat=32.1844&amp;mlon=46.0336&amp;zoom=12#map=12/32.1844/46.0336","Maplink1")</f>
        <v>Maplink1</v>
      </c>
      <c r="AV3662" s="14" t="str">
        <f>HYPERLINK("https://www.google.iq/maps/search/+32.1844,46.0336/@32.1844,46.0336,14z?hl=en","Maplink2")</f>
        <v>Maplink2</v>
      </c>
      <c r="AW3662" s="14" t="str">
        <f>HYPERLINK("http://www.bing.com/maps/?lvl=14&amp;sty=h&amp;cp=32.1844~46.0336&amp;sp=point.32.1844_46.0336_Al-Hurria Al-Thania","Maplink3")</f>
        <v>Maplink3</v>
      </c>
    </row>
    <row r="3663" spans="1:49" x14ac:dyDescent="0.25">
      <c r="A3663" s="21">
        <v>25583</v>
      </c>
      <c r="B3663" s="22" t="s">
        <v>26</v>
      </c>
      <c r="C3663" s="22" t="s">
        <v>7102</v>
      </c>
      <c r="D3663" s="22" t="s">
        <v>7125</v>
      </c>
      <c r="E3663" s="22" t="s">
        <v>2260</v>
      </c>
      <c r="F3663" s="22">
        <v>32.170436932800001</v>
      </c>
      <c r="G3663" s="22">
        <v>46.050901826699999</v>
      </c>
      <c r="H3663" s="21" t="s">
        <v>7028</v>
      </c>
      <c r="I3663" s="21" t="s">
        <v>7104</v>
      </c>
      <c r="J3663" s="21"/>
      <c r="K3663" s="24">
        <v>4</v>
      </c>
      <c r="L3663" s="24">
        <v>24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4</v>
      </c>
      <c r="Z3663" s="23"/>
      <c r="AA3663" s="23"/>
      <c r="AB3663" s="23"/>
      <c r="AC3663" s="23"/>
      <c r="AD3663" s="23"/>
      <c r="AE3663" s="23"/>
      <c r="AF3663" s="23">
        <v>4</v>
      </c>
      <c r="AG3663" s="23"/>
      <c r="AH3663" s="23"/>
      <c r="AI3663" s="23"/>
      <c r="AJ3663" s="23"/>
      <c r="AK3663" s="23"/>
      <c r="AL3663" s="23"/>
      <c r="AM3663" s="23"/>
      <c r="AN3663" s="23"/>
      <c r="AO3663" s="23"/>
      <c r="AP3663" s="23">
        <v>4</v>
      </c>
      <c r="AQ3663" s="23"/>
      <c r="AR3663" s="23"/>
      <c r="AS3663" s="23"/>
      <c r="AT3663" s="23"/>
      <c r="AU3663" s="14" t="str">
        <f>HYPERLINK("http://www.openstreetmap.org/?mlat=32.1726&amp;mlon=46.043&amp;zoom=12#map=12/32.1726/46.043","Maplink1")</f>
        <v>Maplink1</v>
      </c>
      <c r="AV3663" s="14" t="str">
        <f>HYPERLINK("https://www.google.iq/maps/search/+32.1726,46.043/@32.1726,46.043,14z?hl=en","Maplink2")</f>
        <v>Maplink2</v>
      </c>
      <c r="AW3663" s="14" t="str">
        <f>HYPERLINK("http://www.bing.com/maps/?lvl=14&amp;sty=h&amp;cp=32.1726~46.043&amp;sp=point.32.1726_46.043_Al-Zaiton Neighborhood","Maplink3")</f>
        <v>Maplink3</v>
      </c>
    </row>
    <row r="3664" spans="1:49" x14ac:dyDescent="0.25">
      <c r="A3664" s="21">
        <v>18718</v>
      </c>
      <c r="B3664" s="22" t="s">
        <v>26</v>
      </c>
      <c r="C3664" s="22" t="s">
        <v>7102</v>
      </c>
      <c r="D3664" s="22" t="s">
        <v>9196</v>
      </c>
      <c r="E3664" s="22" t="s">
        <v>7127</v>
      </c>
      <c r="F3664" s="22">
        <v>32.129658957799997</v>
      </c>
      <c r="G3664" s="22">
        <v>46.101437644800001</v>
      </c>
      <c r="H3664" s="21" t="s">
        <v>7028</v>
      </c>
      <c r="I3664" s="21" t="s">
        <v>7104</v>
      </c>
      <c r="J3664" s="21" t="s">
        <v>7128</v>
      </c>
      <c r="K3664" s="24">
        <v>15</v>
      </c>
      <c r="L3664" s="24">
        <v>90</v>
      </c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15</v>
      </c>
      <c r="Z3664" s="23"/>
      <c r="AA3664" s="23"/>
      <c r="AB3664" s="23"/>
      <c r="AC3664" s="23"/>
      <c r="AD3664" s="23"/>
      <c r="AE3664" s="23"/>
      <c r="AF3664" s="23">
        <v>15</v>
      </c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>
        <v>15</v>
      </c>
      <c r="AQ3664" s="23"/>
      <c r="AR3664" s="23"/>
      <c r="AS3664" s="23"/>
      <c r="AT3664" s="23"/>
      <c r="AU3664" s="14" t="str">
        <f>HYPERLINK("http://www.openstreetmap.org/?mlat=32.1258&amp;mlon=46.1177&amp;zoom=12#map=12/32.1258/46.1177","Maplink1")</f>
        <v>Maplink1</v>
      </c>
      <c r="AV3664" s="14" t="str">
        <f>HYPERLINK("https://www.google.iq/maps/search/+32.1258,46.1177/@32.1258,46.1177,14z?hl=en","Maplink2")</f>
        <v>Maplink2</v>
      </c>
      <c r="AW3664" s="14" t="str">
        <f>HYPERLINK("http://www.bing.com/maps/?lvl=14&amp;sty=h&amp;cp=32.1258~46.1177&amp;sp=point.32.1258_46.1177_Hay Al-Imam Al-Sadiq","Maplink3")</f>
        <v>Maplink3</v>
      </c>
    </row>
    <row r="3665" spans="1:49" x14ac:dyDescent="0.25">
      <c r="A3665" s="21">
        <v>24876</v>
      </c>
      <c r="B3665" s="22" t="s">
        <v>26</v>
      </c>
      <c r="C3665" s="22" t="s">
        <v>7102</v>
      </c>
      <c r="D3665" s="22" t="s">
        <v>4996</v>
      </c>
      <c r="E3665" s="22" t="s">
        <v>1098</v>
      </c>
      <c r="F3665" s="22">
        <v>32.269185818899999</v>
      </c>
      <c r="G3665" s="22">
        <v>45.934546955899997</v>
      </c>
      <c r="H3665" s="21" t="s">
        <v>7028</v>
      </c>
      <c r="I3665" s="21" t="s">
        <v>7104</v>
      </c>
      <c r="J3665" s="21"/>
      <c r="K3665" s="24">
        <v>4</v>
      </c>
      <c r="L3665" s="24">
        <v>24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4</v>
      </c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>
        <v>4</v>
      </c>
      <c r="AL3665" s="23"/>
      <c r="AM3665" s="23"/>
      <c r="AN3665" s="23"/>
      <c r="AO3665" s="23"/>
      <c r="AP3665" s="23">
        <v>4</v>
      </c>
      <c r="AQ3665" s="23"/>
      <c r="AR3665" s="23"/>
      <c r="AS3665" s="23"/>
      <c r="AT3665" s="23"/>
      <c r="AU3665" s="14" t="str">
        <f>HYPERLINK("http://www.openstreetmap.org/?mlat=32.2696&amp;mlon=45.934&amp;zoom=12#map=12/32.2696/45.934","Maplink1")</f>
        <v>Maplink1</v>
      </c>
      <c r="AV3665" s="14" t="str">
        <f>HYPERLINK("https://www.google.iq/maps/search/+32.2696,45.934/@32.2696,45.934,14z?hl=en","Maplink2")</f>
        <v>Maplink2</v>
      </c>
      <c r="AW3665" s="14" t="str">
        <f>HYPERLINK("http://www.bing.com/maps/?lvl=14&amp;sty=h&amp;cp=32.2696~45.934&amp;sp=point.32.2696_45.934_Hay Al Ghadeer","Maplink3")</f>
        <v>Maplink3</v>
      </c>
    </row>
    <row r="3666" spans="1:49" x14ac:dyDescent="0.25">
      <c r="A3666" s="21">
        <v>25584</v>
      </c>
      <c r="B3666" s="22" t="s">
        <v>26</v>
      </c>
      <c r="C3666" s="22" t="s">
        <v>7102</v>
      </c>
      <c r="D3666" s="22" t="s">
        <v>7126</v>
      </c>
      <c r="E3666" s="22" t="s">
        <v>7117</v>
      </c>
      <c r="F3666" s="22">
        <v>32.166824720500003</v>
      </c>
      <c r="G3666" s="22">
        <v>46.0396321005</v>
      </c>
      <c r="H3666" s="21" t="s">
        <v>7028</v>
      </c>
      <c r="I3666" s="21" t="s">
        <v>7104</v>
      </c>
      <c r="J3666" s="21"/>
      <c r="K3666" s="24">
        <v>5</v>
      </c>
      <c r="L3666" s="24">
        <v>30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5</v>
      </c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>
        <v>5</v>
      </c>
      <c r="AL3666" s="23"/>
      <c r="AM3666" s="23"/>
      <c r="AN3666" s="23"/>
      <c r="AO3666" s="23"/>
      <c r="AP3666" s="23">
        <v>5</v>
      </c>
      <c r="AQ3666" s="23"/>
      <c r="AR3666" s="23"/>
      <c r="AS3666" s="23"/>
      <c r="AT3666" s="23"/>
      <c r="AU3666" s="14" t="str">
        <f>HYPERLINK("http://www.openstreetmap.org/?mlat=32.1671&amp;mlon=46.0435&amp;zoom=12#map=12/32.1671/46.0435","Maplink1")</f>
        <v>Maplink1</v>
      </c>
      <c r="AV3666" s="14" t="str">
        <f>HYPERLINK("https://www.google.iq/maps/search/+32.1671,46.0435/@32.1671,46.0435,14z?hl=en","Maplink2")</f>
        <v>Maplink2</v>
      </c>
      <c r="AW3666" s="14" t="str">
        <f>HYPERLINK("http://www.bing.com/maps/?lvl=14&amp;sty=h&amp;cp=32.1671~46.0435&amp;sp=point.32.1671_46.0435_Al-hai Hay Al-Imam Al-Sadiq","Maplink3")</f>
        <v>Maplink3</v>
      </c>
    </row>
    <row r="3667" spans="1:49" x14ac:dyDescent="0.25">
      <c r="A3667" s="21">
        <v>18732</v>
      </c>
      <c r="B3667" s="22" t="s">
        <v>26</v>
      </c>
      <c r="C3667" s="22" t="s">
        <v>7102</v>
      </c>
      <c r="D3667" s="22" t="s">
        <v>7129</v>
      </c>
      <c r="E3667" s="22" t="s">
        <v>7130</v>
      </c>
      <c r="F3667" s="22">
        <v>32.1777860885</v>
      </c>
      <c r="G3667" s="22">
        <v>46.030992097099997</v>
      </c>
      <c r="H3667" s="21" t="s">
        <v>7028</v>
      </c>
      <c r="I3667" s="21" t="s">
        <v>7104</v>
      </c>
      <c r="J3667" s="21" t="s">
        <v>7131</v>
      </c>
      <c r="K3667" s="24">
        <v>16</v>
      </c>
      <c r="L3667" s="24">
        <v>96</v>
      </c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16</v>
      </c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>
        <v>16</v>
      </c>
      <c r="AK3667" s="23"/>
      <c r="AL3667" s="23"/>
      <c r="AM3667" s="23"/>
      <c r="AN3667" s="23"/>
      <c r="AO3667" s="23"/>
      <c r="AP3667" s="23">
        <v>16</v>
      </c>
      <c r="AQ3667" s="23"/>
      <c r="AR3667" s="23"/>
      <c r="AS3667" s="23"/>
      <c r="AT3667" s="23"/>
      <c r="AU3667" s="14" t="str">
        <f>HYPERLINK("http://www.openstreetmap.org/?mlat=32.1767&amp;mlon=46.0322&amp;zoom=12#map=12/32.1767/46.0322","Maplink1")</f>
        <v>Maplink1</v>
      </c>
      <c r="AV3667" s="14" t="str">
        <f>HYPERLINK("https://www.google.iq/maps/search/+32.1767,46.0322/@32.1767,46.0322,14z?hl=en","Maplink2")</f>
        <v>Maplink2</v>
      </c>
      <c r="AW3667" s="14" t="str">
        <f>HYPERLINK("http://www.bing.com/maps/?lvl=14&amp;sty=h&amp;cp=32.1767~46.0322&amp;sp=point.32.1767_46.0322_Hay al-muaalimen al-thaniyah","Maplink3")</f>
        <v>Maplink3</v>
      </c>
    </row>
    <row r="3668" spans="1:49" x14ac:dyDescent="0.25">
      <c r="A3668" s="21">
        <v>18686</v>
      </c>
      <c r="B3668" s="22" t="s">
        <v>26</v>
      </c>
      <c r="C3668" s="22" t="s">
        <v>7102</v>
      </c>
      <c r="D3668" s="22" t="s">
        <v>7132</v>
      </c>
      <c r="E3668" s="22" t="s">
        <v>869</v>
      </c>
      <c r="F3668" s="22">
        <v>32.272840588500003</v>
      </c>
      <c r="G3668" s="22">
        <v>45.924100751499999</v>
      </c>
      <c r="H3668" s="21" t="s">
        <v>7028</v>
      </c>
      <c r="I3668" s="21" t="s">
        <v>7104</v>
      </c>
      <c r="J3668" s="21" t="s">
        <v>7133</v>
      </c>
      <c r="K3668" s="24">
        <v>19</v>
      </c>
      <c r="L3668" s="24">
        <v>114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19</v>
      </c>
      <c r="Z3668" s="23"/>
      <c r="AA3668" s="23"/>
      <c r="AB3668" s="23"/>
      <c r="AC3668" s="23"/>
      <c r="AD3668" s="23"/>
      <c r="AE3668" s="23"/>
      <c r="AF3668" s="23">
        <v>19</v>
      </c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>
        <v>19</v>
      </c>
      <c r="AQ3668" s="23"/>
      <c r="AR3668" s="23"/>
      <c r="AS3668" s="23"/>
      <c r="AT3668" s="23"/>
      <c r="AU3668" s="14" t="str">
        <f>HYPERLINK("http://www.openstreetmap.org/?mlat=32.1621&amp;mlon=46.047&amp;zoom=12#map=12/32.1621/46.047","Maplink1")</f>
        <v>Maplink1</v>
      </c>
      <c r="AV3668" s="14" t="str">
        <f>HYPERLINK("https://www.google.iq/maps/search/+32.1621,46.047/@32.1621,46.047,14z?hl=en","Maplink2")</f>
        <v>Maplink2</v>
      </c>
      <c r="AW3668" s="14" t="str">
        <f>HYPERLINK("http://www.bing.com/maps/?lvl=14&amp;sty=h&amp;cp=32.1621~46.047&amp;sp=point.32.1621_46.047_Hay Al-Rasol","Maplink3")</f>
        <v>Maplink3</v>
      </c>
    </row>
    <row r="3669" spans="1:49" x14ac:dyDescent="0.25">
      <c r="A3669" s="21">
        <v>18722</v>
      </c>
      <c r="B3669" s="22" t="s">
        <v>26</v>
      </c>
      <c r="C3669" s="22" t="s">
        <v>7102</v>
      </c>
      <c r="D3669" s="22" t="s">
        <v>9197</v>
      </c>
      <c r="E3669" s="22" t="s">
        <v>438</v>
      </c>
      <c r="F3669" s="22">
        <v>32.167008281199998</v>
      </c>
      <c r="G3669" s="22">
        <v>46.044844359999999</v>
      </c>
      <c r="H3669" s="21" t="s">
        <v>7028</v>
      </c>
      <c r="I3669" s="21" t="s">
        <v>7104</v>
      </c>
      <c r="J3669" s="21" t="s">
        <v>7118</v>
      </c>
      <c r="K3669" s="24">
        <v>29</v>
      </c>
      <c r="L3669" s="24">
        <v>174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29</v>
      </c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>
        <v>29</v>
      </c>
      <c r="AL3669" s="23"/>
      <c r="AM3669" s="23"/>
      <c r="AN3669" s="23"/>
      <c r="AO3669" s="23"/>
      <c r="AP3669" s="23">
        <v>29</v>
      </c>
      <c r="AQ3669" s="23"/>
      <c r="AR3669" s="23"/>
      <c r="AS3669" s="23"/>
      <c r="AT3669" s="23"/>
      <c r="AU3669" s="14" t="str">
        <f>HYPERLINK("http://www.openstreetmap.org/?mlat=32.1807&amp;mlon=46.0622&amp;zoom=12#map=12/32.1807/46.0622","Maplink1")</f>
        <v>Maplink1</v>
      </c>
      <c r="AV3669" s="14" t="str">
        <f>HYPERLINK("https://www.google.iq/maps/search/+32.1807,46.0622/@32.1807,46.0622,14z?hl=en","Maplink2")</f>
        <v>Maplink2</v>
      </c>
      <c r="AW3669" s="14" t="str">
        <f>HYPERLINK("http://www.bing.com/maps/?lvl=14&amp;sty=h&amp;cp=32.1807~46.0622&amp;sp=point.32.1807_46.0622_Al-Hai Hay Al-Saray","Maplink3")</f>
        <v>Maplink3</v>
      </c>
    </row>
    <row r="3670" spans="1:49" x14ac:dyDescent="0.25">
      <c r="A3670" s="21">
        <v>24105</v>
      </c>
      <c r="B3670" s="22" t="s">
        <v>26</v>
      </c>
      <c r="C3670" s="22" t="s">
        <v>7102</v>
      </c>
      <c r="D3670" s="22" t="s">
        <v>7134</v>
      </c>
      <c r="E3670" s="22" t="s">
        <v>8137</v>
      </c>
      <c r="F3670" s="22">
        <v>32.163757760599999</v>
      </c>
      <c r="G3670" s="22">
        <v>46.042563225499997</v>
      </c>
      <c r="H3670" s="21" t="s">
        <v>7028</v>
      </c>
      <c r="I3670" s="21" t="s">
        <v>7104</v>
      </c>
      <c r="J3670" s="21" t="s">
        <v>7135</v>
      </c>
      <c r="K3670" s="24">
        <v>2</v>
      </c>
      <c r="L3670" s="24">
        <v>12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2</v>
      </c>
      <c r="Z3670" s="23"/>
      <c r="AA3670" s="23"/>
      <c r="AB3670" s="23"/>
      <c r="AC3670" s="23"/>
      <c r="AD3670" s="23"/>
      <c r="AE3670" s="23"/>
      <c r="AF3670" s="23">
        <v>2</v>
      </c>
      <c r="AG3670" s="23"/>
      <c r="AH3670" s="23"/>
      <c r="AI3670" s="23"/>
      <c r="AJ3670" s="23"/>
      <c r="AK3670" s="23"/>
      <c r="AL3670" s="23"/>
      <c r="AM3670" s="23"/>
      <c r="AN3670" s="23"/>
      <c r="AO3670" s="23"/>
      <c r="AP3670" s="23">
        <v>2</v>
      </c>
      <c r="AQ3670" s="23"/>
      <c r="AR3670" s="23"/>
      <c r="AS3670" s="23"/>
      <c r="AT3670" s="23"/>
      <c r="AU3670" s="14" t="str">
        <f>HYPERLINK("http://www.openstreetmap.org/?mlat=32.1599&amp;mlon=46.0431&amp;zoom=12#map=12/32.1599/46.0431","Maplink1")</f>
        <v>Maplink1</v>
      </c>
      <c r="AV3670" s="14" t="str">
        <f>HYPERLINK("https://www.google.iq/maps/search/+32.1599,46.0431/@32.1599,46.0431,14z?hl=en","Maplink2")</f>
        <v>Maplink2</v>
      </c>
      <c r="AW3670" s="14" t="str">
        <f>HYPERLINK("http://www.bing.com/maps/?lvl=14&amp;sty=h&amp;cp=32.1599~46.0431&amp;sp=point.32.1599_46.0431_Hay Al-Wehda (Mahala al-arab)","Maplink3")</f>
        <v>Maplink3</v>
      </c>
    </row>
    <row r="3671" spans="1:49" x14ac:dyDescent="0.25">
      <c r="A3671" s="21">
        <v>24879</v>
      </c>
      <c r="B3671" s="22" t="s">
        <v>26</v>
      </c>
      <c r="C3671" s="22" t="s">
        <v>7102</v>
      </c>
      <c r="D3671" s="22" t="s">
        <v>7136</v>
      </c>
      <c r="E3671" s="22" t="s">
        <v>7137</v>
      </c>
      <c r="F3671" s="22">
        <v>32.268316483600003</v>
      </c>
      <c r="G3671" s="22">
        <v>45.925344926999998</v>
      </c>
      <c r="H3671" s="21" t="s">
        <v>7028</v>
      </c>
      <c r="I3671" s="21" t="s">
        <v>7104</v>
      </c>
      <c r="J3671" s="21"/>
      <c r="K3671" s="24">
        <v>5</v>
      </c>
      <c r="L3671" s="24">
        <v>30</v>
      </c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5</v>
      </c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>
        <v>5</v>
      </c>
      <c r="AL3671" s="23"/>
      <c r="AM3671" s="23"/>
      <c r="AN3671" s="23"/>
      <c r="AO3671" s="23"/>
      <c r="AP3671" s="23">
        <v>5</v>
      </c>
      <c r="AQ3671" s="23"/>
      <c r="AR3671" s="23"/>
      <c r="AS3671" s="23"/>
      <c r="AT3671" s="23"/>
      <c r="AU3671" s="14" t="str">
        <f>HYPERLINK("http://www.openstreetmap.org/?mlat=32.2712&amp;mlon=45.9249&amp;zoom=12#map=12/32.2712/45.9249","Maplink1")</f>
        <v>Maplink1</v>
      </c>
      <c r="AV3671" s="14" t="str">
        <f>HYPERLINK("https://www.google.iq/maps/search/+32.2712,45.9249/@32.2712,45.9249,14z?hl=en","Maplink2")</f>
        <v>Maplink2</v>
      </c>
      <c r="AW3671" s="14" t="str">
        <f>HYPERLINK("http://www.bing.com/maps/?lvl=14&amp;sty=h&amp;cp=32.2712~45.9249&amp;sp=point.32.2712_45.9249_Hay Emam Ali","Maplink3")</f>
        <v>Maplink3</v>
      </c>
    </row>
    <row r="3672" spans="1:49" x14ac:dyDescent="0.25">
      <c r="A3672" s="21">
        <v>25581</v>
      </c>
      <c r="B3672" s="22" t="s">
        <v>26</v>
      </c>
      <c r="C3672" s="22" t="s">
        <v>7102</v>
      </c>
      <c r="D3672" s="22" t="s">
        <v>9198</v>
      </c>
      <c r="E3672" s="22" t="s">
        <v>8136</v>
      </c>
      <c r="F3672" s="22">
        <v>32.167377732799999</v>
      </c>
      <c r="G3672" s="22">
        <v>46.060450951500002</v>
      </c>
      <c r="H3672" s="21" t="s">
        <v>7028</v>
      </c>
      <c r="I3672" s="21" t="s">
        <v>7104</v>
      </c>
      <c r="J3672" s="21"/>
      <c r="K3672" s="24">
        <v>22</v>
      </c>
      <c r="L3672" s="24">
        <v>132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22</v>
      </c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/>
      <c r="AK3672" s="23">
        <v>22</v>
      </c>
      <c r="AL3672" s="23"/>
      <c r="AM3672" s="23"/>
      <c r="AN3672" s="23"/>
      <c r="AO3672" s="23"/>
      <c r="AP3672" s="23">
        <v>22</v>
      </c>
      <c r="AQ3672" s="23"/>
      <c r="AR3672" s="23"/>
      <c r="AS3672" s="23"/>
      <c r="AT3672" s="23"/>
      <c r="AU3672" s="14" t="str">
        <f>HYPERLINK("http://www.openstreetmap.org/?mlat=32.1707&amp;mlon=46.06&amp;zoom=12#map=12/32.1707/46.06","Maplink1")</f>
        <v>Maplink1</v>
      </c>
      <c r="AV3672" s="14" t="str">
        <f>HYPERLINK("https://www.google.iq/maps/search/+32.1707,46.06/@32.1707,46.06,14z?hl=en","Maplink2")</f>
        <v>Maplink2</v>
      </c>
      <c r="AW3672" s="14" t="str">
        <f>HYPERLINK("http://www.bing.com/maps/?lvl=14&amp;sty=h&amp;cp=32.1707~46.06&amp;sp=point.32.1707_46.06_Al-Hai-Hay Saed","Maplink3")</f>
        <v>Maplink3</v>
      </c>
    </row>
    <row r="3673" spans="1:49" x14ac:dyDescent="0.25">
      <c r="A3673" s="21">
        <v>19049</v>
      </c>
      <c r="B3673" s="22" t="s">
        <v>26</v>
      </c>
      <c r="C3673" s="22" t="s">
        <v>7138</v>
      </c>
      <c r="D3673" s="22" t="s">
        <v>9199</v>
      </c>
      <c r="E3673" s="22" t="s">
        <v>7222</v>
      </c>
      <c r="F3673" s="22">
        <v>32.516944000000002</v>
      </c>
      <c r="G3673" s="22">
        <v>45.607410036600001</v>
      </c>
      <c r="H3673" s="21" t="s">
        <v>7028</v>
      </c>
      <c r="I3673" s="21" t="s">
        <v>7194</v>
      </c>
      <c r="J3673" s="21" t="s">
        <v>7223</v>
      </c>
      <c r="K3673" s="24">
        <v>146</v>
      </c>
      <c r="L3673" s="24">
        <v>876</v>
      </c>
      <c r="M3673" s="23">
        <v>18</v>
      </c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128</v>
      </c>
      <c r="Z3673" s="23"/>
      <c r="AA3673" s="23"/>
      <c r="AB3673" s="23"/>
      <c r="AC3673" s="23"/>
      <c r="AD3673" s="23"/>
      <c r="AE3673" s="23"/>
      <c r="AF3673" s="23">
        <v>4</v>
      </c>
      <c r="AG3673" s="23"/>
      <c r="AH3673" s="23"/>
      <c r="AI3673" s="23"/>
      <c r="AJ3673" s="23">
        <v>70</v>
      </c>
      <c r="AK3673" s="23">
        <v>72</v>
      </c>
      <c r="AL3673" s="23"/>
      <c r="AM3673" s="23"/>
      <c r="AN3673" s="23"/>
      <c r="AO3673" s="23"/>
      <c r="AP3673" s="23"/>
      <c r="AQ3673" s="23">
        <v>128</v>
      </c>
      <c r="AR3673" s="23"/>
      <c r="AS3673" s="23">
        <v>18</v>
      </c>
      <c r="AT3673" s="23"/>
      <c r="AU3673" s="14" t="str">
        <f>HYPERLINK("http://www.openstreetmap.org/?mlat=32.5169&amp;mlon=45.6117&amp;zoom=12#map=12/32.5169/45.6117","Maplink1")</f>
        <v>Maplink1</v>
      </c>
      <c r="AV3673" s="14" t="str">
        <f>HYPERLINK("https://www.google.iq/maps/search/+32.5169,45.6117/@32.5169,45.6117,14z?hl=en","Maplink2")</f>
        <v>Maplink2</v>
      </c>
      <c r="AW3673" s="14" t="str">
        <f>HYPERLINK("http://www.bing.com/maps/?lvl=14&amp;sty=h&amp;cp=32.5169~45.6117&amp;sp=point.32.5169_45.6117_Al-ahrar","Maplink3")</f>
        <v>Maplink3</v>
      </c>
    </row>
    <row r="3674" spans="1:49" x14ac:dyDescent="0.25">
      <c r="A3674" s="21">
        <v>19539</v>
      </c>
      <c r="B3674" s="22" t="s">
        <v>26</v>
      </c>
      <c r="C3674" s="22" t="s">
        <v>7138</v>
      </c>
      <c r="D3674" s="22" t="s">
        <v>9200</v>
      </c>
      <c r="E3674" s="22" t="s">
        <v>7141</v>
      </c>
      <c r="F3674" s="22">
        <v>32.533676202400002</v>
      </c>
      <c r="G3674" s="22">
        <v>45.348277246199999</v>
      </c>
      <c r="H3674" s="21" t="s">
        <v>7028</v>
      </c>
      <c r="I3674" s="21" t="s">
        <v>7139</v>
      </c>
      <c r="J3674" s="21" t="s">
        <v>7142</v>
      </c>
      <c r="K3674" s="24">
        <v>30</v>
      </c>
      <c r="L3674" s="24">
        <v>180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30</v>
      </c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>
        <v>30</v>
      </c>
      <c r="AK3674" s="23"/>
      <c r="AL3674" s="23"/>
      <c r="AM3674" s="23"/>
      <c r="AN3674" s="23"/>
      <c r="AO3674" s="23"/>
      <c r="AP3674" s="23">
        <v>30</v>
      </c>
      <c r="AQ3674" s="23"/>
      <c r="AR3674" s="23"/>
      <c r="AS3674" s="23"/>
      <c r="AT3674" s="23"/>
      <c r="AU3674" s="14" t="str">
        <f>HYPERLINK("http://www.openstreetmap.org/?mlat=32.559&amp;mlon=45.3207&amp;zoom=12#map=12/32.559/45.3207","Maplink1")</f>
        <v>Maplink1</v>
      </c>
      <c r="AV3674" s="14" t="str">
        <f>HYPERLINK("https://www.google.iq/maps/search/+32.559,45.3207/@32.559,45.3207,14z?hl=en","Maplink2")</f>
        <v>Maplink2</v>
      </c>
      <c r="AW3674" s="14" t="str">
        <f>HYPERLINK("http://www.bing.com/maps/?lvl=14&amp;sty=h&amp;cp=32.559~45.3207&amp;sp=point.32.559_45.3207_Al-Namaniya-Al-Baqaratain","Maplink3")</f>
        <v>Maplink3</v>
      </c>
    </row>
    <row r="3675" spans="1:49" x14ac:dyDescent="0.25">
      <c r="A3675" s="21">
        <v>25096</v>
      </c>
      <c r="B3675" s="22" t="s">
        <v>26</v>
      </c>
      <c r="C3675" s="22" t="s">
        <v>7138</v>
      </c>
      <c r="D3675" s="22" t="s">
        <v>9201</v>
      </c>
      <c r="E3675" s="22" t="s">
        <v>7140</v>
      </c>
      <c r="F3675" s="22">
        <v>32.522223584199999</v>
      </c>
      <c r="G3675" s="22">
        <v>45.307149937399998</v>
      </c>
      <c r="H3675" s="21" t="s">
        <v>7028</v>
      </c>
      <c r="I3675" s="21" t="s">
        <v>7139</v>
      </c>
      <c r="J3675" s="21"/>
      <c r="K3675" s="24">
        <v>88</v>
      </c>
      <c r="L3675" s="24">
        <v>528</v>
      </c>
      <c r="M3675" s="23"/>
      <c r="N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>
        <v>88</v>
      </c>
      <c r="Z3675" s="23"/>
      <c r="AA3675" s="23"/>
      <c r="AB3675" s="23"/>
      <c r="AC3675" s="23"/>
      <c r="AD3675" s="23"/>
      <c r="AE3675" s="23"/>
      <c r="AF3675" s="23">
        <v>8</v>
      </c>
      <c r="AG3675" s="23"/>
      <c r="AH3675" s="23"/>
      <c r="AI3675" s="23"/>
      <c r="AJ3675" s="23">
        <v>80</v>
      </c>
      <c r="AK3675" s="23"/>
      <c r="AL3675" s="23"/>
      <c r="AM3675" s="23"/>
      <c r="AN3675" s="23"/>
      <c r="AO3675" s="23"/>
      <c r="AP3675" s="23">
        <v>88</v>
      </c>
      <c r="AQ3675" s="23"/>
      <c r="AR3675" s="23"/>
      <c r="AS3675" s="23"/>
      <c r="AT3675" s="23"/>
      <c r="AU3675" s="14" t="str">
        <f>HYPERLINK("http://www.openstreetmap.org/?mlat=32.5431&amp;mlon=45.4192&amp;zoom=12#map=12/32.5431/45.4192","Maplink1")</f>
        <v>Maplink1</v>
      </c>
      <c r="AV3675" s="14" t="str">
        <f>HYPERLINK("https://www.google.iq/maps/search/+32.5431,45.4192/@32.5431,45.4192,14z?hl=en","Maplink2")</f>
        <v>Maplink2</v>
      </c>
      <c r="AW3675" s="14" t="str">
        <f>HYPERLINK("http://www.bing.com/maps/?lvl=14&amp;sty=h&amp;cp=32.5431~45.4192&amp;sp=point.32.5431_45.4192_Al-Kakeem villge","Maplink3")</f>
        <v>Maplink3</v>
      </c>
    </row>
    <row r="3676" spans="1:49" x14ac:dyDescent="0.25">
      <c r="A3676" s="21">
        <v>25101</v>
      </c>
      <c r="B3676" s="22" t="s">
        <v>26</v>
      </c>
      <c r="C3676" s="22" t="s">
        <v>7138</v>
      </c>
      <c r="D3676" s="22" t="s">
        <v>7547</v>
      </c>
      <c r="E3676" s="22" t="s">
        <v>691</v>
      </c>
      <c r="F3676" s="22">
        <v>32.549769151100001</v>
      </c>
      <c r="G3676" s="22">
        <v>45.411284404699998</v>
      </c>
      <c r="H3676" s="21" t="s">
        <v>7028</v>
      </c>
      <c r="I3676" s="21" t="s">
        <v>7139</v>
      </c>
      <c r="J3676" s="21"/>
      <c r="K3676" s="24">
        <v>4</v>
      </c>
      <c r="L3676" s="24">
        <v>24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4</v>
      </c>
      <c r="Z3676" s="23"/>
      <c r="AA3676" s="23"/>
      <c r="AB3676" s="23"/>
      <c r="AC3676" s="23"/>
      <c r="AD3676" s="23"/>
      <c r="AE3676" s="23"/>
      <c r="AF3676" s="23">
        <v>4</v>
      </c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>
        <v>4</v>
      </c>
      <c r="AQ3676" s="23"/>
      <c r="AR3676" s="23"/>
      <c r="AS3676" s="23"/>
      <c r="AT3676" s="23"/>
      <c r="AU3676" s="14" t="str">
        <f>HYPERLINK("http://www.openstreetmap.org/?mlat=32.5303&amp;mlon=45.3678&amp;zoom=12#map=12/32.5303/45.3678","Maplink1")</f>
        <v>Maplink1</v>
      </c>
      <c r="AV3676" s="14" t="str">
        <f>HYPERLINK("https://www.google.iq/maps/search/+32.5303,45.3678/@32.5303,45.3678,14z?hl=en","Maplink2")</f>
        <v>Maplink2</v>
      </c>
      <c r="AW3676" s="14" t="str">
        <f>HYPERLINK("http://www.bing.com/maps/?lvl=14&amp;sty=h&amp;cp=32.5303~45.3678&amp;sp=point.32.5303_45.3678_Al-Jameiah -1","Maplink3")</f>
        <v>Maplink3</v>
      </c>
    </row>
    <row r="3677" spans="1:49" x14ac:dyDescent="0.25">
      <c r="A3677" s="21">
        <v>25308</v>
      </c>
      <c r="B3677" s="22" t="s">
        <v>26</v>
      </c>
      <c r="C3677" s="22" t="s">
        <v>7138</v>
      </c>
      <c r="D3677" s="22" t="s">
        <v>7144</v>
      </c>
      <c r="E3677" s="22" t="s">
        <v>9202</v>
      </c>
      <c r="F3677" s="22">
        <v>32.596245599900001</v>
      </c>
      <c r="G3677" s="22">
        <v>45.537151220399998</v>
      </c>
      <c r="H3677" s="21" t="s">
        <v>7028</v>
      </c>
      <c r="I3677" s="21" t="s">
        <v>7139</v>
      </c>
      <c r="J3677" s="21"/>
      <c r="K3677" s="24">
        <v>8</v>
      </c>
      <c r="L3677" s="24">
        <v>48</v>
      </c>
      <c r="M3677" s="23"/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8</v>
      </c>
      <c r="Z3677" s="23"/>
      <c r="AA3677" s="23"/>
      <c r="AB3677" s="23"/>
      <c r="AC3677" s="23"/>
      <c r="AD3677" s="23"/>
      <c r="AE3677" s="23"/>
      <c r="AF3677" s="23"/>
      <c r="AG3677" s="23"/>
      <c r="AH3677" s="23"/>
      <c r="AI3677" s="23"/>
      <c r="AJ3677" s="23">
        <v>8</v>
      </c>
      <c r="AK3677" s="23"/>
      <c r="AL3677" s="23"/>
      <c r="AM3677" s="23"/>
      <c r="AN3677" s="23"/>
      <c r="AO3677" s="23"/>
      <c r="AP3677" s="23">
        <v>8</v>
      </c>
      <c r="AQ3677" s="23"/>
      <c r="AR3677" s="23"/>
      <c r="AS3677" s="23"/>
      <c r="AT3677" s="23"/>
      <c r="AU3677" s="14" t="str">
        <f>HYPERLINK("http://www.openstreetmap.org/?mlat=32.55&amp;mlon=45.3127&amp;zoom=12#map=12/32.55/45.3127","Maplink1")</f>
        <v>Maplink1</v>
      </c>
      <c r="AV3677" s="14" t="str">
        <f>HYPERLINK("https://www.google.iq/maps/search/+32.55,45.3127/@32.55,45.3127,14z?hl=en","Maplink2")</f>
        <v>Maplink2</v>
      </c>
      <c r="AW3677" s="14" t="str">
        <f>HYPERLINK("http://www.bing.com/maps/?lvl=14&amp;sty=h&amp;cp=32.55~45.3127&amp;sp=point.32.55_45.3127_Al-Shomali Road-Shadhi Al-Gherbi","Maplink3")</f>
        <v>Maplink3</v>
      </c>
    </row>
    <row r="3678" spans="1:49" x14ac:dyDescent="0.25">
      <c r="A3678" s="21">
        <v>25309</v>
      </c>
      <c r="B3678" s="22" t="s">
        <v>26</v>
      </c>
      <c r="C3678" s="22" t="s">
        <v>7138</v>
      </c>
      <c r="D3678" s="22" t="s">
        <v>7145</v>
      </c>
      <c r="E3678" s="22" t="s">
        <v>9203</v>
      </c>
      <c r="F3678" s="22">
        <v>32.5952072718</v>
      </c>
      <c r="G3678" s="22">
        <v>45.491466855500001</v>
      </c>
      <c r="H3678" s="21" t="s">
        <v>7028</v>
      </c>
      <c r="I3678" s="21" t="s">
        <v>7139</v>
      </c>
      <c r="J3678" s="21"/>
      <c r="K3678" s="24">
        <v>10</v>
      </c>
      <c r="L3678" s="24">
        <v>60</v>
      </c>
      <c r="M3678" s="23"/>
      <c r="N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>
        <v>10</v>
      </c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>
        <v>10</v>
      </c>
      <c r="AL3678" s="23"/>
      <c r="AM3678" s="23"/>
      <c r="AN3678" s="23"/>
      <c r="AO3678" s="23"/>
      <c r="AP3678" s="23">
        <v>10</v>
      </c>
      <c r="AQ3678" s="23"/>
      <c r="AR3678" s="23"/>
      <c r="AS3678" s="23"/>
      <c r="AT3678" s="23"/>
      <c r="AU3678" s="14" t="str">
        <f>HYPERLINK("http://www.openstreetmap.org/?mlat=32.5459&amp;mlon=45.3714&amp;zoom=12#map=12/32.5459/45.3714","Maplink1")</f>
        <v>Maplink1</v>
      </c>
      <c r="AV3678" s="14" t="str">
        <f>HYPERLINK("https://www.google.iq/maps/search/+32.5459,45.3714/@32.5459,45.3714,14z?hl=en","Maplink2")</f>
        <v>Maplink2</v>
      </c>
      <c r="AW3678" s="14" t="str">
        <f>HYPERLINK("http://www.bing.com/maps/?lvl=14&amp;sty=h&amp;cp=32.5459~45.3714&amp;sp=point.32.5459_45.3714_Al-Shomali Road-Shadhi Al-Sharki","Maplink3")</f>
        <v>Maplink3</v>
      </c>
    </row>
    <row r="3679" spans="1:49" x14ac:dyDescent="0.25">
      <c r="A3679" s="21">
        <v>25095</v>
      </c>
      <c r="B3679" s="22" t="s">
        <v>26</v>
      </c>
      <c r="C3679" s="22" t="s">
        <v>7138</v>
      </c>
      <c r="D3679" s="22" t="s">
        <v>5770</v>
      </c>
      <c r="E3679" s="22" t="s">
        <v>5771</v>
      </c>
      <c r="F3679" s="22">
        <v>32.541487661799998</v>
      </c>
      <c r="G3679" s="22">
        <v>45.373244425099998</v>
      </c>
      <c r="H3679" s="21" t="s">
        <v>7028</v>
      </c>
      <c r="I3679" s="21" t="s">
        <v>7139</v>
      </c>
      <c r="J3679" s="21"/>
      <c r="K3679" s="24">
        <v>4</v>
      </c>
      <c r="L3679" s="24">
        <v>24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4</v>
      </c>
      <c r="Z3679" s="23"/>
      <c r="AA3679" s="23"/>
      <c r="AB3679" s="23"/>
      <c r="AC3679" s="23"/>
      <c r="AD3679" s="23"/>
      <c r="AE3679" s="23"/>
      <c r="AF3679" s="23">
        <v>4</v>
      </c>
      <c r="AG3679" s="23"/>
      <c r="AH3679" s="23"/>
      <c r="AI3679" s="23"/>
      <c r="AJ3679" s="23"/>
      <c r="AK3679" s="23"/>
      <c r="AL3679" s="23"/>
      <c r="AM3679" s="23"/>
      <c r="AN3679" s="23"/>
      <c r="AO3679" s="23"/>
      <c r="AP3679" s="23">
        <v>4</v>
      </c>
      <c r="AQ3679" s="23"/>
      <c r="AR3679" s="23"/>
      <c r="AS3679" s="23"/>
      <c r="AT3679" s="23"/>
      <c r="AU3679" s="14" t="str">
        <f>HYPERLINK("http://www.openstreetmap.org/?mlat=32.5404&amp;mlon=45.364&amp;zoom=12#map=12/32.5404/45.364","Maplink1")</f>
        <v>Maplink1</v>
      </c>
      <c r="AV3679" s="14" t="str">
        <f>HYPERLINK("https://www.google.iq/maps/search/+32.5404,45.364/@32.5404,45.364,14z?hl=en","Maplink2")</f>
        <v>Maplink2</v>
      </c>
      <c r="AW3679" s="14" t="str">
        <f>HYPERLINK("http://www.bing.com/maps/?lvl=14&amp;sty=h&amp;cp=32.5404~45.364&amp;sp=point.32.5404_45.364_Al-Namaniya-Al-Sadrain","Maplink3")</f>
        <v>Maplink3</v>
      </c>
    </row>
    <row r="3680" spans="1:49" x14ac:dyDescent="0.25">
      <c r="A3680" s="21">
        <v>26024</v>
      </c>
      <c r="B3680" s="22" t="s">
        <v>26</v>
      </c>
      <c r="C3680" s="22" t="s">
        <v>7138</v>
      </c>
      <c r="D3680" s="22" t="s">
        <v>9204</v>
      </c>
      <c r="E3680" s="22" t="s">
        <v>7146</v>
      </c>
      <c r="F3680" s="22">
        <v>32.550238100400001</v>
      </c>
      <c r="G3680" s="22">
        <v>45.414987550500001</v>
      </c>
      <c r="H3680" s="21" t="s">
        <v>7028</v>
      </c>
      <c r="I3680" s="21" t="s">
        <v>7139</v>
      </c>
      <c r="J3680" s="21"/>
      <c r="K3680" s="24">
        <v>7</v>
      </c>
      <c r="L3680" s="24">
        <v>42</v>
      </c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7</v>
      </c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>
        <v>7</v>
      </c>
      <c r="AL3680" s="23"/>
      <c r="AM3680" s="23"/>
      <c r="AN3680" s="23"/>
      <c r="AO3680" s="23"/>
      <c r="AP3680" s="23"/>
      <c r="AQ3680" s="23">
        <v>7</v>
      </c>
      <c r="AR3680" s="23"/>
      <c r="AS3680" s="23"/>
      <c r="AT3680" s="23"/>
      <c r="AU3680" s="14" t="str">
        <f>HYPERLINK("http://www.openstreetmap.org/?mlat=32.5439&amp;mlon=45.4066&amp;zoom=12#map=12/32.5439/45.4066","Maplink1")</f>
        <v>Maplink1</v>
      </c>
      <c r="AV3680" s="14" t="str">
        <f>HYPERLINK("https://www.google.iq/maps/search/+32.5439,45.4066/@32.5439,45.4066,14z?hl=en","Maplink2")</f>
        <v>Maplink2</v>
      </c>
      <c r="AW3680" s="14" t="str">
        <f>HYPERLINK("http://www.bing.com/maps/?lvl=14&amp;sty=h&amp;cp=32.5439~45.4066&amp;sp=point.32.5439_45.4066_Al-Shraqia Neighborhood","Maplink3")</f>
        <v>Maplink3</v>
      </c>
    </row>
    <row r="3681" spans="1:49" x14ac:dyDescent="0.25">
      <c r="A3681" s="21">
        <v>25796</v>
      </c>
      <c r="B3681" s="22" t="s">
        <v>26</v>
      </c>
      <c r="C3681" s="22" t="s">
        <v>7138</v>
      </c>
      <c r="D3681" s="22" t="s">
        <v>7392</v>
      </c>
      <c r="E3681" s="22" t="s">
        <v>7143</v>
      </c>
      <c r="F3681" s="22">
        <v>32.546210133700001</v>
      </c>
      <c r="G3681" s="22">
        <v>45.397377983299997</v>
      </c>
      <c r="H3681" s="21" t="s">
        <v>7028</v>
      </c>
      <c r="I3681" s="21" t="s">
        <v>7139</v>
      </c>
      <c r="J3681" s="21"/>
      <c r="K3681" s="24">
        <v>20</v>
      </c>
      <c r="L3681" s="24">
        <v>120</v>
      </c>
      <c r="M3681" s="23">
        <v>8</v>
      </c>
      <c r="N3681" s="23"/>
      <c r="O3681" s="23"/>
      <c r="P3681" s="23"/>
      <c r="Q3681" s="23"/>
      <c r="R3681" s="23">
        <v>1</v>
      </c>
      <c r="S3681" s="23"/>
      <c r="T3681" s="23"/>
      <c r="U3681" s="23">
        <v>5</v>
      </c>
      <c r="V3681" s="23"/>
      <c r="W3681" s="23"/>
      <c r="X3681" s="23"/>
      <c r="Y3681" s="23">
        <v>6</v>
      </c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>
        <v>20</v>
      </c>
      <c r="AL3681" s="23"/>
      <c r="AM3681" s="23"/>
      <c r="AN3681" s="23"/>
      <c r="AO3681" s="23"/>
      <c r="AP3681" s="23">
        <v>5</v>
      </c>
      <c r="AQ3681" s="23">
        <v>8</v>
      </c>
      <c r="AR3681" s="23"/>
      <c r="AS3681" s="23">
        <v>7</v>
      </c>
      <c r="AT3681" s="23"/>
      <c r="AU3681" s="14" t="str">
        <f>HYPERLINK("http://www.openstreetmap.org/?mlat=32.5342&amp;mlon=45.404&amp;zoom=12#map=12/32.5342/45.404","Maplink1")</f>
        <v>Maplink1</v>
      </c>
      <c r="AV3681" s="14" t="str">
        <f>HYPERLINK("https://www.google.iq/maps/search/+32.5342,45.404/@32.5342,45.404,14z?hl=en","Maplink2")</f>
        <v>Maplink2</v>
      </c>
      <c r="AW3681" s="14" t="str">
        <f>HYPERLINK("http://www.bing.com/maps/?lvl=14&amp;sty=h&amp;cp=32.5342~45.404&amp;sp=point.32.5342_45.404_Al-Namaniya-Imam Rudha","Maplink3")</f>
        <v>Maplink3</v>
      </c>
    </row>
    <row r="3682" spans="1:49" x14ac:dyDescent="0.25">
      <c r="A3682" s="21">
        <v>26025</v>
      </c>
      <c r="B3682" s="22" t="s">
        <v>26</v>
      </c>
      <c r="C3682" s="22" t="s">
        <v>7138</v>
      </c>
      <c r="D3682" s="22" t="s">
        <v>7147</v>
      </c>
      <c r="E3682" s="22" t="s">
        <v>7148</v>
      </c>
      <c r="F3682" s="22">
        <v>32.500163901100002</v>
      </c>
      <c r="G3682" s="22">
        <v>45.229975748199998</v>
      </c>
      <c r="H3682" s="21" t="s">
        <v>7028</v>
      </c>
      <c r="I3682" s="21" t="s">
        <v>7139</v>
      </c>
      <c r="J3682" s="21"/>
      <c r="K3682" s="24">
        <v>15</v>
      </c>
      <c r="L3682" s="24">
        <v>90</v>
      </c>
      <c r="M3682" s="23"/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>
        <v>15</v>
      </c>
      <c r="Z3682" s="23"/>
      <c r="AA3682" s="23"/>
      <c r="AB3682" s="23"/>
      <c r="AC3682" s="23"/>
      <c r="AD3682" s="23"/>
      <c r="AE3682" s="23"/>
      <c r="AF3682" s="23">
        <v>15</v>
      </c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>
        <v>15</v>
      </c>
      <c r="AQ3682" s="23"/>
      <c r="AR3682" s="23"/>
      <c r="AS3682" s="23"/>
      <c r="AT3682" s="23"/>
      <c r="AU3682" s="14" t="str">
        <f>HYPERLINK("http://www.openstreetmap.org/?mlat=32.537&amp;mlon=45.4048&amp;zoom=12#map=12/32.537/45.4048","Maplink1")</f>
        <v>Maplink1</v>
      </c>
      <c r="AV3682" s="14" t="str">
        <f>HYPERLINK("https://www.google.iq/maps/search/+32.537,45.4048/@32.537,45.4048,14z?hl=en","Maplink2")</f>
        <v>Maplink2</v>
      </c>
      <c r="AW3682" s="14" t="str">
        <f>HYPERLINK("http://www.bing.com/maps/?lvl=14&amp;sty=h&amp;cp=32.537~45.4048&amp;sp=point.32.537_45.4048_Misarhad village","Maplink3")</f>
        <v>Maplink3</v>
      </c>
    </row>
    <row r="3683" spans="1:49" x14ac:dyDescent="0.25">
      <c r="A3683" s="21">
        <v>25098</v>
      </c>
      <c r="B3683" s="22" t="s">
        <v>26</v>
      </c>
      <c r="C3683" s="22" t="s">
        <v>7138</v>
      </c>
      <c r="D3683" s="22" t="s">
        <v>7149</v>
      </c>
      <c r="E3683" s="22" t="s">
        <v>7150</v>
      </c>
      <c r="F3683" s="22">
        <v>32.510240428199999</v>
      </c>
      <c r="G3683" s="22">
        <v>45.265476841000002</v>
      </c>
      <c r="H3683" s="21" t="s">
        <v>7028</v>
      </c>
      <c r="I3683" s="21" t="s">
        <v>7139</v>
      </c>
      <c r="J3683" s="21"/>
      <c r="K3683" s="24">
        <v>225</v>
      </c>
      <c r="L3683" s="24">
        <v>1350</v>
      </c>
      <c r="M3683" s="23"/>
      <c r="N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>
        <v>225</v>
      </c>
      <c r="Z3683" s="23"/>
      <c r="AA3683" s="23"/>
      <c r="AB3683" s="23"/>
      <c r="AC3683" s="23"/>
      <c r="AD3683" s="23"/>
      <c r="AE3683" s="23"/>
      <c r="AF3683" s="23">
        <v>65</v>
      </c>
      <c r="AG3683" s="23"/>
      <c r="AH3683" s="23"/>
      <c r="AI3683" s="23"/>
      <c r="AJ3683" s="23">
        <v>160</v>
      </c>
      <c r="AK3683" s="23"/>
      <c r="AL3683" s="23"/>
      <c r="AM3683" s="23"/>
      <c r="AN3683" s="23"/>
      <c r="AO3683" s="23"/>
      <c r="AP3683" s="23">
        <v>225</v>
      </c>
      <c r="AQ3683" s="23"/>
      <c r="AR3683" s="23"/>
      <c r="AS3683" s="23"/>
      <c r="AT3683" s="23"/>
      <c r="AU3683" s="14" t="str">
        <f>HYPERLINK("http://www.openstreetmap.org/?mlat=32.5452&amp;mlon=45.3783&amp;zoom=12#map=12/32.5452/45.3783","Maplink1")</f>
        <v>Maplink1</v>
      </c>
      <c r="AV3683" s="14" t="str">
        <f>HYPERLINK("https://www.google.iq/maps/search/+32.5452,45.3783/@32.5452,45.3783,14z?hl=en","Maplink2")</f>
        <v>Maplink2</v>
      </c>
      <c r="AW3683" s="14" t="str">
        <f>HYPERLINK("http://www.bing.com/maps/?lvl=14&amp;sty=h&amp;cp=32.5452~45.3783&amp;sp=point.32.5452_45.3783_Said Habeeb Village","Maplink3")</f>
        <v>Maplink3</v>
      </c>
    </row>
    <row r="3684" spans="1:49" x14ac:dyDescent="0.25">
      <c r="A3684" s="21">
        <v>25097</v>
      </c>
      <c r="B3684" s="22" t="s">
        <v>26</v>
      </c>
      <c r="C3684" s="22" t="s">
        <v>7138</v>
      </c>
      <c r="D3684" s="22" t="s">
        <v>7151</v>
      </c>
      <c r="E3684" s="22" t="s">
        <v>7152</v>
      </c>
      <c r="F3684" s="22">
        <v>32.5152084415</v>
      </c>
      <c r="G3684" s="22">
        <v>45.282751682099999</v>
      </c>
      <c r="H3684" s="21" t="s">
        <v>7028</v>
      </c>
      <c r="I3684" s="21" t="s">
        <v>7139</v>
      </c>
      <c r="J3684" s="21"/>
      <c r="K3684" s="24">
        <v>166</v>
      </c>
      <c r="L3684" s="24">
        <v>996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166</v>
      </c>
      <c r="Z3684" s="23"/>
      <c r="AA3684" s="23"/>
      <c r="AB3684" s="23"/>
      <c r="AC3684" s="23"/>
      <c r="AD3684" s="23"/>
      <c r="AE3684" s="23"/>
      <c r="AF3684" s="23">
        <v>42</v>
      </c>
      <c r="AG3684" s="23"/>
      <c r="AH3684" s="23"/>
      <c r="AI3684" s="23"/>
      <c r="AJ3684" s="23">
        <v>124</v>
      </c>
      <c r="AK3684" s="23"/>
      <c r="AL3684" s="23"/>
      <c r="AM3684" s="23"/>
      <c r="AN3684" s="23"/>
      <c r="AO3684" s="23"/>
      <c r="AP3684" s="23">
        <v>166</v>
      </c>
      <c r="AQ3684" s="23"/>
      <c r="AR3684" s="23"/>
      <c r="AS3684" s="23"/>
      <c r="AT3684" s="23"/>
      <c r="AU3684" s="14" t="str">
        <f>HYPERLINK("http://www.openstreetmap.org/?mlat=32.5193&amp;mlon=45.2789&amp;zoom=12#map=12/32.5193/45.2789","Maplink1")</f>
        <v>Maplink1</v>
      </c>
      <c r="AV3684" s="14" t="str">
        <f>HYPERLINK("https://www.google.iq/maps/search/+32.5193,45.2789/@32.5193,45.2789,14z?hl=en","Maplink2")</f>
        <v>Maplink2</v>
      </c>
      <c r="AW3684" s="14" t="str">
        <f>HYPERLINK("http://www.bing.com/maps/?lvl=14&amp;sty=h&amp;cp=32.5193~45.2789&amp;sp=point.32.5193_45.2789_Said malik village","Maplink3")</f>
        <v>Maplink3</v>
      </c>
    </row>
    <row r="3685" spans="1:49" x14ac:dyDescent="0.25">
      <c r="A3685" s="21">
        <v>21392</v>
      </c>
      <c r="B3685" s="22" t="s">
        <v>26</v>
      </c>
      <c r="C3685" s="22" t="s">
        <v>7153</v>
      </c>
      <c r="D3685" s="22" t="s">
        <v>9205</v>
      </c>
      <c r="E3685" s="22" t="s">
        <v>7154</v>
      </c>
      <c r="F3685" s="22">
        <v>32.689641582699998</v>
      </c>
      <c r="G3685" s="22">
        <v>44.975404347400001</v>
      </c>
      <c r="H3685" s="21" t="s">
        <v>7028</v>
      </c>
      <c r="I3685" s="21" t="s">
        <v>7155</v>
      </c>
      <c r="J3685" s="21" t="s">
        <v>7156</v>
      </c>
      <c r="K3685" s="24">
        <v>16</v>
      </c>
      <c r="L3685" s="24">
        <v>96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16</v>
      </c>
      <c r="Z3685" s="23"/>
      <c r="AA3685" s="23"/>
      <c r="AB3685" s="23"/>
      <c r="AC3685" s="23"/>
      <c r="AD3685" s="23"/>
      <c r="AE3685" s="23"/>
      <c r="AF3685" s="23"/>
      <c r="AG3685" s="23"/>
      <c r="AH3685" s="23"/>
      <c r="AI3685" s="23"/>
      <c r="AJ3685" s="23">
        <v>8</v>
      </c>
      <c r="AK3685" s="23">
        <v>8</v>
      </c>
      <c r="AL3685" s="23"/>
      <c r="AM3685" s="23"/>
      <c r="AN3685" s="23"/>
      <c r="AO3685" s="23"/>
      <c r="AP3685" s="23">
        <v>16</v>
      </c>
      <c r="AQ3685" s="23"/>
      <c r="AR3685" s="23"/>
      <c r="AS3685" s="23"/>
      <c r="AT3685" s="23"/>
      <c r="AU3685" s="14" t="str">
        <f>HYPERLINK("http://www.openstreetmap.org/?mlat=32.6957&amp;mlon=44.9736&amp;zoom=12#map=12/32.6957/44.9736","Maplink1")</f>
        <v>Maplink1</v>
      </c>
      <c r="AV3685" s="14" t="str">
        <f>HYPERLINK("https://www.google.iq/maps/search/+32.6957,44.9736/@32.6957,44.9736,14z?hl=en","Maplink2")</f>
        <v>Maplink2</v>
      </c>
      <c r="AW3685" s="14" t="str">
        <f>HYPERLINK("http://www.bing.com/maps/?lvl=14&amp;sty=h&amp;cp=32.6957~44.9736&amp;sp=point.32.6957_44.9736_Al Shihaimiya","Maplink3")</f>
        <v>Maplink3</v>
      </c>
    </row>
    <row r="3686" spans="1:49" x14ac:dyDescent="0.25">
      <c r="A3686" s="21">
        <v>19328</v>
      </c>
      <c r="B3686" s="22" t="s">
        <v>26</v>
      </c>
      <c r="C3686" s="22" t="s">
        <v>7153</v>
      </c>
      <c r="D3686" s="22" t="s">
        <v>7157</v>
      </c>
      <c r="E3686" s="22" t="s">
        <v>7158</v>
      </c>
      <c r="F3686" s="22">
        <v>32.773967920099999</v>
      </c>
      <c r="G3686" s="22">
        <v>45.159857069899999</v>
      </c>
      <c r="H3686" s="21" t="s">
        <v>7028</v>
      </c>
      <c r="I3686" s="21" t="s">
        <v>7155</v>
      </c>
      <c r="J3686" s="21" t="s">
        <v>7159</v>
      </c>
      <c r="K3686" s="24">
        <v>7</v>
      </c>
      <c r="L3686" s="24">
        <v>42</v>
      </c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7</v>
      </c>
      <c r="Z3686" s="23"/>
      <c r="AA3686" s="23"/>
      <c r="AB3686" s="23"/>
      <c r="AC3686" s="23"/>
      <c r="AD3686" s="23"/>
      <c r="AE3686" s="23"/>
      <c r="AF3686" s="23">
        <v>5</v>
      </c>
      <c r="AG3686" s="23"/>
      <c r="AH3686" s="23"/>
      <c r="AI3686" s="23"/>
      <c r="AJ3686" s="23"/>
      <c r="AK3686" s="23">
        <v>2</v>
      </c>
      <c r="AL3686" s="23"/>
      <c r="AM3686" s="23"/>
      <c r="AN3686" s="23"/>
      <c r="AO3686" s="23"/>
      <c r="AP3686" s="23">
        <v>7</v>
      </c>
      <c r="AQ3686" s="23"/>
      <c r="AR3686" s="23"/>
      <c r="AS3686" s="23"/>
      <c r="AT3686" s="23"/>
      <c r="AU3686" s="14" t="str">
        <f>HYPERLINK("http://www.openstreetmap.org/?mlat=32.761&amp;mlon=45.138&amp;zoom=12#map=12/32.761/45.138","Maplink1")</f>
        <v>Maplink1</v>
      </c>
      <c r="AV3686" s="14" t="str">
        <f>HYPERLINK("https://www.google.iq/maps/search/+32.761,45.138/@32.761,45.138,14z?hl=en","Maplink2")</f>
        <v>Maplink2</v>
      </c>
      <c r="AW3686" s="14" t="str">
        <f>HYPERLINK("http://www.bing.com/maps/?lvl=14&amp;sty=h&amp;cp=32.761~45.138&amp;sp=point.32.761_45.138_Al-Firdos Village","Maplink3")</f>
        <v>Maplink3</v>
      </c>
    </row>
    <row r="3687" spans="1:49" x14ac:dyDescent="0.25">
      <c r="A3687" s="21">
        <v>18774</v>
      </c>
      <c r="B3687" s="22" t="s">
        <v>26</v>
      </c>
      <c r="C3687" s="22" t="s">
        <v>7153</v>
      </c>
      <c r="D3687" s="22" t="s">
        <v>9206</v>
      </c>
      <c r="E3687" s="22" t="s">
        <v>7160</v>
      </c>
      <c r="F3687" s="22">
        <v>32.979255012300001</v>
      </c>
      <c r="G3687" s="22">
        <v>44.777078228000001</v>
      </c>
      <c r="H3687" s="21" t="s">
        <v>7028</v>
      </c>
      <c r="I3687" s="21" t="s">
        <v>7155</v>
      </c>
      <c r="J3687" s="21" t="s">
        <v>7161</v>
      </c>
      <c r="K3687" s="24">
        <v>45</v>
      </c>
      <c r="L3687" s="24">
        <v>270</v>
      </c>
      <c r="M3687" s="23">
        <v>10</v>
      </c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35</v>
      </c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>
        <v>4</v>
      </c>
      <c r="AK3687" s="23">
        <v>41</v>
      </c>
      <c r="AL3687" s="23"/>
      <c r="AM3687" s="23"/>
      <c r="AN3687" s="23"/>
      <c r="AO3687" s="23"/>
      <c r="AP3687" s="23">
        <v>35</v>
      </c>
      <c r="AQ3687" s="23"/>
      <c r="AR3687" s="23"/>
      <c r="AS3687" s="23">
        <v>10</v>
      </c>
      <c r="AT3687" s="23"/>
      <c r="AU3687" s="14" t="str">
        <f>HYPERLINK("http://www.openstreetmap.org/?mlat=32.7761&amp;mlon=45.1598&amp;zoom=12#map=12/32.7761/45.1598","Maplink1")</f>
        <v>Maplink1</v>
      </c>
      <c r="AV3687" s="14" t="str">
        <f>HYPERLINK("https://www.google.iq/maps/search/+32.7761,45.1598/@32.7761,45.1598,14z?hl=en","Maplink2")</f>
        <v>Maplink2</v>
      </c>
      <c r="AW3687" s="14" t="str">
        <f>HYPERLINK("http://www.bing.com/maps/?lvl=14&amp;sty=h&amp;cp=32.7761~45.1598&amp;sp=point.32.7761_45.1598_Al-Jiser village","Maplink3")</f>
        <v>Maplink3</v>
      </c>
    </row>
    <row r="3688" spans="1:49" x14ac:dyDescent="0.25">
      <c r="A3688" s="21">
        <v>18537</v>
      </c>
      <c r="B3688" s="22" t="s">
        <v>26</v>
      </c>
      <c r="C3688" s="22" t="s">
        <v>7153</v>
      </c>
      <c r="D3688" s="22" t="s">
        <v>9207</v>
      </c>
      <c r="E3688" s="22" t="s">
        <v>7174</v>
      </c>
      <c r="F3688" s="22">
        <v>32.755518899599998</v>
      </c>
      <c r="G3688" s="22">
        <v>45.186944945900002</v>
      </c>
      <c r="H3688" s="21" t="s">
        <v>7028</v>
      </c>
      <c r="I3688" s="21" t="s">
        <v>7155</v>
      </c>
      <c r="J3688" s="21" t="s">
        <v>7175</v>
      </c>
      <c r="K3688" s="24">
        <v>6</v>
      </c>
      <c r="L3688" s="24">
        <v>36</v>
      </c>
      <c r="M3688" s="23"/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6</v>
      </c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>
        <v>3</v>
      </c>
      <c r="AK3688" s="23">
        <v>3</v>
      </c>
      <c r="AL3688" s="23"/>
      <c r="AM3688" s="23"/>
      <c r="AN3688" s="23"/>
      <c r="AO3688" s="23"/>
      <c r="AP3688" s="23">
        <v>6</v>
      </c>
      <c r="AQ3688" s="23"/>
      <c r="AR3688" s="23"/>
      <c r="AS3688" s="23"/>
      <c r="AT3688" s="23"/>
      <c r="AU3688" s="14" t="str">
        <f>HYPERLINK("http://www.openstreetmap.org/?mlat=32.7634&amp;mlon=45.13&amp;zoom=12#map=12/32.7634/45.13","Maplink1")</f>
        <v>Maplink1</v>
      </c>
      <c r="AV3688" s="14" t="str">
        <f>HYPERLINK("https://www.google.iq/maps/search/+32.7634,45.13/@32.7634,45.13,14z?hl=en","Maplink2")</f>
        <v>Maplink2</v>
      </c>
      <c r="AW3688" s="14" t="str">
        <f>HYPERLINK("http://www.bing.com/maps/?lvl=14&amp;sty=h&amp;cp=32.7634~45.13&amp;sp=point.32.7634_45.13_Zubaideya-Al-Rujaibia Village","Maplink3")</f>
        <v>Maplink3</v>
      </c>
    </row>
    <row r="3689" spans="1:49" x14ac:dyDescent="0.25">
      <c r="A3689" s="21">
        <v>25390</v>
      </c>
      <c r="B3689" s="22" t="s">
        <v>26</v>
      </c>
      <c r="C3689" s="22" t="s">
        <v>7153</v>
      </c>
      <c r="D3689" s="22" t="s">
        <v>9208</v>
      </c>
      <c r="E3689" s="22" t="s">
        <v>7165</v>
      </c>
      <c r="F3689" s="22">
        <v>32.758719545399998</v>
      </c>
      <c r="G3689" s="22">
        <v>45.1116168251</v>
      </c>
      <c r="H3689" s="21" t="s">
        <v>7028</v>
      </c>
      <c r="I3689" s="21" t="s">
        <v>7155</v>
      </c>
      <c r="J3689" s="21"/>
      <c r="K3689" s="24">
        <v>10</v>
      </c>
      <c r="L3689" s="24">
        <v>60</v>
      </c>
      <c r="M3689" s="23"/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10</v>
      </c>
      <c r="Z3689" s="23"/>
      <c r="AA3689" s="23"/>
      <c r="AB3689" s="23"/>
      <c r="AC3689" s="23"/>
      <c r="AD3689" s="23"/>
      <c r="AE3689" s="23"/>
      <c r="AF3689" s="23">
        <v>6</v>
      </c>
      <c r="AG3689" s="23"/>
      <c r="AH3689" s="23"/>
      <c r="AI3689" s="23"/>
      <c r="AJ3689" s="23"/>
      <c r="AK3689" s="23">
        <v>4</v>
      </c>
      <c r="AL3689" s="23"/>
      <c r="AM3689" s="23"/>
      <c r="AN3689" s="23"/>
      <c r="AO3689" s="23"/>
      <c r="AP3689" s="23">
        <v>10</v>
      </c>
      <c r="AQ3689" s="23"/>
      <c r="AR3689" s="23"/>
      <c r="AS3689" s="23"/>
      <c r="AT3689" s="23"/>
      <c r="AU3689" s="14" t="str">
        <f>HYPERLINK("http://www.openstreetmap.org/?mlat=32.7591&amp;mlon=45.1035&amp;zoom=12#map=12/32.7591/45.1035","Maplink1")</f>
        <v>Maplink1</v>
      </c>
      <c r="AV3689" s="14" t="str">
        <f>HYPERLINK("https://www.google.iq/maps/search/+32.7591,45.1035/@32.7591,45.1035,14z?hl=en","Maplink2")</f>
        <v>Maplink2</v>
      </c>
      <c r="AW3689" s="14" t="str">
        <f>HYPERLINK("http://www.bing.com/maps/?lvl=14&amp;sty=h&amp;cp=32.7591~45.1035&amp;sp=point.32.7591_45.1035_Al-Zubaideya-Al-Sudor Village","Maplink3")</f>
        <v>Maplink3</v>
      </c>
    </row>
    <row r="3690" spans="1:49" x14ac:dyDescent="0.25">
      <c r="A3690" s="21">
        <v>24217</v>
      </c>
      <c r="B3690" s="22" t="s">
        <v>26</v>
      </c>
      <c r="C3690" s="22" t="s">
        <v>7153</v>
      </c>
      <c r="D3690" s="22" t="s">
        <v>9209</v>
      </c>
      <c r="E3690" s="22" t="s">
        <v>9210</v>
      </c>
      <c r="F3690" s="22">
        <v>32.9322283638</v>
      </c>
      <c r="G3690" s="22">
        <v>44.782134805600002</v>
      </c>
      <c r="H3690" s="21" t="s">
        <v>7028</v>
      </c>
      <c r="I3690" s="21" t="s">
        <v>7155</v>
      </c>
      <c r="J3690" s="21" t="s">
        <v>7163</v>
      </c>
      <c r="K3690" s="24">
        <v>140</v>
      </c>
      <c r="L3690" s="24">
        <v>840</v>
      </c>
      <c r="M3690" s="23">
        <v>140</v>
      </c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>
        <v>140</v>
      </c>
      <c r="AL3690" s="23"/>
      <c r="AM3690" s="23"/>
      <c r="AN3690" s="23"/>
      <c r="AO3690" s="23"/>
      <c r="AP3690" s="23"/>
      <c r="AQ3690" s="23"/>
      <c r="AR3690" s="23"/>
      <c r="AS3690" s="23">
        <v>140</v>
      </c>
      <c r="AT3690" s="23"/>
      <c r="AU3690" s="14" t="str">
        <f>HYPERLINK("http://www.openstreetmap.org/?mlat=32.7575&amp;mlon=45.177&amp;zoom=12#map=12/32.7575/45.177","Maplink1")</f>
        <v>Maplink1</v>
      </c>
      <c r="AV3690" s="14" t="str">
        <f>HYPERLINK("https://www.google.iq/maps/search/+32.7575,45.177/@32.7575,45.177,14z?hl=en","Maplink2")</f>
        <v>Maplink2</v>
      </c>
      <c r="AW3690" s="14" t="str">
        <f>HYPERLINK("http://www.bing.com/maps/?lvl=14&amp;sty=h&amp;cp=32.7575~45.177&amp;sp=point.32.7575_45.177_Al-Markaz","Maplink3")</f>
        <v>Maplink3</v>
      </c>
    </row>
    <row r="3691" spans="1:49" x14ac:dyDescent="0.25">
      <c r="A3691" s="21">
        <v>25761</v>
      </c>
      <c r="B3691" s="22" t="s">
        <v>26</v>
      </c>
      <c r="C3691" s="22" t="s">
        <v>7153</v>
      </c>
      <c r="D3691" s="22" t="s">
        <v>9209</v>
      </c>
      <c r="E3691" s="22" t="s">
        <v>7170</v>
      </c>
      <c r="F3691" s="22">
        <v>32.927944901799997</v>
      </c>
      <c r="G3691" s="22">
        <v>44.781646105199997</v>
      </c>
      <c r="H3691" s="21" t="s">
        <v>7028</v>
      </c>
      <c r="I3691" s="21" t="s">
        <v>7155</v>
      </c>
      <c r="J3691" s="21"/>
      <c r="K3691" s="24">
        <v>50</v>
      </c>
      <c r="L3691" s="24">
        <v>300</v>
      </c>
      <c r="M3691" s="23">
        <v>50</v>
      </c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>
        <v>30</v>
      </c>
      <c r="AG3691" s="23"/>
      <c r="AH3691" s="23"/>
      <c r="AI3691" s="23"/>
      <c r="AJ3691" s="23"/>
      <c r="AK3691" s="23">
        <v>20</v>
      </c>
      <c r="AL3691" s="23"/>
      <c r="AM3691" s="23"/>
      <c r="AN3691" s="23"/>
      <c r="AO3691" s="23"/>
      <c r="AP3691" s="23"/>
      <c r="AQ3691" s="23"/>
      <c r="AR3691" s="23"/>
      <c r="AS3691" s="23">
        <v>50</v>
      </c>
      <c r="AT3691" s="23"/>
      <c r="AU3691" s="14" t="str">
        <f>HYPERLINK("http://www.openstreetmap.org/?mlat=32.9116&amp;mlon=44.7897&amp;zoom=12#map=12/32.9116/44.7897","Maplink1")</f>
        <v>Maplink1</v>
      </c>
      <c r="AV3691" s="14" t="str">
        <f>HYPERLINK("https://www.google.iq/maps/search/+32.9116,44.7897/@32.9116,44.7897,14z?hl=en","Maplink2")</f>
        <v>Maplink2</v>
      </c>
      <c r="AW3691" s="14" t="str">
        <f>HYPERLINK("http://www.bing.com/maps/?lvl=14&amp;sty=h&amp;cp=32.9116~44.7897&amp;sp=point.32.9116_44.7897_Markaz Al-Suwaira-Al-Suwaira Center","Maplink3")</f>
        <v>Maplink3</v>
      </c>
    </row>
    <row r="3692" spans="1:49" x14ac:dyDescent="0.25">
      <c r="A3692" s="21">
        <v>18436</v>
      </c>
      <c r="B3692" s="22" t="s">
        <v>26</v>
      </c>
      <c r="C3692" s="22" t="s">
        <v>7153</v>
      </c>
      <c r="D3692" s="22" t="s">
        <v>9211</v>
      </c>
      <c r="E3692" s="22" t="s">
        <v>7177</v>
      </c>
      <c r="F3692" s="22">
        <v>32.762377483800002</v>
      </c>
      <c r="G3692" s="22">
        <v>45.174705105699999</v>
      </c>
      <c r="H3692" s="21" t="s">
        <v>7028</v>
      </c>
      <c r="I3692" s="21" t="s">
        <v>7155</v>
      </c>
      <c r="J3692" s="21" t="s">
        <v>7178</v>
      </c>
      <c r="K3692" s="24">
        <v>20</v>
      </c>
      <c r="L3692" s="24">
        <v>120</v>
      </c>
      <c r="M3692" s="23">
        <v>13</v>
      </c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>
        <v>7</v>
      </c>
      <c r="Z3692" s="23"/>
      <c r="AA3692" s="23"/>
      <c r="AB3692" s="23"/>
      <c r="AC3692" s="23"/>
      <c r="AD3692" s="23"/>
      <c r="AE3692" s="23"/>
      <c r="AF3692" s="23">
        <v>13</v>
      </c>
      <c r="AG3692" s="23"/>
      <c r="AH3692" s="23"/>
      <c r="AI3692" s="23"/>
      <c r="AJ3692" s="23">
        <v>4</v>
      </c>
      <c r="AK3692" s="23">
        <v>3</v>
      </c>
      <c r="AL3692" s="23"/>
      <c r="AM3692" s="23"/>
      <c r="AN3692" s="23"/>
      <c r="AO3692" s="23"/>
      <c r="AP3692" s="23">
        <v>7</v>
      </c>
      <c r="AQ3692" s="23"/>
      <c r="AR3692" s="23"/>
      <c r="AS3692" s="23">
        <v>13</v>
      </c>
      <c r="AT3692" s="23"/>
      <c r="AU3692" s="14" t="str">
        <f>HYPERLINK("http://www.openstreetmap.org/?mlat=32.759&amp;mlon=45.1698&amp;zoom=12#map=12/32.759/45.1698","Maplink1")</f>
        <v>Maplink1</v>
      </c>
      <c r="AV3692" s="14" t="str">
        <f>HYPERLINK("https://www.google.iq/maps/search/+32.759,45.1698/@32.759,45.1698,14z?hl=en","Maplink2")</f>
        <v>Maplink2</v>
      </c>
      <c r="AW3692" s="14" t="str">
        <f>HYPERLINK("http://www.bing.com/maps/?lvl=14&amp;sty=h&amp;cp=32.759~45.1698&amp;sp=point.32.759_45.1698_Zubaydiyah","Maplink3")</f>
        <v>Maplink3</v>
      </c>
    </row>
    <row r="3693" spans="1:49" x14ac:dyDescent="0.25">
      <c r="A3693" s="21">
        <v>25385</v>
      </c>
      <c r="B3693" s="22" t="s">
        <v>26</v>
      </c>
      <c r="C3693" s="22" t="s">
        <v>7153</v>
      </c>
      <c r="D3693" s="22" t="s">
        <v>7166</v>
      </c>
      <c r="E3693" s="22" t="s">
        <v>8138</v>
      </c>
      <c r="F3693" s="22">
        <v>32.922060229800003</v>
      </c>
      <c r="G3693" s="22">
        <v>44.778781440400003</v>
      </c>
      <c r="H3693" s="21" t="s">
        <v>7028</v>
      </c>
      <c r="I3693" s="21" t="s">
        <v>7155</v>
      </c>
      <c r="J3693" s="21"/>
      <c r="K3693" s="24">
        <v>55</v>
      </c>
      <c r="L3693" s="24">
        <v>330</v>
      </c>
      <c r="M3693" s="23">
        <v>30</v>
      </c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11</v>
      </c>
      <c r="Z3693" s="23"/>
      <c r="AA3693" s="23">
        <v>14</v>
      </c>
      <c r="AB3693" s="23"/>
      <c r="AC3693" s="23"/>
      <c r="AD3693" s="23"/>
      <c r="AE3693" s="23"/>
      <c r="AF3693" s="23">
        <v>24</v>
      </c>
      <c r="AG3693" s="23"/>
      <c r="AH3693" s="23"/>
      <c r="AI3693" s="23"/>
      <c r="AJ3693" s="23"/>
      <c r="AK3693" s="23">
        <v>31</v>
      </c>
      <c r="AL3693" s="23"/>
      <c r="AM3693" s="23"/>
      <c r="AN3693" s="23"/>
      <c r="AO3693" s="23"/>
      <c r="AP3693" s="23">
        <v>6</v>
      </c>
      <c r="AQ3693" s="23">
        <v>19</v>
      </c>
      <c r="AR3693" s="23">
        <v>5</v>
      </c>
      <c r="AS3693" s="23">
        <v>25</v>
      </c>
      <c r="AT3693" s="23"/>
      <c r="AU3693" s="14" t="str">
        <f>HYPERLINK("http://www.openstreetmap.org/?mlat=32.9074&amp;mlon=44.7727&amp;zoom=12#map=12/32.9074/44.7727","Maplink1")</f>
        <v>Maplink1</v>
      </c>
      <c r="AV3693" s="14" t="str">
        <f>HYPERLINK("https://www.google.iq/maps/search/+32.9074,44.7727/@32.9074,44.7727,14z?hl=en","Maplink2")</f>
        <v>Maplink2</v>
      </c>
      <c r="AW3693" s="14" t="str">
        <f>HYPERLINK("http://www.bing.com/maps/?lvl=14&amp;sty=h&amp;cp=32.9074~44.7727&amp;sp=point.32.9074_44.7727_Hai Al-Askari-5 Dunam","Maplink3")</f>
        <v>Maplink3</v>
      </c>
    </row>
    <row r="3694" spans="1:49" x14ac:dyDescent="0.25">
      <c r="A3694" s="21">
        <v>25112</v>
      </c>
      <c r="B3694" s="22" t="s">
        <v>26</v>
      </c>
      <c r="C3694" s="22" t="s">
        <v>7153</v>
      </c>
      <c r="D3694" s="22" t="s">
        <v>9212</v>
      </c>
      <c r="E3694" s="22" t="s">
        <v>967</v>
      </c>
      <c r="F3694" s="22">
        <v>32.757787398200001</v>
      </c>
      <c r="G3694" s="22">
        <v>45.178879928000001</v>
      </c>
      <c r="H3694" s="21" t="s">
        <v>7028</v>
      </c>
      <c r="I3694" s="21" t="s">
        <v>7155</v>
      </c>
      <c r="J3694" s="21"/>
      <c r="K3694" s="24">
        <v>10</v>
      </c>
      <c r="L3694" s="24">
        <v>60</v>
      </c>
      <c r="M3694" s="23">
        <v>10</v>
      </c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>
        <v>10</v>
      </c>
      <c r="AL3694" s="23"/>
      <c r="AM3694" s="23"/>
      <c r="AN3694" s="23"/>
      <c r="AO3694" s="23"/>
      <c r="AP3694" s="23"/>
      <c r="AQ3694" s="23"/>
      <c r="AR3694" s="23"/>
      <c r="AS3694" s="23">
        <v>10</v>
      </c>
      <c r="AT3694" s="23"/>
      <c r="AU3694" s="14" t="str">
        <f>HYPERLINK("http://www.openstreetmap.org/?mlat=32.7579&amp;mlon=45.1693&amp;zoom=12#map=12/32.7579/45.1693","Maplink1")</f>
        <v>Maplink1</v>
      </c>
      <c r="AV3694" s="14" t="str">
        <f>HYPERLINK("https://www.google.iq/maps/search/+32.7579,45.1693/@32.7579,45.1693,14z?hl=en","Maplink2")</f>
        <v>Maplink2</v>
      </c>
      <c r="AW3694" s="14" t="str">
        <f>HYPERLINK("http://www.bing.com/maps/?lvl=14&amp;sty=h&amp;cp=32.7579~45.1693&amp;sp=point.32.7579_45.1693_Zubaideya-Hay Al-Amer","Maplink3")</f>
        <v>Maplink3</v>
      </c>
    </row>
    <row r="3695" spans="1:49" x14ac:dyDescent="0.25">
      <c r="A3695" s="21">
        <v>19397</v>
      </c>
      <c r="B3695" s="22" t="s">
        <v>26</v>
      </c>
      <c r="C3695" s="22" t="s">
        <v>7153</v>
      </c>
      <c r="D3695" s="22" t="s">
        <v>9213</v>
      </c>
      <c r="E3695" s="22" t="s">
        <v>120</v>
      </c>
      <c r="F3695" s="22">
        <v>32.926369285100002</v>
      </c>
      <c r="G3695" s="22">
        <v>44.774765566299997</v>
      </c>
      <c r="H3695" s="21" t="s">
        <v>7028</v>
      </c>
      <c r="I3695" s="21" t="s">
        <v>7155</v>
      </c>
      <c r="J3695" s="21" t="s">
        <v>7164</v>
      </c>
      <c r="K3695" s="24">
        <v>47</v>
      </c>
      <c r="L3695" s="24">
        <v>282</v>
      </c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47</v>
      </c>
      <c r="Z3695" s="23"/>
      <c r="AA3695" s="23"/>
      <c r="AB3695" s="23"/>
      <c r="AC3695" s="23"/>
      <c r="AD3695" s="23"/>
      <c r="AE3695" s="23"/>
      <c r="AF3695" s="23">
        <v>20</v>
      </c>
      <c r="AG3695" s="23"/>
      <c r="AH3695" s="23"/>
      <c r="AI3695" s="23"/>
      <c r="AJ3695" s="23"/>
      <c r="AK3695" s="23">
        <v>27</v>
      </c>
      <c r="AL3695" s="23"/>
      <c r="AM3695" s="23"/>
      <c r="AN3695" s="23"/>
      <c r="AO3695" s="23"/>
      <c r="AP3695" s="23">
        <v>47</v>
      </c>
      <c r="AQ3695" s="23"/>
      <c r="AR3695" s="23"/>
      <c r="AS3695" s="23"/>
      <c r="AT3695" s="23"/>
      <c r="AU3695" s="14" t="str">
        <f>HYPERLINK("http://www.openstreetmap.org/?mlat=32.9279&amp;mlon=44.7879&amp;zoom=12#map=12/32.9279/44.7879","Maplink1")</f>
        <v>Maplink1</v>
      </c>
      <c r="AV3695" s="14" t="str">
        <f>HYPERLINK("https://www.google.iq/maps/search/+32.9279,44.7879/@32.9279,44.7879,14z?hl=en","Maplink2")</f>
        <v>Maplink2</v>
      </c>
      <c r="AW3695" s="14" t="str">
        <f>HYPERLINK("http://www.bing.com/maps/?lvl=14&amp;sty=h&amp;cp=32.9279~44.7879&amp;sp=point.32.9279_44.7879_Al-Suwaira-Hay Al-askary","Maplink3")</f>
        <v>Maplink3</v>
      </c>
    </row>
    <row r="3696" spans="1:49" x14ac:dyDescent="0.25">
      <c r="A3696" s="21">
        <v>19402</v>
      </c>
      <c r="B3696" s="22" t="s">
        <v>26</v>
      </c>
      <c r="C3696" s="22" t="s">
        <v>7153</v>
      </c>
      <c r="D3696" s="22" t="s">
        <v>7167</v>
      </c>
      <c r="E3696" s="22" t="s">
        <v>5053</v>
      </c>
      <c r="F3696" s="22">
        <v>32.926268488600002</v>
      </c>
      <c r="G3696" s="22">
        <v>44.7699719505</v>
      </c>
      <c r="H3696" s="21" t="s">
        <v>7028</v>
      </c>
      <c r="I3696" s="21" t="s">
        <v>7155</v>
      </c>
      <c r="J3696" s="21" t="s">
        <v>7168</v>
      </c>
      <c r="K3696" s="24">
        <v>30</v>
      </c>
      <c r="L3696" s="24">
        <v>180</v>
      </c>
      <c r="M3696" s="23">
        <v>15</v>
      </c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15</v>
      </c>
      <c r="Z3696" s="23"/>
      <c r="AA3696" s="23"/>
      <c r="AB3696" s="23"/>
      <c r="AC3696" s="23"/>
      <c r="AD3696" s="23"/>
      <c r="AE3696" s="23"/>
      <c r="AF3696" s="23">
        <v>10</v>
      </c>
      <c r="AG3696" s="23"/>
      <c r="AH3696" s="23"/>
      <c r="AI3696" s="23"/>
      <c r="AJ3696" s="23"/>
      <c r="AK3696" s="23">
        <v>20</v>
      </c>
      <c r="AL3696" s="23"/>
      <c r="AM3696" s="23"/>
      <c r="AN3696" s="23"/>
      <c r="AO3696" s="23"/>
      <c r="AP3696" s="23">
        <v>15</v>
      </c>
      <c r="AQ3696" s="23"/>
      <c r="AR3696" s="23"/>
      <c r="AS3696" s="23">
        <v>15</v>
      </c>
      <c r="AT3696" s="23"/>
      <c r="AU3696" s="14" t="str">
        <f>HYPERLINK("http://www.openstreetmap.org/?mlat=32.9324&amp;mlon=44.7525&amp;zoom=12#map=12/32.9324/44.7525","Maplink1")</f>
        <v>Maplink1</v>
      </c>
      <c r="AV3696" s="14" t="str">
        <f>HYPERLINK("https://www.google.iq/maps/search/+32.9324,44.7525/@32.9324,44.7525,14z?hl=en","Maplink2")</f>
        <v>Maplink2</v>
      </c>
      <c r="AW3696" s="14" t="str">
        <f>HYPERLINK("http://www.bing.com/maps/?lvl=14&amp;sty=h&amp;cp=32.9324~44.7525&amp;sp=point.32.9324_44.7525_Hay Al-Furat","Maplink3")</f>
        <v>Maplink3</v>
      </c>
    </row>
    <row r="3697" spans="1:49" x14ac:dyDescent="0.25">
      <c r="A3697" s="21">
        <v>24155</v>
      </c>
      <c r="B3697" s="22" t="s">
        <v>26</v>
      </c>
      <c r="C3697" s="22" t="s">
        <v>7153</v>
      </c>
      <c r="D3697" s="22" t="s">
        <v>9214</v>
      </c>
      <c r="E3697" s="22" t="s">
        <v>2192</v>
      </c>
      <c r="F3697" s="22">
        <v>32.763901817899999</v>
      </c>
      <c r="G3697" s="22">
        <v>45.1719352259</v>
      </c>
      <c r="H3697" s="21" t="s">
        <v>7028</v>
      </c>
      <c r="I3697" s="21" t="s">
        <v>7155</v>
      </c>
      <c r="J3697" s="21" t="s">
        <v>7173</v>
      </c>
      <c r="K3697" s="24">
        <v>31</v>
      </c>
      <c r="L3697" s="24">
        <v>186</v>
      </c>
      <c r="M3697" s="23">
        <v>8</v>
      </c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23</v>
      </c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>
        <v>31</v>
      </c>
      <c r="AL3697" s="23"/>
      <c r="AM3697" s="23"/>
      <c r="AN3697" s="23"/>
      <c r="AO3697" s="23"/>
      <c r="AP3697" s="23">
        <v>23</v>
      </c>
      <c r="AQ3697" s="23"/>
      <c r="AR3697" s="23"/>
      <c r="AS3697" s="23">
        <v>8</v>
      </c>
      <c r="AT3697" s="23"/>
      <c r="AU3697" s="14" t="str">
        <f>HYPERLINK("http://www.openstreetmap.org/?mlat=32.7639&amp;mlon=45.1762&amp;zoom=12#map=12/32.7639/45.1762","Maplink1")</f>
        <v>Maplink1</v>
      </c>
      <c r="AV3697" s="14" t="str">
        <f>HYPERLINK("https://www.google.iq/maps/search/+32.7639,45.1762/@32.7639,45.1762,14z?hl=en","Maplink2")</f>
        <v>Maplink2</v>
      </c>
      <c r="AW3697" s="14" t="str">
        <f>HYPERLINK("http://www.bing.com/maps/?lvl=14&amp;sty=h&amp;cp=32.7639~45.1762&amp;sp=point.32.7639_45.1762_Zubaideya-Al-Jameya","Maplink3")</f>
        <v>Maplink3</v>
      </c>
    </row>
    <row r="3698" spans="1:49" x14ac:dyDescent="0.25">
      <c r="A3698" s="21">
        <v>25387</v>
      </c>
      <c r="B3698" s="22" t="s">
        <v>26</v>
      </c>
      <c r="C3698" s="22" t="s">
        <v>7153</v>
      </c>
      <c r="D3698" s="22" t="s">
        <v>9215</v>
      </c>
      <c r="E3698" s="22" t="s">
        <v>3881</v>
      </c>
      <c r="F3698" s="22">
        <v>32.930266173600003</v>
      </c>
      <c r="G3698" s="22">
        <v>44.773651444599999</v>
      </c>
      <c r="H3698" s="21" t="s">
        <v>7028</v>
      </c>
      <c r="I3698" s="21" t="s">
        <v>7155</v>
      </c>
      <c r="J3698" s="21"/>
      <c r="K3698" s="24">
        <v>35</v>
      </c>
      <c r="L3698" s="24">
        <v>210</v>
      </c>
      <c r="M3698" s="23">
        <v>25</v>
      </c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/>
      <c r="Z3698" s="23"/>
      <c r="AA3698" s="23">
        <v>10</v>
      </c>
      <c r="AB3698" s="23"/>
      <c r="AC3698" s="23"/>
      <c r="AD3698" s="23"/>
      <c r="AE3698" s="23"/>
      <c r="AF3698" s="23">
        <v>10</v>
      </c>
      <c r="AG3698" s="23"/>
      <c r="AH3698" s="23"/>
      <c r="AI3698" s="23"/>
      <c r="AJ3698" s="23"/>
      <c r="AK3698" s="23">
        <v>25</v>
      </c>
      <c r="AL3698" s="23"/>
      <c r="AM3698" s="23"/>
      <c r="AN3698" s="23"/>
      <c r="AO3698" s="23"/>
      <c r="AP3698" s="23"/>
      <c r="AQ3698" s="23">
        <v>10</v>
      </c>
      <c r="AR3698" s="23"/>
      <c r="AS3698" s="23">
        <v>25</v>
      </c>
      <c r="AT3698" s="23"/>
      <c r="AU3698" s="14" t="str">
        <f>HYPERLINK("http://www.openstreetmap.org/?mlat=32.6995&amp;mlon=45.0294&amp;zoom=12#map=12/32.6995/45.0294","Maplink1")</f>
        <v>Maplink1</v>
      </c>
      <c r="AV3698" s="14" t="str">
        <f>HYPERLINK("https://www.google.iq/maps/search/+32.6995,45.0294/@32.6995,45.0294,14z?hl=en","Maplink2")</f>
        <v>Maplink2</v>
      </c>
      <c r="AW3698" s="14" t="str">
        <f>HYPERLINK("http://www.bing.com/maps/?lvl=14&amp;sty=h&amp;cp=32.6995~45.0294&amp;sp=point.32.6995_45.0294_Al-Jihad Neighborhood","Maplink3")</f>
        <v>Maplink3</v>
      </c>
    </row>
    <row r="3699" spans="1:49" x14ac:dyDescent="0.25">
      <c r="A3699" s="21">
        <v>25386</v>
      </c>
      <c r="B3699" s="22" t="s">
        <v>26</v>
      </c>
      <c r="C3699" s="22" t="s">
        <v>7153</v>
      </c>
      <c r="D3699" s="22" t="s">
        <v>9216</v>
      </c>
      <c r="E3699" s="22" t="s">
        <v>7162</v>
      </c>
      <c r="F3699" s="22">
        <v>32.927222153800003</v>
      </c>
      <c r="G3699" s="22">
        <v>44.768726065800003</v>
      </c>
      <c r="H3699" s="21" t="s">
        <v>7028</v>
      </c>
      <c r="I3699" s="21" t="s">
        <v>7155</v>
      </c>
      <c r="J3699" s="21"/>
      <c r="K3699" s="24">
        <v>25</v>
      </c>
      <c r="L3699" s="24">
        <v>150</v>
      </c>
      <c r="M3699" s="23">
        <v>25</v>
      </c>
      <c r="N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>
        <v>7</v>
      </c>
      <c r="AG3699" s="23"/>
      <c r="AH3699" s="23"/>
      <c r="AI3699" s="23"/>
      <c r="AJ3699" s="23"/>
      <c r="AK3699" s="23">
        <v>18</v>
      </c>
      <c r="AL3699" s="23"/>
      <c r="AM3699" s="23"/>
      <c r="AN3699" s="23"/>
      <c r="AO3699" s="23"/>
      <c r="AP3699" s="23"/>
      <c r="AQ3699" s="23">
        <v>5</v>
      </c>
      <c r="AR3699" s="23"/>
      <c r="AS3699" s="23">
        <v>20</v>
      </c>
      <c r="AT3699" s="23"/>
      <c r="AU3699" s="14" t="str">
        <f>HYPERLINK("http://www.openstreetmap.org/?mlat=32.7053&amp;mlon=45.0069&amp;zoom=12#map=12/32.7053/45.0069","Maplink1")</f>
        <v>Maplink1</v>
      </c>
      <c r="AV3699" s="14" t="str">
        <f>HYPERLINK("https://www.google.iq/maps/search/+32.7053,45.0069/@32.7053,45.0069,14z?hl=en","Maplink2")</f>
        <v>Maplink2</v>
      </c>
      <c r="AW3699" s="14" t="str">
        <f>HYPERLINK("http://www.bing.com/maps/?lvl=14&amp;sty=h&amp;cp=32.7053~45.0069&amp;sp=point.32.7053_45.0069_Al-Maghrib Neighborhood","Maplink3")</f>
        <v>Maplink3</v>
      </c>
    </row>
    <row r="3700" spans="1:49" x14ac:dyDescent="0.25">
      <c r="A3700" s="21">
        <v>19413</v>
      </c>
      <c r="B3700" s="22" t="s">
        <v>26</v>
      </c>
      <c r="C3700" s="22" t="s">
        <v>7153</v>
      </c>
      <c r="D3700" s="22" t="s">
        <v>1009</v>
      </c>
      <c r="E3700" s="22" t="s">
        <v>129</v>
      </c>
      <c r="F3700" s="22">
        <v>32.936846292699997</v>
      </c>
      <c r="G3700" s="22">
        <v>44.773236648900003</v>
      </c>
      <c r="H3700" s="21" t="s">
        <v>7028</v>
      </c>
      <c r="I3700" s="21" t="s">
        <v>7155</v>
      </c>
      <c r="J3700" s="21" t="s">
        <v>7169</v>
      </c>
      <c r="K3700" s="24">
        <v>5</v>
      </c>
      <c r="L3700" s="24">
        <v>30</v>
      </c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>
        <v>5</v>
      </c>
      <c r="Z3700" s="23"/>
      <c r="AA3700" s="23"/>
      <c r="AB3700" s="23"/>
      <c r="AC3700" s="23"/>
      <c r="AD3700" s="23"/>
      <c r="AE3700" s="23"/>
      <c r="AF3700" s="23">
        <v>5</v>
      </c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>
        <v>5</v>
      </c>
      <c r="AQ3700" s="23"/>
      <c r="AR3700" s="23"/>
      <c r="AS3700" s="23"/>
      <c r="AT3700" s="23"/>
      <c r="AU3700" s="14" t="str">
        <f>HYPERLINK("http://www.openstreetmap.org/?mlat=32.9334&amp;mlon=44.7577&amp;zoom=12#map=12/32.9334/44.7577","Maplink1")</f>
        <v>Maplink1</v>
      </c>
      <c r="AV3700" s="14" t="str">
        <f>HYPERLINK("https://www.google.iq/maps/search/+32.9334,44.7577/@32.9334,44.7577,14z?hl=en","Maplink2")</f>
        <v>Maplink2</v>
      </c>
      <c r="AW3700" s="14" t="str">
        <f>HYPERLINK("http://www.bing.com/maps/?lvl=14&amp;sty=h&amp;cp=32.9334~44.7577&amp;sp=point.32.9334_44.7577_Hay Al-Shuhadaa","Maplink3")</f>
        <v>Maplink3</v>
      </c>
    </row>
    <row r="3701" spans="1:49" x14ac:dyDescent="0.25">
      <c r="A3701" s="21">
        <v>25110</v>
      </c>
      <c r="B3701" s="22" t="s">
        <v>26</v>
      </c>
      <c r="C3701" s="22" t="s">
        <v>7153</v>
      </c>
      <c r="D3701" s="22" t="s">
        <v>1156</v>
      </c>
      <c r="E3701" s="22" t="s">
        <v>2196</v>
      </c>
      <c r="F3701" s="22">
        <v>32.758988056900002</v>
      </c>
      <c r="G3701" s="22">
        <v>45.169032428100003</v>
      </c>
      <c r="H3701" s="21" t="s">
        <v>7028</v>
      </c>
      <c r="I3701" s="21" t="s">
        <v>7155</v>
      </c>
      <c r="J3701" s="21"/>
      <c r="K3701" s="24">
        <v>22</v>
      </c>
      <c r="L3701" s="24">
        <v>132</v>
      </c>
      <c r="M3701" s="23"/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22</v>
      </c>
      <c r="Z3701" s="23"/>
      <c r="AA3701" s="23"/>
      <c r="AB3701" s="23"/>
      <c r="AC3701" s="23"/>
      <c r="AD3701" s="23"/>
      <c r="AE3701" s="23"/>
      <c r="AF3701" s="23">
        <v>22</v>
      </c>
      <c r="AG3701" s="23"/>
      <c r="AH3701" s="23"/>
      <c r="AI3701" s="23"/>
      <c r="AJ3701" s="23"/>
      <c r="AK3701" s="23"/>
      <c r="AL3701" s="23"/>
      <c r="AM3701" s="23"/>
      <c r="AN3701" s="23"/>
      <c r="AO3701" s="23"/>
      <c r="AP3701" s="23">
        <v>22</v>
      </c>
      <c r="AQ3701" s="23"/>
      <c r="AR3701" s="23"/>
      <c r="AS3701" s="23"/>
      <c r="AT3701" s="23"/>
      <c r="AU3701" s="14" t="str">
        <f>HYPERLINK("http://www.openstreetmap.org/?mlat=32.7578&amp;mlon=45.1706&amp;zoom=12#map=12/32.7578/45.1706","Maplink1")</f>
        <v>Maplink1</v>
      </c>
      <c r="AV3701" s="14" t="str">
        <f>HYPERLINK("https://www.google.iq/maps/search/+32.7578,45.1706/@32.7578,45.1706,14z?hl=en","Maplink2")</f>
        <v>Maplink2</v>
      </c>
      <c r="AW3701" s="14" t="str">
        <f>HYPERLINK("http://www.bing.com/maps/?lvl=14&amp;sty=h&amp;cp=32.7578~45.1706&amp;sp=point.32.7578_45.1706_Zubaideya-Al-Zahraa","Maplink3")</f>
        <v>Maplink3</v>
      </c>
    </row>
    <row r="3702" spans="1:49" x14ac:dyDescent="0.25">
      <c r="A3702" s="21">
        <v>25392</v>
      </c>
      <c r="B3702" s="22" t="s">
        <v>26</v>
      </c>
      <c r="C3702" s="22" t="s">
        <v>7153</v>
      </c>
      <c r="D3702" s="22" t="s">
        <v>7171</v>
      </c>
      <c r="E3702" s="22" t="s">
        <v>7172</v>
      </c>
      <c r="F3702" s="22">
        <v>32.754328362300001</v>
      </c>
      <c r="G3702" s="22">
        <v>45.193601174900003</v>
      </c>
      <c r="H3702" s="21" t="s">
        <v>7028</v>
      </c>
      <c r="I3702" s="21" t="s">
        <v>7155</v>
      </c>
      <c r="J3702" s="21"/>
      <c r="K3702" s="24">
        <v>12</v>
      </c>
      <c r="L3702" s="24">
        <v>72</v>
      </c>
      <c r="M3702" s="23"/>
      <c r="N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>
        <v>12</v>
      </c>
      <c r="Z3702" s="23"/>
      <c r="AA3702" s="23"/>
      <c r="AB3702" s="23"/>
      <c r="AC3702" s="23"/>
      <c r="AD3702" s="23"/>
      <c r="AE3702" s="23"/>
      <c r="AF3702" s="23">
        <v>10</v>
      </c>
      <c r="AG3702" s="23"/>
      <c r="AH3702" s="23"/>
      <c r="AI3702" s="23"/>
      <c r="AJ3702" s="23"/>
      <c r="AK3702" s="23">
        <v>2</v>
      </c>
      <c r="AL3702" s="23"/>
      <c r="AM3702" s="23"/>
      <c r="AN3702" s="23"/>
      <c r="AO3702" s="23"/>
      <c r="AP3702" s="23">
        <v>12</v>
      </c>
      <c r="AQ3702" s="23"/>
      <c r="AR3702" s="23"/>
      <c r="AS3702" s="23"/>
      <c r="AT3702" s="23"/>
      <c r="AU3702" s="14" t="str">
        <f>HYPERLINK("http://www.openstreetmap.org/?mlat=32.7602&amp;mlon=45.1069&amp;zoom=12#map=12/32.7602/45.1069","Maplink1")</f>
        <v>Maplink1</v>
      </c>
      <c r="AV3702" s="14" t="str">
        <f>HYPERLINK("https://www.google.iq/maps/search/+32.7602,45.1069/@32.7602,45.1069,14z?hl=en","Maplink2")</f>
        <v>Maplink2</v>
      </c>
      <c r="AW3702" s="14" t="str">
        <f>HYPERLINK("http://www.bing.com/maps/?lvl=14&amp;sty=h&amp;cp=32.7602~45.1069&amp;sp=point.32.7602_45.1069_Osama Bin Zaid Village","Maplink3")</f>
        <v>Maplink3</v>
      </c>
    </row>
    <row r="3703" spans="1:49" x14ac:dyDescent="0.25">
      <c r="A3703" s="21">
        <v>25111</v>
      </c>
      <c r="B3703" s="22" t="s">
        <v>26</v>
      </c>
      <c r="C3703" s="22" t="s">
        <v>7153</v>
      </c>
      <c r="D3703" s="22" t="s">
        <v>9217</v>
      </c>
      <c r="E3703" s="22" t="s">
        <v>7176</v>
      </c>
      <c r="F3703" s="22">
        <v>32.763642876600002</v>
      </c>
      <c r="G3703" s="22">
        <v>45.174573067499999</v>
      </c>
      <c r="H3703" s="21" t="s">
        <v>7028</v>
      </c>
      <c r="I3703" s="21" t="s">
        <v>7155</v>
      </c>
      <c r="J3703" s="21"/>
      <c r="K3703" s="24">
        <v>36</v>
      </c>
      <c r="L3703" s="24">
        <v>216</v>
      </c>
      <c r="M3703" s="23">
        <v>13</v>
      </c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>
        <v>23</v>
      </c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>
        <v>1</v>
      </c>
      <c r="AK3703" s="23">
        <v>35</v>
      </c>
      <c r="AL3703" s="23"/>
      <c r="AM3703" s="23"/>
      <c r="AN3703" s="23"/>
      <c r="AO3703" s="23"/>
      <c r="AP3703" s="23">
        <v>23</v>
      </c>
      <c r="AQ3703" s="23"/>
      <c r="AR3703" s="23"/>
      <c r="AS3703" s="23">
        <v>13</v>
      </c>
      <c r="AT3703" s="23"/>
      <c r="AU3703" s="14" t="str">
        <f>HYPERLINK("http://www.openstreetmap.org/?mlat=32.7607&amp;mlon=45.1782&amp;zoom=12#map=12/32.7607/45.1782","Maplink1")</f>
        <v>Maplink1</v>
      </c>
      <c r="AV3703" s="14" t="str">
        <f>HYPERLINK("https://www.google.iq/maps/search/+32.7607,45.1782/@32.7607,45.1782,14z?hl=en","Maplink2")</f>
        <v>Maplink2</v>
      </c>
      <c r="AW3703" s="14" t="str">
        <f>HYPERLINK("http://www.bing.com/maps/?lvl=14&amp;sty=h&amp;cp=32.7607~45.1782&amp;sp=point.32.7607_45.1782_Zubaideya-Qatae Dejla","Maplink3")</f>
        <v>Maplink3</v>
      </c>
    </row>
    <row r="3704" spans="1:49" x14ac:dyDescent="0.25">
      <c r="A3704" s="21">
        <v>25316</v>
      </c>
      <c r="B3704" s="22" t="s">
        <v>26</v>
      </c>
      <c r="C3704" s="22" t="s">
        <v>7179</v>
      </c>
      <c r="D3704" s="22" t="s">
        <v>7180</v>
      </c>
      <c r="E3704" s="22" t="s">
        <v>7181</v>
      </c>
      <c r="F3704" s="22">
        <v>33.113566240799997</v>
      </c>
      <c r="G3704" s="22">
        <v>45.947221206599998</v>
      </c>
      <c r="H3704" s="21" t="s">
        <v>7028</v>
      </c>
      <c r="I3704" s="21" t="s">
        <v>7182</v>
      </c>
      <c r="J3704" s="21"/>
      <c r="K3704" s="24">
        <v>19</v>
      </c>
      <c r="L3704" s="24">
        <v>114</v>
      </c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19</v>
      </c>
      <c r="Z3704" s="23"/>
      <c r="AA3704" s="23"/>
      <c r="AB3704" s="23"/>
      <c r="AC3704" s="23"/>
      <c r="AD3704" s="23"/>
      <c r="AE3704" s="23"/>
      <c r="AF3704" s="23">
        <v>19</v>
      </c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>
        <v>19</v>
      </c>
      <c r="AQ3704" s="23"/>
      <c r="AR3704" s="23"/>
      <c r="AS3704" s="23"/>
      <c r="AT3704" s="23"/>
      <c r="AU3704" s="14" t="str">
        <f>HYPERLINK("http://www.openstreetmap.org/?mlat=33.1174&amp;mlon=45.9317&amp;zoom=12#map=12/33.1174/45.9317","Maplink1")</f>
        <v>Maplink1</v>
      </c>
      <c r="AV3704" s="14" t="str">
        <f>HYPERLINK("https://www.google.iq/maps/search/+33.1174,45.9317/@33.1174,45.9317,14z?hl=en","Maplink2")</f>
        <v>Maplink2</v>
      </c>
      <c r="AW3704" s="14" t="str">
        <f>HYPERLINK("http://www.bing.com/maps/?lvl=14&amp;sty=h&amp;cp=33.1174~45.9317&amp;sp=point.33.1174_45.9317_Al-Akar Wil-Atriba village","Maplink3")</f>
        <v>Maplink3</v>
      </c>
    </row>
    <row r="3705" spans="1:49" x14ac:dyDescent="0.25">
      <c r="A3705" s="21">
        <v>25315</v>
      </c>
      <c r="B3705" s="22" t="s">
        <v>26</v>
      </c>
      <c r="C3705" s="22" t="s">
        <v>7179</v>
      </c>
      <c r="D3705" s="22" t="s">
        <v>7185</v>
      </c>
      <c r="E3705" s="22" t="s">
        <v>7186</v>
      </c>
      <c r="F3705" s="22">
        <v>33.112037893999997</v>
      </c>
      <c r="G3705" s="22">
        <v>45.946570831899997</v>
      </c>
      <c r="H3705" s="21" t="s">
        <v>7028</v>
      </c>
      <c r="I3705" s="21" t="s">
        <v>7182</v>
      </c>
      <c r="J3705" s="21"/>
      <c r="K3705" s="24">
        <v>6</v>
      </c>
      <c r="L3705" s="24">
        <v>36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6</v>
      </c>
      <c r="Z3705" s="23"/>
      <c r="AA3705" s="23"/>
      <c r="AB3705" s="23"/>
      <c r="AC3705" s="23"/>
      <c r="AD3705" s="23"/>
      <c r="AE3705" s="23"/>
      <c r="AF3705" s="23">
        <v>6</v>
      </c>
      <c r="AG3705" s="23"/>
      <c r="AH3705" s="23"/>
      <c r="AI3705" s="23"/>
      <c r="AJ3705" s="23"/>
      <c r="AK3705" s="23"/>
      <c r="AL3705" s="23"/>
      <c r="AM3705" s="23"/>
      <c r="AN3705" s="23"/>
      <c r="AO3705" s="23"/>
      <c r="AP3705" s="23">
        <v>6</v>
      </c>
      <c r="AQ3705" s="23"/>
      <c r="AR3705" s="23"/>
      <c r="AS3705" s="23"/>
      <c r="AT3705" s="23"/>
      <c r="AU3705" s="14" t="str">
        <f>HYPERLINK("http://www.openstreetmap.org/?mlat=33.1124&amp;mlon=45.9309&amp;zoom=12#map=12/33.1124/45.9309","Maplink1")</f>
        <v>Maplink1</v>
      </c>
      <c r="AV3705" s="14" t="str">
        <f>HYPERLINK("https://www.google.iq/maps/search/+33.1124,45.9309/@33.1124,45.9309,14z?hl=en","Maplink2")</f>
        <v>Maplink2</v>
      </c>
      <c r="AW3705" s="14" t="str">
        <f>HYPERLINK("http://www.bing.com/maps/?lvl=14&amp;sty=h&amp;cp=33.1124~45.9309&amp;sp=point.33.1124_45.9309_Al-Shuhadaa Village","Maplink3")</f>
        <v>Maplink3</v>
      </c>
    </row>
    <row r="3706" spans="1:49" x14ac:dyDescent="0.25">
      <c r="A3706" s="21">
        <v>19492</v>
      </c>
      <c r="B3706" s="22" t="s">
        <v>26</v>
      </c>
      <c r="C3706" s="22" t="s">
        <v>7179</v>
      </c>
      <c r="D3706" s="22" t="s">
        <v>9218</v>
      </c>
      <c r="E3706" s="22" t="s">
        <v>7187</v>
      </c>
      <c r="F3706" s="22">
        <v>33.096551072600001</v>
      </c>
      <c r="G3706" s="22">
        <v>45.938144000000001</v>
      </c>
      <c r="H3706" s="21" t="s">
        <v>7028</v>
      </c>
      <c r="I3706" s="21" t="s">
        <v>7182</v>
      </c>
      <c r="J3706" s="21" t="s">
        <v>7188</v>
      </c>
      <c r="K3706" s="24">
        <v>8</v>
      </c>
      <c r="L3706" s="24">
        <v>48</v>
      </c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8</v>
      </c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>
        <v>8</v>
      </c>
      <c r="AK3706" s="23"/>
      <c r="AL3706" s="23"/>
      <c r="AM3706" s="23"/>
      <c r="AN3706" s="23"/>
      <c r="AO3706" s="23"/>
      <c r="AP3706" s="23">
        <v>8</v>
      </c>
      <c r="AQ3706" s="23"/>
      <c r="AR3706" s="23"/>
      <c r="AS3706" s="23"/>
      <c r="AT3706" s="23"/>
      <c r="AU3706" s="14" t="str">
        <f>HYPERLINK("http://www.openstreetmap.org/?mlat=33.1212&amp;mlon=45.9381&amp;zoom=12#map=12/33.1212/45.9381","Maplink1")</f>
        <v>Maplink1</v>
      </c>
      <c r="AV3706" s="14" t="str">
        <f>HYPERLINK("https://www.google.iq/maps/search/+33.1212,45.9381/@33.1212,45.9381,14z?hl=en","Maplink2")</f>
        <v>Maplink2</v>
      </c>
      <c r="AW3706" s="14" t="str">
        <f>HYPERLINK("http://www.bing.com/maps/?lvl=14&amp;sty=h&amp;cp=33.1212~45.9381&amp;sp=point.33.1212_45.9381_Dahnok","Maplink3")</f>
        <v>Maplink3</v>
      </c>
    </row>
    <row r="3707" spans="1:49" x14ac:dyDescent="0.25">
      <c r="A3707" s="21">
        <v>18459</v>
      </c>
      <c r="B3707" s="22" t="s">
        <v>26</v>
      </c>
      <c r="C3707" s="22" t="s">
        <v>7179</v>
      </c>
      <c r="D3707" s="22" t="s">
        <v>9219</v>
      </c>
      <c r="E3707" s="22" t="s">
        <v>7183</v>
      </c>
      <c r="F3707" s="22">
        <v>33.117814876600001</v>
      </c>
      <c r="G3707" s="22">
        <v>45.940211979200001</v>
      </c>
      <c r="H3707" s="21" t="s">
        <v>7028</v>
      </c>
      <c r="I3707" s="21" t="s">
        <v>7182</v>
      </c>
      <c r="J3707" s="21" t="s">
        <v>7184</v>
      </c>
      <c r="K3707" s="24">
        <v>3</v>
      </c>
      <c r="L3707" s="24">
        <v>18</v>
      </c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3</v>
      </c>
      <c r="Z3707" s="23"/>
      <c r="AA3707" s="23"/>
      <c r="AB3707" s="23"/>
      <c r="AC3707" s="23"/>
      <c r="AD3707" s="23"/>
      <c r="AE3707" s="23"/>
      <c r="AF3707" s="23"/>
      <c r="AG3707" s="23"/>
      <c r="AH3707" s="23"/>
      <c r="AI3707" s="23"/>
      <c r="AJ3707" s="23"/>
      <c r="AK3707" s="23">
        <v>3</v>
      </c>
      <c r="AL3707" s="23"/>
      <c r="AM3707" s="23"/>
      <c r="AN3707" s="23"/>
      <c r="AO3707" s="23"/>
      <c r="AP3707" s="23">
        <v>3</v>
      </c>
      <c r="AQ3707" s="23"/>
      <c r="AR3707" s="23"/>
      <c r="AS3707" s="23"/>
      <c r="AT3707" s="23"/>
      <c r="AU3707" s="14" t="str">
        <f>HYPERLINK("http://www.openstreetmap.org/?mlat=33.1144&amp;mlon=45.9298&amp;zoom=12#map=12/33.1144/45.9298","Maplink1")</f>
        <v>Maplink1</v>
      </c>
      <c r="AV3707" s="14" t="str">
        <f>HYPERLINK("https://www.google.iq/maps/search/+33.1144,45.9298/@33.1144,45.9298,14z?hl=en","Maplink2")</f>
        <v>Maplink2</v>
      </c>
      <c r="AW3707" s="14" t="str">
        <f>HYPERLINK("http://www.bing.com/maps/?lvl=14&amp;sty=h&amp;cp=33.1144~45.9298&amp;sp=point.33.1144_45.9298_Al-Imam Al-Hussein","Maplink3")</f>
        <v>Maplink3</v>
      </c>
    </row>
    <row r="3708" spans="1:49" x14ac:dyDescent="0.25">
      <c r="A3708" s="21">
        <v>25313</v>
      </c>
      <c r="B3708" s="22" t="s">
        <v>26</v>
      </c>
      <c r="C3708" s="22" t="s">
        <v>7179</v>
      </c>
      <c r="D3708" s="22" t="s">
        <v>4258</v>
      </c>
      <c r="E3708" s="22" t="s">
        <v>869</v>
      </c>
      <c r="F3708" s="22">
        <v>33.114531194900003</v>
      </c>
      <c r="G3708" s="22">
        <v>45.935168736199998</v>
      </c>
      <c r="H3708" s="21" t="s">
        <v>7028</v>
      </c>
      <c r="I3708" s="21" t="s">
        <v>7182</v>
      </c>
      <c r="J3708" s="21"/>
      <c r="K3708" s="24">
        <v>4</v>
      </c>
      <c r="L3708" s="24">
        <v>24</v>
      </c>
      <c r="M3708" s="23"/>
      <c r="N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>
        <v>4</v>
      </c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>
        <v>4</v>
      </c>
      <c r="AL3708" s="23"/>
      <c r="AM3708" s="23"/>
      <c r="AN3708" s="23"/>
      <c r="AO3708" s="23"/>
      <c r="AP3708" s="23"/>
      <c r="AQ3708" s="23">
        <v>4</v>
      </c>
      <c r="AR3708" s="23"/>
      <c r="AS3708" s="23"/>
      <c r="AT3708" s="23"/>
      <c r="AU3708" s="14" t="str">
        <f>HYPERLINK("http://www.openstreetmap.org/?mlat=33.1257&amp;mlon=45.9697&amp;zoom=12#map=12/33.1257/45.9697","Maplink1")</f>
        <v>Maplink1</v>
      </c>
      <c r="AV3708" s="14" t="str">
        <f>HYPERLINK("https://www.google.iq/maps/search/+33.1257,45.9697/@33.1257,45.9697,14z?hl=en","Maplink2")</f>
        <v>Maplink2</v>
      </c>
      <c r="AW3708" s="14" t="str">
        <f>HYPERLINK("http://www.bing.com/maps/?lvl=14&amp;sty=h&amp;cp=33.1257~45.9697&amp;sp=point.33.1257_45.9697_Al-Rasool","Maplink3")</f>
        <v>Maplink3</v>
      </c>
    </row>
    <row r="3709" spans="1:49" x14ac:dyDescent="0.25">
      <c r="A3709" s="21">
        <v>25314</v>
      </c>
      <c r="B3709" s="22" t="s">
        <v>26</v>
      </c>
      <c r="C3709" s="22" t="s">
        <v>7179</v>
      </c>
      <c r="D3709" s="22" t="s">
        <v>1156</v>
      </c>
      <c r="E3709" s="22" t="s">
        <v>2196</v>
      </c>
      <c r="F3709" s="22">
        <v>33.114531194900003</v>
      </c>
      <c r="G3709" s="22">
        <v>45.935168736199998</v>
      </c>
      <c r="H3709" s="21" t="s">
        <v>7028</v>
      </c>
      <c r="I3709" s="21" t="s">
        <v>7182</v>
      </c>
      <c r="J3709" s="21"/>
      <c r="K3709" s="24">
        <v>10</v>
      </c>
      <c r="L3709" s="24">
        <v>60</v>
      </c>
      <c r="M3709" s="23"/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10</v>
      </c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/>
      <c r="AL3709" s="23"/>
      <c r="AM3709" s="23">
        <v>10</v>
      </c>
      <c r="AN3709" s="23"/>
      <c r="AO3709" s="23"/>
      <c r="AP3709" s="23">
        <v>10</v>
      </c>
      <c r="AQ3709" s="23"/>
      <c r="AR3709" s="23"/>
      <c r="AS3709" s="23"/>
      <c r="AT3709" s="23"/>
      <c r="AU3709" s="14" t="str">
        <f>HYPERLINK("http://www.openstreetmap.org/?mlat=33.1152&amp;mlon=45.9376&amp;zoom=12#map=12/33.1152/45.9376","Maplink1")</f>
        <v>Maplink1</v>
      </c>
      <c r="AV3709" s="14" t="str">
        <f>HYPERLINK("https://www.google.iq/maps/search/+33.1152,45.9376/@33.1152,45.9376,14z?hl=en","Maplink2")</f>
        <v>Maplink2</v>
      </c>
      <c r="AW3709" s="14" t="str">
        <f>HYPERLINK("http://www.bing.com/maps/?lvl=14&amp;sty=h&amp;cp=33.1152~45.9376&amp;sp=point.33.1152_45.9376_Al-Zahraa","Maplink3")</f>
        <v>Maplink3</v>
      </c>
    </row>
    <row r="3710" spans="1:49" x14ac:dyDescent="0.25">
      <c r="A3710" s="21">
        <v>18438</v>
      </c>
      <c r="B3710" s="22" t="s">
        <v>26</v>
      </c>
      <c r="C3710" s="22" t="s">
        <v>7179</v>
      </c>
      <c r="D3710" s="22" t="s">
        <v>9220</v>
      </c>
      <c r="E3710" s="22" t="s">
        <v>7189</v>
      </c>
      <c r="F3710" s="22">
        <v>32.968191273800002</v>
      </c>
      <c r="G3710" s="22">
        <v>45.868254969900001</v>
      </c>
      <c r="H3710" s="21" t="s">
        <v>7028</v>
      </c>
      <c r="I3710" s="21" t="s">
        <v>7182</v>
      </c>
      <c r="J3710" s="21" t="s">
        <v>7190</v>
      </c>
      <c r="K3710" s="24">
        <v>30</v>
      </c>
      <c r="L3710" s="24">
        <v>180</v>
      </c>
      <c r="M3710" s="23"/>
      <c r="N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>
        <v>30</v>
      </c>
      <c r="Z3710" s="23"/>
      <c r="AA3710" s="23"/>
      <c r="AB3710" s="23"/>
      <c r="AC3710" s="23"/>
      <c r="AD3710" s="23"/>
      <c r="AE3710" s="23"/>
      <c r="AF3710" s="23">
        <v>18</v>
      </c>
      <c r="AG3710" s="23"/>
      <c r="AH3710" s="23"/>
      <c r="AI3710" s="23"/>
      <c r="AJ3710" s="23">
        <v>6</v>
      </c>
      <c r="AK3710" s="23">
        <v>6</v>
      </c>
      <c r="AL3710" s="23"/>
      <c r="AM3710" s="23"/>
      <c r="AN3710" s="23"/>
      <c r="AO3710" s="23"/>
      <c r="AP3710" s="23">
        <v>30</v>
      </c>
      <c r="AQ3710" s="23"/>
      <c r="AR3710" s="23"/>
      <c r="AS3710" s="23"/>
      <c r="AT3710" s="23"/>
      <c r="AU3710" s="14" t="str">
        <f>HYPERLINK("http://www.openstreetmap.org/?mlat=32.96&amp;mlon=45.88&amp;zoom=12#map=12/32.96/45.88","Maplink1")</f>
        <v>Maplink1</v>
      </c>
      <c r="AV3710" s="14" t="str">
        <f>HYPERLINK("https://www.google.iq/maps/search/+32.96,45.88/@32.96,45.88,14z?hl=en","Maplink2")</f>
        <v>Maplink2</v>
      </c>
      <c r="AW3710" s="14" t="str">
        <f>HYPERLINK("http://www.bing.com/maps/?lvl=14&amp;sty=h&amp;cp=32.96~45.88&amp;sp=point.32.96_45.88_Jassan","Maplink3")</f>
        <v>Maplink3</v>
      </c>
    </row>
    <row r="3711" spans="1:49" x14ac:dyDescent="0.25">
      <c r="A3711" s="21">
        <v>19548</v>
      </c>
      <c r="B3711" s="22" t="s">
        <v>26</v>
      </c>
      <c r="C3711" s="22" t="s">
        <v>7191</v>
      </c>
      <c r="D3711" s="22" t="s">
        <v>7192</v>
      </c>
      <c r="E3711" s="22" t="s">
        <v>7193</v>
      </c>
      <c r="F3711" s="22">
        <v>32.5640067179</v>
      </c>
      <c r="G3711" s="22">
        <v>45.659357467699998</v>
      </c>
      <c r="H3711" s="21" t="s">
        <v>7028</v>
      </c>
      <c r="I3711" s="21" t="s">
        <v>7194</v>
      </c>
      <c r="J3711" s="21" t="s">
        <v>7195</v>
      </c>
      <c r="K3711" s="24">
        <v>14</v>
      </c>
      <c r="L3711" s="24">
        <v>84</v>
      </c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14</v>
      </c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>
        <v>14</v>
      </c>
      <c r="AL3711" s="23"/>
      <c r="AM3711" s="23"/>
      <c r="AN3711" s="23"/>
      <c r="AO3711" s="23"/>
      <c r="AP3711" s="23">
        <v>14</v>
      </c>
      <c r="AQ3711" s="23"/>
      <c r="AR3711" s="23"/>
      <c r="AS3711" s="23"/>
      <c r="AT3711" s="23"/>
      <c r="AU3711" s="14" t="str">
        <f>HYPERLINK("http://www.openstreetmap.org/?mlat=32.5676&amp;mlon=45.6494&amp;zoom=12#map=12/32.5676/45.6494","Maplink1")</f>
        <v>Maplink1</v>
      </c>
      <c r="AV3711" s="14" t="str">
        <f>HYPERLINK("https://www.google.iq/maps/search/+32.5676,45.6494/@32.5676,45.6494,14z?hl=en","Maplink2")</f>
        <v>Maplink2</v>
      </c>
      <c r="AW3711" s="14" t="str">
        <f>HYPERLINK("http://www.bing.com/maps/?lvl=14&amp;sty=h&amp;cp=32.5676~45.6494&amp;sp=point.32.5676_45.6494_Al Batar village","Maplink3")</f>
        <v>Maplink3</v>
      </c>
    </row>
    <row r="3712" spans="1:49" x14ac:dyDescent="0.25">
      <c r="A3712" s="21">
        <v>24220</v>
      </c>
      <c r="B3712" s="22" t="s">
        <v>26</v>
      </c>
      <c r="C3712" s="22" t="s">
        <v>7191</v>
      </c>
      <c r="D3712" s="22" t="s">
        <v>9221</v>
      </c>
      <c r="E3712" s="22" t="s">
        <v>9222</v>
      </c>
      <c r="F3712" s="22">
        <v>32.462163331900001</v>
      </c>
      <c r="G3712" s="22">
        <v>46.079836340599996</v>
      </c>
      <c r="H3712" s="21" t="s">
        <v>7028</v>
      </c>
      <c r="I3712" s="21" t="s">
        <v>7194</v>
      </c>
      <c r="J3712" s="21" t="s">
        <v>7220</v>
      </c>
      <c r="K3712" s="24">
        <v>15</v>
      </c>
      <c r="L3712" s="24">
        <v>90</v>
      </c>
      <c r="M3712" s="23"/>
      <c r="N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>
        <v>15</v>
      </c>
      <c r="Z3712" s="23"/>
      <c r="AA3712" s="23"/>
      <c r="AB3712" s="23"/>
      <c r="AC3712" s="23"/>
      <c r="AD3712" s="23"/>
      <c r="AE3712" s="23"/>
      <c r="AF3712" s="23">
        <v>8</v>
      </c>
      <c r="AG3712" s="23"/>
      <c r="AH3712" s="23"/>
      <c r="AI3712" s="23"/>
      <c r="AJ3712" s="23">
        <v>3</v>
      </c>
      <c r="AK3712" s="23">
        <v>4</v>
      </c>
      <c r="AL3712" s="23"/>
      <c r="AM3712" s="23"/>
      <c r="AN3712" s="23"/>
      <c r="AO3712" s="23"/>
      <c r="AP3712" s="23">
        <v>13</v>
      </c>
      <c r="AQ3712" s="23">
        <v>2</v>
      </c>
      <c r="AR3712" s="23"/>
      <c r="AS3712" s="23"/>
      <c r="AT3712" s="23"/>
      <c r="AU3712" s="14" t="str">
        <f>HYPERLINK("http://www.openstreetmap.org/?mlat=32.4569&amp;mlon=46.0692&amp;zoom=12#map=12/32.4569/46.0692","Maplink1")</f>
        <v>Maplink1</v>
      </c>
      <c r="AV3712" s="14" t="str">
        <f>HYPERLINK("https://www.google.iq/maps/search/+32.4569,46.0692/@32.4569,46.0692,14z?hl=en","Maplink2")</f>
        <v>Maplink2</v>
      </c>
      <c r="AW3712" s="14" t="str">
        <f>HYPERLINK("http://www.bing.com/maps/?lvl=14&amp;sty=h&amp;cp=32.4569~46.0692&amp;sp=point.32.4569_46.0692_Al zahraa-Al Dujily","Maplink3")</f>
        <v>Maplink3</v>
      </c>
    </row>
    <row r="3713" spans="1:49" x14ac:dyDescent="0.25">
      <c r="A3713" s="21">
        <v>19524</v>
      </c>
      <c r="B3713" s="22" t="s">
        <v>26</v>
      </c>
      <c r="C3713" s="22" t="s">
        <v>7191</v>
      </c>
      <c r="D3713" s="22" t="s">
        <v>9223</v>
      </c>
      <c r="E3713" s="22" t="s">
        <v>7196</v>
      </c>
      <c r="F3713" s="22">
        <v>32.528310744599999</v>
      </c>
      <c r="G3713" s="22">
        <v>45.907545096200003</v>
      </c>
      <c r="H3713" s="21" t="s">
        <v>7028</v>
      </c>
      <c r="I3713" s="21" t="s">
        <v>7194</v>
      </c>
      <c r="J3713" s="21" t="s">
        <v>7197</v>
      </c>
      <c r="K3713" s="24">
        <v>13</v>
      </c>
      <c r="L3713" s="24">
        <v>78</v>
      </c>
      <c r="M3713" s="23"/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13</v>
      </c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>
        <v>13</v>
      </c>
      <c r="AK3713" s="23"/>
      <c r="AL3713" s="23"/>
      <c r="AM3713" s="23"/>
      <c r="AN3713" s="23"/>
      <c r="AO3713" s="23"/>
      <c r="AP3713" s="23">
        <v>13</v>
      </c>
      <c r="AQ3713" s="23"/>
      <c r="AR3713" s="23"/>
      <c r="AS3713" s="23"/>
      <c r="AT3713" s="23"/>
      <c r="AU3713" s="14" t="str">
        <f>HYPERLINK("http://www.openstreetmap.org/?mlat=32.535&amp;mlon=45.8865&amp;zoom=12#map=12/32.535/45.8865","Maplink1")</f>
        <v>Maplink1</v>
      </c>
      <c r="AV3713" s="14" t="str">
        <f>HYPERLINK("https://www.google.iq/maps/search/+32.535,45.8865/@32.535,45.8865,14z?hl=en","Maplink2")</f>
        <v>Maplink2</v>
      </c>
      <c r="AW3713" s="14" t="str">
        <f>HYPERLINK("http://www.bing.com/maps/?lvl=14&amp;sty=h&amp;cp=32.535~45.8865&amp;sp=point.32.535_45.8865_Al Gardhia village","Maplink3")</f>
        <v>Maplink3</v>
      </c>
    </row>
    <row r="3714" spans="1:49" x14ac:dyDescent="0.25">
      <c r="A3714" s="21">
        <v>24786</v>
      </c>
      <c r="B3714" s="22" t="s">
        <v>26</v>
      </c>
      <c r="C3714" s="22" t="s">
        <v>7191</v>
      </c>
      <c r="D3714" s="22" t="s">
        <v>7198</v>
      </c>
      <c r="E3714" s="22" t="s">
        <v>7199</v>
      </c>
      <c r="F3714" s="22">
        <v>32.538285523600003</v>
      </c>
      <c r="G3714" s="22">
        <v>45.851588339800003</v>
      </c>
      <c r="H3714" s="21" t="s">
        <v>7028</v>
      </c>
      <c r="I3714" s="21" t="s">
        <v>7194</v>
      </c>
      <c r="J3714" s="21"/>
      <c r="K3714" s="24">
        <v>11</v>
      </c>
      <c r="L3714" s="24">
        <v>66</v>
      </c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5</v>
      </c>
      <c r="Z3714" s="23"/>
      <c r="AA3714" s="23">
        <v>6</v>
      </c>
      <c r="AB3714" s="23"/>
      <c r="AC3714" s="23"/>
      <c r="AD3714" s="23"/>
      <c r="AE3714" s="23"/>
      <c r="AF3714" s="23"/>
      <c r="AG3714" s="23"/>
      <c r="AH3714" s="23"/>
      <c r="AI3714" s="23"/>
      <c r="AJ3714" s="23">
        <v>1</v>
      </c>
      <c r="AK3714" s="23">
        <v>10</v>
      </c>
      <c r="AL3714" s="23"/>
      <c r="AM3714" s="23"/>
      <c r="AN3714" s="23"/>
      <c r="AO3714" s="23"/>
      <c r="AP3714" s="23">
        <v>11</v>
      </c>
      <c r="AQ3714" s="23"/>
      <c r="AR3714" s="23"/>
      <c r="AS3714" s="23"/>
      <c r="AT3714" s="23"/>
      <c r="AU3714" s="14" t="str">
        <f>HYPERLINK("http://www.openstreetmap.org/?mlat=32.5426&amp;mlon=45.8481&amp;zoom=12#map=12/32.5426/45.8481","Maplink1")</f>
        <v>Maplink1</v>
      </c>
      <c r="AV3714" s="14" t="str">
        <f>HYPERLINK("https://www.google.iq/maps/search/+32.5426,45.8481/@32.5426,45.8481,14z?hl=en","Maplink2")</f>
        <v>Maplink2</v>
      </c>
      <c r="AW3714" s="14" t="str">
        <f>HYPERLINK("http://www.bing.com/maps/?lvl=14&amp;sty=h&amp;cp=32.5426~45.8481&amp;sp=point.32.5426_45.8481_Al Hakeem Al-Khdhra","Maplink3")</f>
        <v>Maplink3</v>
      </c>
    </row>
    <row r="3715" spans="1:49" x14ac:dyDescent="0.25">
      <c r="A3715" s="21">
        <v>27278</v>
      </c>
      <c r="B3715" s="22" t="s">
        <v>26</v>
      </c>
      <c r="C3715" s="22" t="s">
        <v>7191</v>
      </c>
      <c r="D3715" s="22" t="s">
        <v>7200</v>
      </c>
      <c r="E3715" s="22" t="s">
        <v>7201</v>
      </c>
      <c r="F3715" s="22">
        <v>32.536692947500001</v>
      </c>
      <c r="G3715" s="22">
        <v>45.853736104299998</v>
      </c>
      <c r="H3715" s="21" t="s">
        <v>7028</v>
      </c>
      <c r="I3715" s="21" t="s">
        <v>7194</v>
      </c>
      <c r="J3715" s="21"/>
      <c r="K3715" s="24">
        <v>2</v>
      </c>
      <c r="L3715" s="24">
        <v>12</v>
      </c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>
        <v>2</v>
      </c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>
        <v>2</v>
      </c>
      <c r="AL3715" s="23"/>
      <c r="AM3715" s="23"/>
      <c r="AN3715" s="23"/>
      <c r="AO3715" s="23"/>
      <c r="AP3715" s="23">
        <v>2</v>
      </c>
      <c r="AQ3715" s="23"/>
      <c r="AR3715" s="23"/>
      <c r="AS3715" s="23"/>
      <c r="AT3715" s="23"/>
      <c r="AU3715" s="14" t="str">
        <f>HYPERLINK("http://www.openstreetmap.org/?mlat=32.5299&amp;mlon=45.8402&amp;zoom=12#map=12/32.5299/45.8402","Maplink1")</f>
        <v>Maplink1</v>
      </c>
      <c r="AV3715" s="14" t="str">
        <f>HYPERLINK("https://www.google.iq/maps/search/+32.5299,45.8402/@32.5299,45.8402,14z?hl=en","Maplink2")</f>
        <v>Maplink2</v>
      </c>
      <c r="AW3715" s="14" t="str">
        <f>HYPERLINK("http://www.bing.com/maps/?lvl=14&amp;sty=h&amp;cp=32.5299~45.8402&amp;sp=point.32.5299_45.8402_Al Hakeem Al-Thania","Maplink3")</f>
        <v>Maplink3</v>
      </c>
    </row>
    <row r="3716" spans="1:49" x14ac:dyDescent="0.25">
      <c r="A3716" s="21">
        <v>27277</v>
      </c>
      <c r="B3716" s="22" t="s">
        <v>26</v>
      </c>
      <c r="C3716" s="22" t="s">
        <v>7191</v>
      </c>
      <c r="D3716" s="22" t="s">
        <v>7202</v>
      </c>
      <c r="E3716" s="22" t="s">
        <v>7203</v>
      </c>
      <c r="F3716" s="22">
        <v>32.530136075000001</v>
      </c>
      <c r="G3716" s="22">
        <v>45.839610068399999</v>
      </c>
      <c r="H3716" s="21" t="s">
        <v>7028</v>
      </c>
      <c r="I3716" s="21" t="s">
        <v>7194</v>
      </c>
      <c r="J3716" s="21"/>
      <c r="K3716" s="24">
        <v>4</v>
      </c>
      <c r="L3716" s="24">
        <v>24</v>
      </c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>
        <v>4</v>
      </c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>
        <v>4</v>
      </c>
      <c r="AL3716" s="23"/>
      <c r="AM3716" s="23"/>
      <c r="AN3716" s="23"/>
      <c r="AO3716" s="23"/>
      <c r="AP3716" s="23">
        <v>4</v>
      </c>
      <c r="AQ3716" s="23"/>
      <c r="AR3716" s="23"/>
      <c r="AS3716" s="23"/>
      <c r="AT3716" s="23"/>
      <c r="AU3716" s="14" t="str">
        <f>HYPERLINK("http://www.openstreetmap.org/?mlat=32.5296&amp;mlon=45.8383&amp;zoom=12#map=12/32.5296/45.8383","Maplink1")</f>
        <v>Maplink1</v>
      </c>
      <c r="AV3716" s="14" t="str">
        <f>HYPERLINK("https://www.google.iq/maps/search/+32.5296,45.8383/@32.5296,45.8383,14z?hl=en","Maplink2")</f>
        <v>Maplink2</v>
      </c>
      <c r="AW3716" s="14" t="str">
        <f>HYPERLINK("http://www.bing.com/maps/?lvl=14&amp;sty=h&amp;cp=32.5296~45.8383&amp;sp=point.32.5296_45.8383_Al Hakeem Al-Ula","Maplink3")</f>
        <v>Maplink3</v>
      </c>
    </row>
    <row r="3717" spans="1:49" x14ac:dyDescent="0.25">
      <c r="A3717" s="21">
        <v>23256</v>
      </c>
      <c r="B3717" s="22" t="s">
        <v>26</v>
      </c>
      <c r="C3717" s="22" t="s">
        <v>7191</v>
      </c>
      <c r="D3717" s="22" t="s">
        <v>7204</v>
      </c>
      <c r="E3717" s="22" t="s">
        <v>7205</v>
      </c>
      <c r="F3717" s="22">
        <v>32.535851074599996</v>
      </c>
      <c r="G3717" s="22">
        <v>45.789960925899997</v>
      </c>
      <c r="H3717" s="21" t="s">
        <v>7028</v>
      </c>
      <c r="I3717" s="21" t="s">
        <v>7194</v>
      </c>
      <c r="J3717" s="21" t="s">
        <v>7206</v>
      </c>
      <c r="K3717" s="24">
        <v>61</v>
      </c>
      <c r="L3717" s="24">
        <v>366</v>
      </c>
      <c r="M3717" s="23"/>
      <c r="N3717" s="23"/>
      <c r="O3717" s="23"/>
      <c r="P3717" s="23"/>
      <c r="Q3717" s="23"/>
      <c r="R3717" s="23"/>
      <c r="S3717" s="23"/>
      <c r="T3717" s="23"/>
      <c r="U3717" s="23">
        <v>35</v>
      </c>
      <c r="V3717" s="23"/>
      <c r="W3717" s="23"/>
      <c r="X3717" s="23"/>
      <c r="Y3717" s="23">
        <v>26</v>
      </c>
      <c r="Z3717" s="23"/>
      <c r="AA3717" s="23"/>
      <c r="AB3717" s="23"/>
      <c r="AC3717" s="23"/>
      <c r="AD3717" s="23"/>
      <c r="AE3717" s="23"/>
      <c r="AF3717" s="23">
        <v>10</v>
      </c>
      <c r="AG3717" s="23"/>
      <c r="AH3717" s="23"/>
      <c r="AI3717" s="23"/>
      <c r="AJ3717" s="23">
        <v>3</v>
      </c>
      <c r="AK3717" s="23">
        <v>48</v>
      </c>
      <c r="AL3717" s="23"/>
      <c r="AM3717" s="23"/>
      <c r="AN3717" s="23"/>
      <c r="AO3717" s="23"/>
      <c r="AP3717" s="23">
        <v>26</v>
      </c>
      <c r="AQ3717" s="23">
        <v>35</v>
      </c>
      <c r="AR3717" s="23"/>
      <c r="AS3717" s="23"/>
      <c r="AT3717" s="23"/>
      <c r="AU3717" s="14" t="str">
        <f>HYPERLINK("http://www.openstreetmap.org/?mlat=32.5289&amp;mlon=45.7851&amp;zoom=12#map=12/32.5289/45.7851","Maplink1")</f>
        <v>Maplink1</v>
      </c>
      <c r="AV3717" s="14" t="str">
        <f>HYPERLINK("https://www.google.iq/maps/search/+32.5289,45.7851/@32.5289,45.7851,14z?hl=en","Maplink2")</f>
        <v>Maplink2</v>
      </c>
      <c r="AW3717" s="14" t="str">
        <f>HYPERLINK("http://www.bing.com/maps/?lvl=14&amp;sty=h&amp;cp=32.5289~45.7851&amp;sp=point.32.5289_45.7851_Al Hasan Al Askari","Maplink3")</f>
        <v>Maplink3</v>
      </c>
    </row>
    <row r="3718" spans="1:49" x14ac:dyDescent="0.25">
      <c r="A3718" s="21">
        <v>23395</v>
      </c>
      <c r="B3718" s="22" t="s">
        <v>26</v>
      </c>
      <c r="C3718" s="22" t="s">
        <v>7191</v>
      </c>
      <c r="D3718" s="22" t="s">
        <v>7207</v>
      </c>
      <c r="E3718" s="22" t="s">
        <v>7208</v>
      </c>
      <c r="F3718" s="22">
        <v>32.402020377600003</v>
      </c>
      <c r="G3718" s="22">
        <v>46.2296590666</v>
      </c>
      <c r="H3718" s="21" t="s">
        <v>7028</v>
      </c>
      <c r="I3718" s="21" t="s">
        <v>7194</v>
      </c>
      <c r="J3718" s="21" t="s">
        <v>7209</v>
      </c>
      <c r="K3718" s="24">
        <v>14</v>
      </c>
      <c r="L3718" s="24">
        <v>84</v>
      </c>
      <c r="M3718" s="23"/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14</v>
      </c>
      <c r="Z3718" s="23"/>
      <c r="AA3718" s="23"/>
      <c r="AB3718" s="23"/>
      <c r="AC3718" s="23"/>
      <c r="AD3718" s="23"/>
      <c r="AE3718" s="23"/>
      <c r="AF3718" s="23">
        <v>3</v>
      </c>
      <c r="AG3718" s="23"/>
      <c r="AH3718" s="23"/>
      <c r="AI3718" s="23"/>
      <c r="AJ3718" s="23"/>
      <c r="AK3718" s="23">
        <v>11</v>
      </c>
      <c r="AL3718" s="23"/>
      <c r="AM3718" s="23"/>
      <c r="AN3718" s="23"/>
      <c r="AO3718" s="23"/>
      <c r="AP3718" s="23">
        <v>14</v>
      </c>
      <c r="AQ3718" s="23"/>
      <c r="AR3718" s="23"/>
      <c r="AS3718" s="23"/>
      <c r="AT3718" s="23"/>
      <c r="AU3718" s="14" t="str">
        <f>HYPERLINK("http://www.openstreetmap.org/?mlat=32.4621&amp;mlon=46.0778&amp;zoom=12#map=12/32.4621/46.0778","Maplink1")</f>
        <v>Maplink1</v>
      </c>
      <c r="AV3718" s="14" t="str">
        <f>HYPERLINK("https://www.google.iq/maps/search/+32.4621,46.0778/@32.4621,46.0778,14z?hl=en","Maplink2")</f>
        <v>Maplink2</v>
      </c>
      <c r="AW3718" s="14" t="str">
        <f>HYPERLINK("http://www.bing.com/maps/?lvl=14&amp;sty=h&amp;cp=32.4621~46.0778&amp;sp=point.32.4621_46.0778_Al Hindiyah","Maplink3")</f>
        <v>Maplink3</v>
      </c>
    </row>
    <row r="3719" spans="1:49" x14ac:dyDescent="0.25">
      <c r="A3719" s="21">
        <v>23703</v>
      </c>
      <c r="B3719" s="22" t="s">
        <v>26</v>
      </c>
      <c r="C3719" s="22" t="s">
        <v>7191</v>
      </c>
      <c r="D3719" s="22" t="s">
        <v>9224</v>
      </c>
      <c r="E3719" s="22" t="s">
        <v>7269</v>
      </c>
      <c r="F3719" s="22">
        <v>32.538188444500001</v>
      </c>
      <c r="G3719" s="22">
        <v>45.826367642699999</v>
      </c>
      <c r="H3719" s="21" t="s">
        <v>7028</v>
      </c>
      <c r="I3719" s="21" t="s">
        <v>7194</v>
      </c>
      <c r="J3719" s="21" t="s">
        <v>7270</v>
      </c>
      <c r="K3719" s="24">
        <v>25</v>
      </c>
      <c r="L3719" s="24">
        <v>150</v>
      </c>
      <c r="M3719" s="23">
        <v>10</v>
      </c>
      <c r="N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>
        <v>15</v>
      </c>
      <c r="Z3719" s="23"/>
      <c r="AA3719" s="23"/>
      <c r="AB3719" s="23"/>
      <c r="AC3719" s="23"/>
      <c r="AD3719" s="23"/>
      <c r="AE3719" s="23"/>
      <c r="AF3719" s="23">
        <v>16</v>
      </c>
      <c r="AG3719" s="23"/>
      <c r="AH3719" s="23"/>
      <c r="AI3719" s="23"/>
      <c r="AJ3719" s="23">
        <v>4</v>
      </c>
      <c r="AK3719" s="23">
        <v>5</v>
      </c>
      <c r="AL3719" s="23"/>
      <c r="AM3719" s="23"/>
      <c r="AN3719" s="23"/>
      <c r="AO3719" s="23"/>
      <c r="AP3719" s="23"/>
      <c r="AQ3719" s="23">
        <v>15</v>
      </c>
      <c r="AR3719" s="23"/>
      <c r="AS3719" s="23">
        <v>10</v>
      </c>
      <c r="AT3719" s="23"/>
      <c r="AU3719" s="14" t="str">
        <f>HYPERLINK("http://www.openstreetmap.org/?mlat=32.5397&amp;mlon=45.8287&amp;zoom=12#map=12/32.5397/45.8287","Maplink1")</f>
        <v>Maplink1</v>
      </c>
      <c r="AV3719" s="14" t="str">
        <f>HYPERLINK("https://www.google.iq/maps/search/+32.5397,45.8287/@32.5397,45.8287,14z?hl=en","Maplink2")</f>
        <v>Maplink2</v>
      </c>
      <c r="AW3719" s="14" t="str">
        <f>HYPERLINK("http://www.bing.com/maps/?lvl=14&amp;sty=h&amp;cp=32.5397~45.8287&amp;sp=point.32.5397_45.8287_Hay Al Hoqoqein","Maplink3")</f>
        <v>Maplink3</v>
      </c>
    </row>
    <row r="3720" spans="1:49" x14ac:dyDescent="0.25">
      <c r="A3720" s="21">
        <v>19546</v>
      </c>
      <c r="B3720" s="22" t="s">
        <v>26</v>
      </c>
      <c r="C3720" s="22" t="s">
        <v>7191</v>
      </c>
      <c r="D3720" s="22" t="s">
        <v>7210</v>
      </c>
      <c r="E3720" s="22" t="s">
        <v>7211</v>
      </c>
      <c r="F3720" s="22">
        <v>32.538240917899998</v>
      </c>
      <c r="G3720" s="22">
        <v>45.8202460372</v>
      </c>
      <c r="H3720" s="21" t="s">
        <v>7028</v>
      </c>
      <c r="I3720" s="21" t="s">
        <v>7194</v>
      </c>
      <c r="J3720" s="21" t="s">
        <v>7212</v>
      </c>
      <c r="K3720" s="24">
        <v>19</v>
      </c>
      <c r="L3720" s="24">
        <v>114</v>
      </c>
      <c r="M3720" s="23">
        <v>7</v>
      </c>
      <c r="N3720" s="23"/>
      <c r="O3720" s="23"/>
      <c r="P3720" s="23"/>
      <c r="Q3720" s="23"/>
      <c r="R3720" s="23">
        <v>1</v>
      </c>
      <c r="S3720" s="23"/>
      <c r="T3720" s="23"/>
      <c r="U3720" s="23"/>
      <c r="V3720" s="23"/>
      <c r="W3720" s="23"/>
      <c r="X3720" s="23"/>
      <c r="Y3720" s="23">
        <v>10</v>
      </c>
      <c r="Z3720" s="23"/>
      <c r="AA3720" s="23">
        <v>1</v>
      </c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>
        <v>19</v>
      </c>
      <c r="AL3720" s="23"/>
      <c r="AM3720" s="23"/>
      <c r="AN3720" s="23"/>
      <c r="AO3720" s="23"/>
      <c r="AP3720" s="23">
        <v>19</v>
      </c>
      <c r="AQ3720" s="23"/>
      <c r="AR3720" s="23"/>
      <c r="AS3720" s="23"/>
      <c r="AT3720" s="23"/>
      <c r="AU3720" s="14" t="str">
        <f>HYPERLINK("http://www.openstreetmap.org/?mlat=32.5388&amp;mlon=45.8178&amp;zoom=12#map=12/32.5388/45.8178","Maplink1")</f>
        <v>Maplink1</v>
      </c>
      <c r="AV3720" s="14" t="str">
        <f>HYPERLINK("https://www.google.iq/maps/search/+32.5388,45.8178/@32.5388,45.8178,14z?hl=en","Maplink2")</f>
        <v>Maplink2</v>
      </c>
      <c r="AW3720" s="14" t="str">
        <f>HYPERLINK("http://www.bing.com/maps/?lvl=14&amp;sty=h&amp;cp=32.5388~45.8178&amp;sp=point.32.5388_45.8178_Al Maimoon","Maplink3")</f>
        <v>Maplink3</v>
      </c>
    </row>
    <row r="3721" spans="1:49" x14ac:dyDescent="0.25">
      <c r="A3721" s="21">
        <v>24869</v>
      </c>
      <c r="B3721" s="22" t="s">
        <v>26</v>
      </c>
      <c r="C3721" s="22" t="s">
        <v>7191</v>
      </c>
      <c r="D3721" s="22" t="s">
        <v>9225</v>
      </c>
      <c r="E3721" s="22" t="s">
        <v>7213</v>
      </c>
      <c r="F3721" s="22">
        <v>32.5616176893</v>
      </c>
      <c r="G3721" s="22">
        <v>46.273847943699998</v>
      </c>
      <c r="H3721" s="21" t="s">
        <v>7028</v>
      </c>
      <c r="I3721" s="21" t="s">
        <v>7194</v>
      </c>
      <c r="J3721" s="21"/>
      <c r="K3721" s="24">
        <v>4</v>
      </c>
      <c r="L3721" s="24">
        <v>24</v>
      </c>
      <c r="M3721" s="23"/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>
        <v>4</v>
      </c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>
        <v>4</v>
      </c>
      <c r="AK3721" s="23"/>
      <c r="AL3721" s="23"/>
      <c r="AM3721" s="23"/>
      <c r="AN3721" s="23"/>
      <c r="AO3721" s="23"/>
      <c r="AP3721" s="23">
        <v>4</v>
      </c>
      <c r="AQ3721" s="23"/>
      <c r="AR3721" s="23"/>
      <c r="AS3721" s="23"/>
      <c r="AT3721" s="23"/>
      <c r="AU3721" s="14" t="str">
        <f>HYPERLINK("http://www.openstreetmap.org/?mlat=32.5734&amp;mlon=46.2738&amp;zoom=12#map=12/32.5734/46.2738","Maplink1")</f>
        <v>Maplink1</v>
      </c>
      <c r="AV3721" s="14" t="str">
        <f>HYPERLINK("https://www.google.iq/maps/search/+32.5734,46.2738/@32.5734,46.2738,14z?hl=en","Maplink2")</f>
        <v>Maplink2</v>
      </c>
      <c r="AW3721" s="14" t="str">
        <f>HYPERLINK("http://www.bing.com/maps/?lvl=14&amp;sty=h&amp;cp=32.5734~46.2738&amp;sp=point.32.5734_46.2738_Al Mantiqa Al qadima","Maplink3")</f>
        <v>Maplink3</v>
      </c>
    </row>
    <row r="3722" spans="1:49" x14ac:dyDescent="0.25">
      <c r="A3722" s="21">
        <v>23967</v>
      </c>
      <c r="B3722" s="22" t="s">
        <v>26</v>
      </c>
      <c r="C3722" s="22" t="s">
        <v>7191</v>
      </c>
      <c r="D3722" s="22" t="s">
        <v>7214</v>
      </c>
      <c r="E3722" s="22" t="s">
        <v>9226</v>
      </c>
      <c r="F3722" s="22">
        <v>32.513888259399998</v>
      </c>
      <c r="G3722" s="22">
        <v>45.809945985699997</v>
      </c>
      <c r="H3722" s="21" t="s">
        <v>7028</v>
      </c>
      <c r="I3722" s="21" t="s">
        <v>7194</v>
      </c>
      <c r="J3722" s="21" t="s">
        <v>7215</v>
      </c>
      <c r="K3722" s="24">
        <v>35</v>
      </c>
      <c r="L3722" s="24">
        <v>210</v>
      </c>
      <c r="M3722" s="23">
        <v>7</v>
      </c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28</v>
      </c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>
        <v>4</v>
      </c>
      <c r="AK3722" s="23">
        <v>31</v>
      </c>
      <c r="AL3722" s="23"/>
      <c r="AM3722" s="23"/>
      <c r="AN3722" s="23"/>
      <c r="AO3722" s="23"/>
      <c r="AP3722" s="23">
        <v>20</v>
      </c>
      <c r="AQ3722" s="23">
        <v>15</v>
      </c>
      <c r="AR3722" s="23"/>
      <c r="AS3722" s="23"/>
      <c r="AT3722" s="23"/>
      <c r="AU3722" s="14" t="str">
        <f>HYPERLINK("http://www.openstreetmap.org/?mlat=32.316&amp;mlon=45.4838&amp;zoom=12#map=12/32.316/45.4838","Maplink1")</f>
        <v>Maplink1</v>
      </c>
      <c r="AV3722" s="14" t="str">
        <f>HYPERLINK("https://www.google.iq/maps/search/+32.316,45.4838/@32.316,45.4838,14z?hl=en","Maplink2")</f>
        <v>Maplink2</v>
      </c>
      <c r="AW3722" s="14" t="str">
        <f>HYPERLINK("http://www.bing.com/maps/?lvl=14&amp;sty=h&amp;cp=32.316~45.4838&amp;sp=point.32.316_45.4838_Al Muhandseen-Al Amarat Al Sakaniyah","Maplink3")</f>
        <v>Maplink3</v>
      </c>
    </row>
    <row r="3723" spans="1:49" x14ac:dyDescent="0.25">
      <c r="A3723" s="21">
        <v>24868</v>
      </c>
      <c r="B3723" s="22" t="s">
        <v>26</v>
      </c>
      <c r="C3723" s="22" t="s">
        <v>7191</v>
      </c>
      <c r="D3723" s="22" t="s">
        <v>7216</v>
      </c>
      <c r="E3723" s="22" t="s">
        <v>7217</v>
      </c>
      <c r="F3723" s="22">
        <v>32.573022136500001</v>
      </c>
      <c r="G3723" s="22">
        <v>46.2696128535</v>
      </c>
      <c r="H3723" s="21" t="s">
        <v>7028</v>
      </c>
      <c r="I3723" s="21" t="s">
        <v>7194</v>
      </c>
      <c r="J3723" s="21"/>
      <c r="K3723" s="24">
        <v>6</v>
      </c>
      <c r="L3723" s="24">
        <v>36</v>
      </c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6</v>
      </c>
      <c r="Z3723" s="23"/>
      <c r="AA3723" s="23"/>
      <c r="AB3723" s="23"/>
      <c r="AC3723" s="23"/>
      <c r="AD3723" s="23"/>
      <c r="AE3723" s="23"/>
      <c r="AF3723" s="23">
        <v>6</v>
      </c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>
        <v>6</v>
      </c>
      <c r="AQ3723" s="23"/>
      <c r="AR3723" s="23"/>
      <c r="AS3723" s="23"/>
      <c r="AT3723" s="23"/>
      <c r="AU3723" s="14" t="str">
        <f>HYPERLINK("http://www.openstreetmap.org/?mlat=32.5776&amp;mlon=46.2712&amp;zoom=12#map=12/32.5776/46.2712","Maplink1")</f>
        <v>Maplink1</v>
      </c>
      <c r="AV3723" s="14" t="str">
        <f>HYPERLINK("https://www.google.iq/maps/search/+32.5776,46.2712/@32.5776,46.2712,14z?hl=en","Maplink2")</f>
        <v>Maplink2</v>
      </c>
      <c r="AW3723" s="14" t="str">
        <f>HYPERLINK("http://www.bing.com/maps/?lvl=14&amp;sty=h&amp;cp=32.5776~46.2712&amp;sp=point.32.5776_46.2712_Al Nahalat","Maplink3")</f>
        <v>Maplink3</v>
      </c>
    </row>
    <row r="3724" spans="1:49" x14ac:dyDescent="0.25">
      <c r="A3724" s="21">
        <v>24883</v>
      </c>
      <c r="B3724" s="22" t="s">
        <v>26</v>
      </c>
      <c r="C3724" s="22" t="s">
        <v>7191</v>
      </c>
      <c r="D3724" s="22" t="s">
        <v>9227</v>
      </c>
      <c r="E3724" s="22" t="s">
        <v>7218</v>
      </c>
      <c r="F3724" s="22">
        <v>32.456007386400003</v>
      </c>
      <c r="G3724" s="22">
        <v>46.071686713699997</v>
      </c>
      <c r="H3724" s="21" t="s">
        <v>7028</v>
      </c>
      <c r="I3724" s="21" t="s">
        <v>7194</v>
      </c>
      <c r="J3724" s="21"/>
      <c r="K3724" s="24">
        <v>16</v>
      </c>
      <c r="L3724" s="24">
        <v>96</v>
      </c>
      <c r="M3724" s="23">
        <v>9</v>
      </c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7</v>
      </c>
      <c r="Z3724" s="23"/>
      <c r="AA3724" s="23"/>
      <c r="AB3724" s="23"/>
      <c r="AC3724" s="23"/>
      <c r="AD3724" s="23"/>
      <c r="AE3724" s="23"/>
      <c r="AF3724" s="23">
        <v>4</v>
      </c>
      <c r="AG3724" s="23"/>
      <c r="AH3724" s="23"/>
      <c r="AI3724" s="23"/>
      <c r="AJ3724" s="23"/>
      <c r="AK3724" s="23">
        <v>12</v>
      </c>
      <c r="AL3724" s="23"/>
      <c r="AM3724" s="23"/>
      <c r="AN3724" s="23"/>
      <c r="AO3724" s="23">
        <v>9</v>
      </c>
      <c r="AP3724" s="23">
        <v>7</v>
      </c>
      <c r="AQ3724" s="23"/>
      <c r="AR3724" s="23"/>
      <c r="AS3724" s="23"/>
      <c r="AT3724" s="23"/>
      <c r="AU3724" s="14" t="str">
        <f>HYPERLINK("http://www.openstreetmap.org/?mlat=32.4555&amp;mlon=46.0737&amp;zoom=12#map=12/32.4555/46.0737","Maplink1")</f>
        <v>Maplink1</v>
      </c>
      <c r="AV3724" s="14" t="str">
        <f>HYPERLINK("https://www.google.iq/maps/search/+32.4555,46.0737/@32.4555,46.0737,14z?hl=en","Maplink2")</f>
        <v>Maplink2</v>
      </c>
      <c r="AW3724" s="14" t="str">
        <f>HYPERLINK("http://www.bing.com/maps/?lvl=14&amp;sty=h&amp;cp=32.4555~46.0737&amp;sp=point.32.4555_46.0737_Al Oroba 1","Maplink3")</f>
        <v>Maplink3</v>
      </c>
    </row>
    <row r="3725" spans="1:49" x14ac:dyDescent="0.25">
      <c r="A3725" s="21">
        <v>25586</v>
      </c>
      <c r="B3725" s="22" t="s">
        <v>26</v>
      </c>
      <c r="C3725" s="22" t="s">
        <v>7191</v>
      </c>
      <c r="D3725" s="22" t="s">
        <v>7224</v>
      </c>
      <c r="E3725" s="22" t="s">
        <v>7225</v>
      </c>
      <c r="F3725" s="22">
        <v>32.535613691400002</v>
      </c>
      <c r="G3725" s="22">
        <v>45.7911519986</v>
      </c>
      <c r="H3725" s="21" t="s">
        <v>7028</v>
      </c>
      <c r="I3725" s="21" t="s">
        <v>7194</v>
      </c>
      <c r="J3725" s="21"/>
      <c r="K3725" s="24">
        <v>9</v>
      </c>
      <c r="L3725" s="24">
        <v>54</v>
      </c>
      <c r="M3725" s="23"/>
      <c r="N3725" s="23"/>
      <c r="O3725" s="23"/>
      <c r="P3725" s="23"/>
      <c r="Q3725" s="23"/>
      <c r="R3725" s="23"/>
      <c r="S3725" s="23"/>
      <c r="T3725" s="23"/>
      <c r="U3725" s="23">
        <v>5</v>
      </c>
      <c r="V3725" s="23"/>
      <c r="W3725" s="23"/>
      <c r="X3725" s="23"/>
      <c r="Y3725" s="23">
        <v>4</v>
      </c>
      <c r="Z3725" s="23"/>
      <c r="AA3725" s="23"/>
      <c r="AB3725" s="23"/>
      <c r="AC3725" s="23"/>
      <c r="AD3725" s="23"/>
      <c r="AE3725" s="23"/>
      <c r="AF3725" s="23">
        <v>1</v>
      </c>
      <c r="AG3725" s="23"/>
      <c r="AH3725" s="23"/>
      <c r="AI3725" s="23"/>
      <c r="AJ3725" s="23"/>
      <c r="AK3725" s="23">
        <v>8</v>
      </c>
      <c r="AL3725" s="23"/>
      <c r="AM3725" s="23"/>
      <c r="AN3725" s="23"/>
      <c r="AO3725" s="23"/>
      <c r="AP3725" s="23">
        <v>5</v>
      </c>
      <c r="AQ3725" s="23">
        <v>4</v>
      </c>
      <c r="AR3725" s="23"/>
      <c r="AS3725" s="23"/>
      <c r="AT3725" s="23"/>
      <c r="AU3725" s="14" t="str">
        <f>HYPERLINK("http://www.openstreetmap.org/?mlat=32.5355&amp;mlon=45.7894&amp;zoom=12#map=12/32.5355/45.7894","Maplink1")</f>
        <v>Maplink1</v>
      </c>
      <c r="AV3725" s="14" t="str">
        <f>HYPERLINK("https://www.google.iq/maps/search/+32.5355,45.7894/@32.5355,45.7894,14z?hl=en","Maplink2")</f>
        <v>Maplink2</v>
      </c>
      <c r="AW3725" s="14" t="str">
        <f>HYPERLINK("http://www.bing.com/maps/?lvl=14&amp;sty=h&amp;cp=32.5355~45.7894&amp;sp=point.32.5355_45.7894_Al-Ansar Village","Maplink3")</f>
        <v>Maplink3</v>
      </c>
    </row>
    <row r="3726" spans="1:49" x14ac:dyDescent="0.25">
      <c r="A3726" s="21">
        <v>24867</v>
      </c>
      <c r="B3726" s="22" t="s">
        <v>26</v>
      </c>
      <c r="C3726" s="22" t="s">
        <v>7191</v>
      </c>
      <c r="D3726" s="22" t="s">
        <v>7226</v>
      </c>
      <c r="E3726" s="22" t="s">
        <v>7227</v>
      </c>
      <c r="F3726" s="22">
        <v>32.458330375099997</v>
      </c>
      <c r="G3726" s="22">
        <v>45.7991666012</v>
      </c>
      <c r="H3726" s="21" t="s">
        <v>7028</v>
      </c>
      <c r="I3726" s="21" t="s">
        <v>7194</v>
      </c>
      <c r="J3726" s="21"/>
      <c r="K3726" s="24">
        <v>17</v>
      </c>
      <c r="L3726" s="24">
        <v>102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17</v>
      </c>
      <c r="Z3726" s="23"/>
      <c r="AA3726" s="23"/>
      <c r="AB3726" s="23"/>
      <c r="AC3726" s="23"/>
      <c r="AD3726" s="23"/>
      <c r="AE3726" s="23"/>
      <c r="AF3726" s="23">
        <v>14</v>
      </c>
      <c r="AG3726" s="23"/>
      <c r="AH3726" s="23"/>
      <c r="AI3726" s="23"/>
      <c r="AJ3726" s="23">
        <v>3</v>
      </c>
      <c r="AK3726" s="23"/>
      <c r="AL3726" s="23"/>
      <c r="AM3726" s="23"/>
      <c r="AN3726" s="23"/>
      <c r="AO3726" s="23"/>
      <c r="AP3726" s="23">
        <v>17</v>
      </c>
      <c r="AQ3726" s="23"/>
      <c r="AR3726" s="23"/>
      <c r="AS3726" s="23"/>
      <c r="AT3726" s="23"/>
      <c r="AU3726" s="14" t="str">
        <f>HYPERLINK("http://www.openstreetmap.org/?mlat=32.4279&amp;mlon=45.8176&amp;zoom=12#map=12/32.4279/45.8176","Maplink1")</f>
        <v>Maplink1</v>
      </c>
      <c r="AV3726" s="14" t="str">
        <f>HYPERLINK("https://www.google.iq/maps/search/+32.4279,45.8176/@32.4279,45.8176,14z?hl=en","Maplink2")</f>
        <v>Maplink2</v>
      </c>
      <c r="AW3726" s="14" t="str">
        <f>HYPERLINK("http://www.bing.com/maps/?lvl=14&amp;sty=h&amp;cp=32.4279~45.8176&amp;sp=point.32.4279_45.8176_Al-Badreya village","Maplink3")</f>
        <v>Maplink3</v>
      </c>
    </row>
    <row r="3727" spans="1:49" x14ac:dyDescent="0.25">
      <c r="A3727" s="21">
        <v>19214</v>
      </c>
      <c r="B3727" s="22" t="s">
        <v>26</v>
      </c>
      <c r="C3727" s="22" t="s">
        <v>7191</v>
      </c>
      <c r="D3727" s="22" t="s">
        <v>9228</v>
      </c>
      <c r="E3727" s="22" t="s">
        <v>7236</v>
      </c>
      <c r="F3727" s="22">
        <v>32.637002132900001</v>
      </c>
      <c r="G3727" s="22">
        <v>46.1797353057</v>
      </c>
      <c r="H3727" s="21" t="s">
        <v>7028</v>
      </c>
      <c r="I3727" s="21" t="s">
        <v>7194</v>
      </c>
      <c r="J3727" s="21" t="s">
        <v>7237</v>
      </c>
      <c r="K3727" s="24">
        <v>6</v>
      </c>
      <c r="L3727" s="24">
        <v>36</v>
      </c>
      <c r="M3727" s="23"/>
      <c r="N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>
        <v>6</v>
      </c>
      <c r="Z3727" s="23"/>
      <c r="AA3727" s="23"/>
      <c r="AB3727" s="23"/>
      <c r="AC3727" s="23"/>
      <c r="AD3727" s="23"/>
      <c r="AE3727" s="23"/>
      <c r="AF3727" s="23"/>
      <c r="AG3727" s="23"/>
      <c r="AH3727" s="23"/>
      <c r="AI3727" s="23"/>
      <c r="AJ3727" s="23">
        <v>6</v>
      </c>
      <c r="AK3727" s="23"/>
      <c r="AL3727" s="23"/>
      <c r="AM3727" s="23"/>
      <c r="AN3727" s="23"/>
      <c r="AO3727" s="23"/>
      <c r="AP3727" s="23">
        <v>6</v>
      </c>
      <c r="AQ3727" s="23"/>
      <c r="AR3727" s="23"/>
      <c r="AS3727" s="23"/>
      <c r="AT3727" s="23"/>
      <c r="AU3727" s="14" t="str">
        <f>HYPERLINK("http://www.openstreetmap.org/?mlat=32.6317&amp;mlon=46.1897&amp;zoom=12#map=12/32.6317/46.1897","Maplink1")</f>
        <v>Maplink1</v>
      </c>
      <c r="AV3727" s="14" t="str">
        <f>HYPERLINK("https://www.google.iq/maps/search/+32.6317,46.1897/@32.6317,46.1897,14z?hl=en","Maplink2")</f>
        <v>Maplink2</v>
      </c>
      <c r="AW3727" s="14" t="str">
        <f>HYPERLINK("http://www.bing.com/maps/?lvl=14&amp;sty=h&amp;cp=32.6317~46.1897&amp;sp=point.32.6317_46.1897_Al-jibab","Maplink3")</f>
        <v>Maplink3</v>
      </c>
    </row>
    <row r="3728" spans="1:49" x14ac:dyDescent="0.25">
      <c r="A3728" s="21">
        <v>25319</v>
      </c>
      <c r="B3728" s="22" t="s">
        <v>26</v>
      </c>
      <c r="C3728" s="22" t="s">
        <v>7191</v>
      </c>
      <c r="D3728" s="22" t="s">
        <v>7228</v>
      </c>
      <c r="E3728" s="22" t="s">
        <v>9229</v>
      </c>
      <c r="F3728" s="22">
        <v>32.460389964400001</v>
      </c>
      <c r="G3728" s="22">
        <v>46.075493582100002</v>
      </c>
      <c r="H3728" s="21" t="s">
        <v>7028</v>
      </c>
      <c r="I3728" s="21" t="s">
        <v>7194</v>
      </c>
      <c r="J3728" s="21"/>
      <c r="K3728" s="24">
        <v>7</v>
      </c>
      <c r="L3728" s="24">
        <v>42</v>
      </c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>
        <v>7</v>
      </c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/>
      <c r="AK3728" s="23">
        <v>7</v>
      </c>
      <c r="AL3728" s="23"/>
      <c r="AM3728" s="23"/>
      <c r="AN3728" s="23"/>
      <c r="AO3728" s="23"/>
      <c r="AP3728" s="23">
        <v>7</v>
      </c>
      <c r="AQ3728" s="23"/>
      <c r="AR3728" s="23"/>
      <c r="AS3728" s="23"/>
      <c r="AT3728" s="23"/>
      <c r="AU3728" s="14" t="str">
        <f>HYPERLINK("http://www.openstreetmap.org/?mlat=32.4656&amp;mlon=46.2305&amp;zoom=12#map=12/32.4656/46.2305","Maplink1")</f>
        <v>Maplink1</v>
      </c>
      <c r="AV3728" s="14" t="str">
        <f>HYPERLINK("https://www.google.iq/maps/search/+32.4656,46.2305/@32.4656,46.2305,14z?hl=en","Maplink2")</f>
        <v>Maplink2</v>
      </c>
      <c r="AW3728" s="14" t="str">
        <f>HYPERLINK("http://www.bing.com/maps/?lvl=14&amp;sty=h&amp;cp=32.4656~46.2305&amp;sp=point.32.4656_46.2305_Al-Dujaily-Al-Zahra 1","Maplink3")</f>
        <v>Maplink3</v>
      </c>
    </row>
    <row r="3729" spans="1:49" x14ac:dyDescent="0.25">
      <c r="A3729" s="21">
        <v>25320</v>
      </c>
      <c r="B3729" s="22" t="s">
        <v>26</v>
      </c>
      <c r="C3729" s="22" t="s">
        <v>7191</v>
      </c>
      <c r="D3729" s="22" t="s">
        <v>7229</v>
      </c>
      <c r="E3729" s="22" t="s">
        <v>9230</v>
      </c>
      <c r="F3729" s="22">
        <v>32.451846669200002</v>
      </c>
      <c r="G3729" s="22">
        <v>46.074834448300003</v>
      </c>
      <c r="H3729" s="21" t="s">
        <v>7028</v>
      </c>
      <c r="I3729" s="21" t="s">
        <v>7194</v>
      </c>
      <c r="J3729" s="21"/>
      <c r="K3729" s="24">
        <v>40</v>
      </c>
      <c r="L3729" s="24">
        <v>240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40</v>
      </c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/>
      <c r="AK3729" s="23">
        <v>40</v>
      </c>
      <c r="AL3729" s="23"/>
      <c r="AM3729" s="23"/>
      <c r="AN3729" s="23"/>
      <c r="AO3729" s="23"/>
      <c r="AP3729" s="23">
        <v>40</v>
      </c>
      <c r="AQ3729" s="23"/>
      <c r="AR3729" s="23"/>
      <c r="AS3729" s="23"/>
      <c r="AT3729" s="23"/>
      <c r="AU3729" s="14" t="str">
        <f>HYPERLINK("http://www.openstreetmap.org/?mlat=32.471&amp;mlon=46.2192&amp;zoom=12#map=12/32.471/46.2192","Maplink1")</f>
        <v>Maplink1</v>
      </c>
      <c r="AV3729" s="14" t="str">
        <f>HYPERLINK("https://www.google.iq/maps/search/+32.471,46.2192/@32.471,46.2192,14z?hl=en","Maplink2")</f>
        <v>Maplink2</v>
      </c>
      <c r="AW3729" s="14" t="str">
        <f>HYPERLINK("http://www.bing.com/maps/?lvl=14&amp;sty=h&amp;cp=32.471~46.2192&amp;sp=point.32.471_46.2192_Al-Dujaily-Hai Al-Hussein","Maplink3")</f>
        <v>Maplink3</v>
      </c>
    </row>
    <row r="3730" spans="1:49" x14ac:dyDescent="0.25">
      <c r="A3730" s="21">
        <v>25108</v>
      </c>
      <c r="B3730" s="22" t="s">
        <v>26</v>
      </c>
      <c r="C3730" s="22" t="s">
        <v>7191</v>
      </c>
      <c r="D3730" s="22" t="s">
        <v>9231</v>
      </c>
      <c r="E3730" s="22" t="s">
        <v>7231</v>
      </c>
      <c r="F3730" s="22">
        <v>32.485046545700001</v>
      </c>
      <c r="G3730" s="22">
        <v>45.823044501699997</v>
      </c>
      <c r="H3730" s="21" t="s">
        <v>7028</v>
      </c>
      <c r="I3730" s="21" t="s">
        <v>7194</v>
      </c>
      <c r="J3730" s="21"/>
      <c r="K3730" s="24">
        <v>22</v>
      </c>
      <c r="L3730" s="24">
        <v>132</v>
      </c>
      <c r="M3730" s="23">
        <v>12</v>
      </c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>
        <v>10</v>
      </c>
      <c r="Z3730" s="23"/>
      <c r="AA3730" s="23"/>
      <c r="AB3730" s="23"/>
      <c r="AC3730" s="23"/>
      <c r="AD3730" s="23"/>
      <c r="AE3730" s="23"/>
      <c r="AF3730" s="23">
        <v>3</v>
      </c>
      <c r="AG3730" s="23"/>
      <c r="AH3730" s="23"/>
      <c r="AI3730" s="23"/>
      <c r="AJ3730" s="23"/>
      <c r="AK3730" s="23">
        <v>19</v>
      </c>
      <c r="AL3730" s="23"/>
      <c r="AM3730" s="23"/>
      <c r="AN3730" s="23"/>
      <c r="AO3730" s="23"/>
      <c r="AP3730" s="23">
        <v>10</v>
      </c>
      <c r="AQ3730" s="23">
        <v>10</v>
      </c>
      <c r="AR3730" s="23"/>
      <c r="AS3730" s="23">
        <v>2</v>
      </c>
      <c r="AT3730" s="23"/>
      <c r="AU3730" s="14" t="str">
        <f>HYPERLINK("http://www.openstreetmap.org/?mlat=32.4951&amp;mlon=45.8154&amp;zoom=12#map=12/32.4951/45.8154","Maplink1")</f>
        <v>Maplink1</v>
      </c>
      <c r="AV3730" s="14" t="str">
        <f>HYPERLINK("https://www.google.iq/maps/search/+32.4951,45.8154/@32.4951,45.8154,14z?hl=en","Maplink2")</f>
        <v>Maplink2</v>
      </c>
      <c r="AW3730" s="14" t="str">
        <f>HYPERLINK("http://www.bing.com/maps/?lvl=14&amp;sty=h&amp;cp=32.4951~45.8154&amp;sp=point.32.4951_45.8154_Al-Eza-Eza Qadima","Maplink3")</f>
        <v>Maplink3</v>
      </c>
    </row>
    <row r="3731" spans="1:49" x14ac:dyDescent="0.25">
      <c r="A3731" s="21">
        <v>25109</v>
      </c>
      <c r="B3731" s="22" t="s">
        <v>26</v>
      </c>
      <c r="C3731" s="22" t="s">
        <v>7191</v>
      </c>
      <c r="D3731" s="22" t="s">
        <v>9232</v>
      </c>
      <c r="E3731" s="22" t="s">
        <v>7230</v>
      </c>
      <c r="F3731" s="22">
        <v>32.483977064999998</v>
      </c>
      <c r="G3731" s="22">
        <v>45.821214976199997</v>
      </c>
      <c r="H3731" s="21" t="s">
        <v>7028</v>
      </c>
      <c r="I3731" s="21" t="s">
        <v>7194</v>
      </c>
      <c r="J3731" s="21"/>
      <c r="K3731" s="24">
        <v>13</v>
      </c>
      <c r="L3731" s="24">
        <v>78</v>
      </c>
      <c r="M3731" s="23">
        <v>3</v>
      </c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10</v>
      </c>
      <c r="Z3731" s="23"/>
      <c r="AA3731" s="23"/>
      <c r="AB3731" s="23"/>
      <c r="AC3731" s="23"/>
      <c r="AD3731" s="23"/>
      <c r="AE3731" s="23"/>
      <c r="AF3731" s="23"/>
      <c r="AG3731" s="23"/>
      <c r="AH3731" s="23"/>
      <c r="AI3731" s="23"/>
      <c r="AJ3731" s="23"/>
      <c r="AK3731" s="23">
        <v>13</v>
      </c>
      <c r="AL3731" s="23"/>
      <c r="AM3731" s="23"/>
      <c r="AN3731" s="23"/>
      <c r="AO3731" s="23"/>
      <c r="AP3731" s="23">
        <v>10</v>
      </c>
      <c r="AQ3731" s="23">
        <v>3</v>
      </c>
      <c r="AR3731" s="23"/>
      <c r="AS3731" s="23"/>
      <c r="AT3731" s="23"/>
      <c r="AU3731" s="14" t="str">
        <f>HYPERLINK("http://www.openstreetmap.org/?mlat=32.4822&amp;mlon=45.824&amp;zoom=12#map=12/32.4822/45.824","Maplink1")</f>
        <v>Maplink1</v>
      </c>
      <c r="AV3731" s="14" t="str">
        <f>HYPERLINK("https://www.google.iq/maps/search/+32.4822,45.824/@32.4822,45.824,14z?hl=en","Maplink2")</f>
        <v>Maplink2</v>
      </c>
      <c r="AW3731" s="14" t="str">
        <f>HYPERLINK("http://www.bing.com/maps/?lvl=14&amp;sty=h&amp;cp=32.4822~45.824&amp;sp=point.32.4822_45.824_Al-Eza-Eza Jadida","Maplink3")</f>
        <v>Maplink3</v>
      </c>
    </row>
    <row r="3732" spans="1:49" x14ac:dyDescent="0.25">
      <c r="A3732" s="21">
        <v>27275</v>
      </c>
      <c r="B3732" s="22" t="s">
        <v>26</v>
      </c>
      <c r="C3732" s="22" t="s">
        <v>7191</v>
      </c>
      <c r="D3732" s="22" t="s">
        <v>7232</v>
      </c>
      <c r="E3732" s="22" t="s">
        <v>7233</v>
      </c>
      <c r="F3732" s="22">
        <v>32.535392336599998</v>
      </c>
      <c r="G3732" s="22">
        <v>45.793017306300001</v>
      </c>
      <c r="H3732" s="21" t="s">
        <v>7028</v>
      </c>
      <c r="I3732" s="21" t="s">
        <v>7194</v>
      </c>
      <c r="J3732" s="21"/>
      <c r="K3732" s="24">
        <v>40</v>
      </c>
      <c r="L3732" s="24">
        <v>240</v>
      </c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>
        <v>40</v>
      </c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>
        <v>15</v>
      </c>
      <c r="AK3732" s="23">
        <v>25</v>
      </c>
      <c r="AL3732" s="23"/>
      <c r="AM3732" s="23"/>
      <c r="AN3732" s="23"/>
      <c r="AO3732" s="23"/>
      <c r="AP3732" s="23">
        <v>40</v>
      </c>
      <c r="AQ3732" s="23"/>
      <c r="AR3732" s="23"/>
      <c r="AS3732" s="23"/>
      <c r="AT3732" s="23"/>
      <c r="AU3732" s="14" t="str">
        <f>HYPERLINK("http://www.openstreetmap.org/?mlat=32.558&amp;mlon=45.7718&amp;zoom=12#map=12/32.558/45.7718","Maplink1")</f>
        <v>Maplink1</v>
      </c>
      <c r="AV3732" s="14" t="str">
        <f>HYPERLINK("https://www.google.iq/maps/search/+32.558,45.7718/@32.558,45.7718,14z?hl=en","Maplink2")</f>
        <v>Maplink2</v>
      </c>
      <c r="AW3732" s="14" t="str">
        <f>HYPERLINK("http://www.bing.com/maps/?lvl=14&amp;sty=h&amp;cp=32.558~45.7718&amp;sp=point.32.558_45.7718_Al-Hassan Al-Askari Al-Thania","Maplink3")</f>
        <v>Maplink3</v>
      </c>
    </row>
    <row r="3733" spans="1:49" x14ac:dyDescent="0.25">
      <c r="A3733" s="21">
        <v>22112</v>
      </c>
      <c r="B3733" s="22" t="s">
        <v>26</v>
      </c>
      <c r="C3733" s="22" t="s">
        <v>7191</v>
      </c>
      <c r="D3733" s="22" t="s">
        <v>9233</v>
      </c>
      <c r="E3733" s="22" t="s">
        <v>9234</v>
      </c>
      <c r="F3733" s="22">
        <v>32.472810923600001</v>
      </c>
      <c r="G3733" s="22">
        <v>45.824802693199999</v>
      </c>
      <c r="H3733" s="21" t="s">
        <v>7028</v>
      </c>
      <c r="I3733" s="21" t="s">
        <v>7194</v>
      </c>
      <c r="J3733" s="21" t="s">
        <v>7219</v>
      </c>
      <c r="K3733" s="24">
        <v>48</v>
      </c>
      <c r="L3733" s="24">
        <v>288</v>
      </c>
      <c r="M3733" s="23">
        <v>9</v>
      </c>
      <c r="N3733" s="23"/>
      <c r="O3733" s="23">
        <v>3</v>
      </c>
      <c r="P3733" s="23"/>
      <c r="Q3733" s="23"/>
      <c r="R3733" s="23">
        <v>1</v>
      </c>
      <c r="S3733" s="23"/>
      <c r="T3733" s="23"/>
      <c r="U3733" s="23"/>
      <c r="V3733" s="23"/>
      <c r="W3733" s="23"/>
      <c r="X3733" s="23"/>
      <c r="Y3733" s="23">
        <v>35</v>
      </c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>
        <v>48</v>
      </c>
      <c r="AL3733" s="23"/>
      <c r="AM3733" s="23"/>
      <c r="AN3733" s="23"/>
      <c r="AO3733" s="23"/>
      <c r="AP3733" s="23">
        <v>43</v>
      </c>
      <c r="AQ3733" s="23">
        <v>2</v>
      </c>
      <c r="AR3733" s="23"/>
      <c r="AS3733" s="23">
        <v>3</v>
      </c>
      <c r="AT3733" s="23"/>
      <c r="AU3733" s="14" t="str">
        <f>HYPERLINK("http://www.openstreetmap.org/?mlat=32.567&amp;mlon=45.512&amp;zoom=12#map=12/32.567/45.512","Maplink1")</f>
        <v>Maplink1</v>
      </c>
      <c r="AV3733" s="14" t="str">
        <f>HYPERLINK("https://www.google.iq/maps/search/+32.567,45.512/@32.567,45.512,14z?hl=en","Maplink2")</f>
        <v>Maplink2</v>
      </c>
      <c r="AW3733" s="14" t="str">
        <f>HYPERLINK("http://www.bing.com/maps/?lvl=14&amp;sty=h&amp;cp=32.567~45.512&amp;sp=point.32.567_45.512_Al Shaheed Dawood","Maplink3")</f>
        <v>Maplink3</v>
      </c>
    </row>
    <row r="3734" spans="1:49" x14ac:dyDescent="0.25">
      <c r="A3734" s="21">
        <v>22693</v>
      </c>
      <c r="B3734" s="22" t="s">
        <v>26</v>
      </c>
      <c r="C3734" s="22" t="s">
        <v>7191</v>
      </c>
      <c r="D3734" s="22" t="s">
        <v>9235</v>
      </c>
      <c r="E3734" s="22" t="s">
        <v>7275</v>
      </c>
      <c r="F3734" s="22">
        <v>32.482264102000002</v>
      </c>
      <c r="G3734" s="22">
        <v>45.814722532499999</v>
      </c>
      <c r="H3734" s="21" t="s">
        <v>7028</v>
      </c>
      <c r="I3734" s="21" t="s">
        <v>7194</v>
      </c>
      <c r="J3734" s="21" t="s">
        <v>7276</v>
      </c>
      <c r="K3734" s="24">
        <v>11</v>
      </c>
      <c r="L3734" s="24">
        <v>66</v>
      </c>
      <c r="M3734" s="23">
        <v>2</v>
      </c>
      <c r="N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>
        <v>9</v>
      </c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>
        <v>9</v>
      </c>
      <c r="AK3734" s="23"/>
      <c r="AL3734" s="23"/>
      <c r="AM3734" s="23"/>
      <c r="AN3734" s="23">
        <v>2</v>
      </c>
      <c r="AO3734" s="23"/>
      <c r="AP3734" s="23">
        <v>9</v>
      </c>
      <c r="AQ3734" s="23">
        <v>2</v>
      </c>
      <c r="AR3734" s="23"/>
      <c r="AS3734" s="23"/>
      <c r="AT3734" s="23"/>
      <c r="AU3734" s="14" t="str">
        <f>HYPERLINK("http://www.openstreetmap.org/?mlat=32.4697&amp;mlon=45.8153&amp;zoom=12#map=12/32.4697/45.8153","Maplink1")</f>
        <v>Maplink1</v>
      </c>
      <c r="AV3734" s="14" t="str">
        <f>HYPERLINK("https://www.google.iq/maps/search/+32.4697,45.8153/@32.4697,45.8153,14z?hl=en","Maplink2")</f>
        <v>Maplink2</v>
      </c>
      <c r="AW3734" s="14" t="str">
        <f>HYPERLINK("http://www.bing.com/maps/?lvl=14&amp;sty=h&amp;cp=32.4697~45.8153&amp;sp=point.32.4697_45.8153_Hay Al Thaqalain","Maplink3")</f>
        <v>Maplink3</v>
      </c>
    </row>
    <row r="3735" spans="1:49" x14ac:dyDescent="0.25">
      <c r="A3735" s="21">
        <v>25103</v>
      </c>
      <c r="B3735" s="22" t="s">
        <v>26</v>
      </c>
      <c r="C3735" s="22" t="s">
        <v>7191</v>
      </c>
      <c r="D3735" s="22" t="s">
        <v>9236</v>
      </c>
      <c r="E3735" s="22" t="s">
        <v>7238</v>
      </c>
      <c r="F3735" s="22">
        <v>32.4807951218</v>
      </c>
      <c r="G3735" s="22">
        <v>45.816481293999999</v>
      </c>
      <c r="H3735" s="21" t="s">
        <v>7028</v>
      </c>
      <c r="I3735" s="21" t="s">
        <v>7194</v>
      </c>
      <c r="J3735" s="21"/>
      <c r="K3735" s="24">
        <v>19</v>
      </c>
      <c r="L3735" s="24">
        <v>114</v>
      </c>
      <c r="M3735" s="23"/>
      <c r="N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>
        <v>19</v>
      </c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/>
      <c r="AK3735" s="23">
        <v>19</v>
      </c>
      <c r="AL3735" s="23"/>
      <c r="AM3735" s="23"/>
      <c r="AN3735" s="23"/>
      <c r="AO3735" s="23"/>
      <c r="AP3735" s="23">
        <v>19</v>
      </c>
      <c r="AQ3735" s="23"/>
      <c r="AR3735" s="23"/>
      <c r="AS3735" s="23"/>
      <c r="AT3735" s="23"/>
      <c r="AU3735" s="14" t="str">
        <f>HYPERLINK("http://www.openstreetmap.org/?mlat=32.478&amp;mlon=45.8129&amp;zoom=12#map=12/32.478/45.8129","Maplink1")</f>
        <v>Maplink1</v>
      </c>
      <c r="AV3735" s="14" t="str">
        <f>HYPERLINK("https://www.google.iq/maps/search/+32.478,45.8129/@32.478,45.8129,14z?hl=en","Maplink2")</f>
        <v>Maplink2</v>
      </c>
      <c r="AW3735" s="14" t="str">
        <f>HYPERLINK("http://www.bing.com/maps/?lvl=14&amp;sty=h&amp;cp=32.478~45.8129&amp;sp=point.32.478_45.8129_Al-Jihad-Al-Jihad Al-Zahraa","Maplink3")</f>
        <v>Maplink3</v>
      </c>
    </row>
    <row r="3736" spans="1:49" x14ac:dyDescent="0.25">
      <c r="A3736" s="21">
        <v>24640</v>
      </c>
      <c r="B3736" s="22" t="s">
        <v>26</v>
      </c>
      <c r="C3736" s="22" t="s">
        <v>7191</v>
      </c>
      <c r="D3736" s="22" t="s">
        <v>9237</v>
      </c>
      <c r="E3736" s="22" t="s">
        <v>7288</v>
      </c>
      <c r="F3736" s="22">
        <v>32.471554577299997</v>
      </c>
      <c r="G3736" s="22">
        <v>45.811008573400002</v>
      </c>
      <c r="H3736" s="21" t="s">
        <v>7028</v>
      </c>
      <c r="I3736" s="21" t="s">
        <v>7194</v>
      </c>
      <c r="J3736" s="21"/>
      <c r="K3736" s="24">
        <v>16</v>
      </c>
      <c r="L3736" s="24">
        <v>96</v>
      </c>
      <c r="M3736" s="23"/>
      <c r="N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>
        <v>16</v>
      </c>
      <c r="Z3736" s="23"/>
      <c r="AA3736" s="23"/>
      <c r="AB3736" s="23"/>
      <c r="AC3736" s="23"/>
      <c r="AD3736" s="23"/>
      <c r="AE3736" s="23"/>
      <c r="AF3736" s="23"/>
      <c r="AG3736" s="23"/>
      <c r="AH3736" s="23"/>
      <c r="AI3736" s="23"/>
      <c r="AJ3736" s="23"/>
      <c r="AK3736" s="23">
        <v>16</v>
      </c>
      <c r="AL3736" s="23"/>
      <c r="AM3736" s="23"/>
      <c r="AN3736" s="23"/>
      <c r="AO3736" s="23"/>
      <c r="AP3736" s="23">
        <v>16</v>
      </c>
      <c r="AQ3736" s="23"/>
      <c r="AR3736" s="23"/>
      <c r="AS3736" s="23"/>
      <c r="AT3736" s="23"/>
      <c r="AU3736" s="14" t="str">
        <f>HYPERLINK("http://www.openstreetmap.org/?mlat=32.4724&amp;mlon=45.8177&amp;zoom=12#map=12/32.4724/45.8177","Maplink1")</f>
        <v>Maplink1</v>
      </c>
      <c r="AV3736" s="14" t="str">
        <f>HYPERLINK("https://www.google.iq/maps/search/+32.4724,45.8177/@32.4724,45.8177,14z?hl=en","Maplink2")</f>
        <v>Maplink2</v>
      </c>
      <c r="AW3736" s="14" t="str">
        <f>HYPERLINK("http://www.bing.com/maps/?lvl=14&amp;sty=h&amp;cp=32.4724~45.8177&amp;sp=point.32.4724_45.8177_Jihad- Znabra","Maplink3")</f>
        <v>Maplink3</v>
      </c>
    </row>
    <row r="3737" spans="1:49" x14ac:dyDescent="0.25">
      <c r="A3737" s="21">
        <v>25106</v>
      </c>
      <c r="B3737" s="22" t="s">
        <v>26</v>
      </c>
      <c r="C3737" s="22" t="s">
        <v>7191</v>
      </c>
      <c r="D3737" s="22" t="s">
        <v>7239</v>
      </c>
      <c r="E3737" s="22" t="s">
        <v>9238</v>
      </c>
      <c r="F3737" s="22">
        <v>32.475444964899999</v>
      </c>
      <c r="G3737" s="22">
        <v>45.820173576999998</v>
      </c>
      <c r="H3737" s="21" t="s">
        <v>7028</v>
      </c>
      <c r="I3737" s="21" t="s">
        <v>7194</v>
      </c>
      <c r="J3737" s="21"/>
      <c r="K3737" s="24">
        <v>33</v>
      </c>
      <c r="L3737" s="24">
        <v>198</v>
      </c>
      <c r="M3737" s="23"/>
      <c r="N3737" s="23"/>
      <c r="O3737" s="23"/>
      <c r="P3737" s="23"/>
      <c r="Q3737" s="23"/>
      <c r="R3737" s="23"/>
      <c r="S3737" s="23"/>
      <c r="T3737" s="23"/>
      <c r="U3737" s="23">
        <v>13</v>
      </c>
      <c r="V3737" s="23"/>
      <c r="W3737" s="23"/>
      <c r="X3737" s="23"/>
      <c r="Y3737" s="23">
        <v>20</v>
      </c>
      <c r="Z3737" s="23"/>
      <c r="AA3737" s="23"/>
      <c r="AB3737" s="23"/>
      <c r="AC3737" s="23"/>
      <c r="AD3737" s="23"/>
      <c r="AE3737" s="23"/>
      <c r="AF3737" s="23">
        <v>33</v>
      </c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>
        <v>22</v>
      </c>
      <c r="AQ3737" s="23">
        <v>11</v>
      </c>
      <c r="AR3737" s="23"/>
      <c r="AS3737" s="23"/>
      <c r="AT3737" s="23"/>
      <c r="AU3737" s="14" t="str">
        <f>HYPERLINK("http://www.openstreetmap.org/?mlat=32.483&amp;mlon=45.8152&amp;zoom=12#map=12/32.483/45.8152","Maplink1")</f>
        <v>Maplink1</v>
      </c>
      <c r="AV3737" s="14" t="str">
        <f>HYPERLINK("https://www.google.iq/maps/search/+32.483,45.8152/@32.483,45.8152,14z?hl=en","Maplink2")</f>
        <v>Maplink2</v>
      </c>
      <c r="AW3737" s="14" t="str">
        <f>HYPERLINK("http://www.bing.com/maps/?lvl=14&amp;sty=h&amp;cp=32.483~45.8152&amp;sp=point.32.483_45.8152_Al-Jihad-Al-Sajad","Maplink3")</f>
        <v>Maplink3</v>
      </c>
    </row>
    <row r="3738" spans="1:49" x14ac:dyDescent="0.25">
      <c r="A3738" s="21">
        <v>24871</v>
      </c>
      <c r="B3738" s="22" t="s">
        <v>26</v>
      </c>
      <c r="C3738" s="22" t="s">
        <v>7191</v>
      </c>
      <c r="D3738" s="22" t="s">
        <v>7243</v>
      </c>
      <c r="E3738" s="22" t="s">
        <v>7244</v>
      </c>
      <c r="F3738" s="22">
        <v>32.456874950200003</v>
      </c>
      <c r="G3738" s="22">
        <v>46.067766715300003</v>
      </c>
      <c r="H3738" s="21" t="s">
        <v>7028</v>
      </c>
      <c r="I3738" s="21" t="s">
        <v>7194</v>
      </c>
      <c r="J3738" s="21"/>
      <c r="K3738" s="24">
        <v>6</v>
      </c>
      <c r="L3738" s="24">
        <v>36</v>
      </c>
      <c r="M3738" s="23"/>
      <c r="N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>
        <v>6</v>
      </c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/>
      <c r="AK3738" s="23">
        <v>6</v>
      </c>
      <c r="AL3738" s="23"/>
      <c r="AM3738" s="23"/>
      <c r="AN3738" s="23"/>
      <c r="AO3738" s="23"/>
      <c r="AP3738" s="23">
        <v>6</v>
      </c>
      <c r="AQ3738" s="23"/>
      <c r="AR3738" s="23"/>
      <c r="AS3738" s="23"/>
      <c r="AT3738" s="23"/>
      <c r="AU3738" s="14" t="str">
        <f>HYPERLINK("http://www.openstreetmap.org/?mlat=32.4577&amp;mlon=46.0679&amp;zoom=12#map=12/32.4577/46.0679","Maplink1")</f>
        <v>Maplink1</v>
      </c>
      <c r="AV3738" s="14" t="str">
        <f>HYPERLINK("https://www.google.iq/maps/search/+32.4577,46.0679/@32.4577,46.0679,14z?hl=en","Maplink2")</f>
        <v>Maplink2</v>
      </c>
      <c r="AW3738" s="14" t="str">
        <f>HYPERLINK("http://www.bing.com/maps/?lvl=14&amp;sty=h&amp;cp=32.4577~46.0679&amp;sp=point.32.4577_46.0679_Al-Oroba 2","Maplink3")</f>
        <v>Maplink3</v>
      </c>
    </row>
    <row r="3739" spans="1:49" x14ac:dyDescent="0.25">
      <c r="A3739" s="21">
        <v>24881</v>
      </c>
      <c r="B3739" s="22" t="s">
        <v>26</v>
      </c>
      <c r="C3739" s="22" t="s">
        <v>7191</v>
      </c>
      <c r="D3739" s="22" t="s">
        <v>9239</v>
      </c>
      <c r="E3739" s="22" t="s">
        <v>7242</v>
      </c>
      <c r="F3739" s="22">
        <v>32.4544265567</v>
      </c>
      <c r="G3739" s="22">
        <v>46.065946820000001</v>
      </c>
      <c r="H3739" s="21" t="s">
        <v>7028</v>
      </c>
      <c r="I3739" s="21" t="s">
        <v>7194</v>
      </c>
      <c r="J3739" s="21"/>
      <c r="K3739" s="24">
        <v>6</v>
      </c>
      <c r="L3739" s="24">
        <v>36</v>
      </c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>
        <v>6</v>
      </c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>
        <v>6</v>
      </c>
      <c r="AL3739" s="23"/>
      <c r="AM3739" s="23"/>
      <c r="AN3739" s="23"/>
      <c r="AO3739" s="23"/>
      <c r="AP3739" s="23">
        <v>6</v>
      </c>
      <c r="AQ3739" s="23"/>
      <c r="AR3739" s="23"/>
      <c r="AS3739" s="23"/>
      <c r="AT3739" s="23"/>
      <c r="AU3739" s="14" t="str">
        <f>HYPERLINK("http://www.openstreetmap.org/?mlat=32.4594&amp;mlon=46.0643&amp;zoom=12#map=12/32.4594/46.0643","Maplink1")</f>
        <v>Maplink1</v>
      </c>
      <c r="AV3739" s="14" t="str">
        <f>HYPERLINK("https://www.google.iq/maps/search/+32.4594,46.0643/@32.4594,46.0643,14z?hl=en","Maplink2")</f>
        <v>Maplink2</v>
      </c>
      <c r="AW3739" s="14" t="str">
        <f>HYPERLINK("http://www.bing.com/maps/?lvl=14&amp;sty=h&amp;cp=32.4594~46.0643&amp;sp=point.32.4594_46.0643_Al-Oroba -Al-Ansar","Maplink3")</f>
        <v>Maplink3</v>
      </c>
    </row>
    <row r="3740" spans="1:49" x14ac:dyDescent="0.25">
      <c r="A3740" s="21">
        <v>24784</v>
      </c>
      <c r="B3740" s="22" t="s">
        <v>26</v>
      </c>
      <c r="C3740" s="22" t="s">
        <v>7191</v>
      </c>
      <c r="D3740" s="22" t="s">
        <v>7245</v>
      </c>
      <c r="E3740" s="22" t="s">
        <v>7246</v>
      </c>
      <c r="F3740" s="22">
        <v>32.545772977200002</v>
      </c>
      <c r="G3740" s="22">
        <v>45.723054148300001</v>
      </c>
      <c r="H3740" s="21" t="s">
        <v>7028</v>
      </c>
      <c r="I3740" s="21" t="s">
        <v>7194</v>
      </c>
      <c r="J3740" s="21"/>
      <c r="K3740" s="24">
        <v>9</v>
      </c>
      <c r="L3740" s="24">
        <v>54</v>
      </c>
      <c r="M3740" s="23"/>
      <c r="N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>
        <v>9</v>
      </c>
      <c r="Z3740" s="23"/>
      <c r="AA3740" s="23"/>
      <c r="AB3740" s="23"/>
      <c r="AC3740" s="23"/>
      <c r="AD3740" s="23"/>
      <c r="AE3740" s="23"/>
      <c r="AF3740" s="23"/>
      <c r="AG3740" s="23"/>
      <c r="AH3740" s="23"/>
      <c r="AI3740" s="23"/>
      <c r="AJ3740" s="23">
        <v>9</v>
      </c>
      <c r="AK3740" s="23"/>
      <c r="AL3740" s="23"/>
      <c r="AM3740" s="23"/>
      <c r="AN3740" s="23"/>
      <c r="AO3740" s="23"/>
      <c r="AP3740" s="23">
        <v>9</v>
      </c>
      <c r="AQ3740" s="23"/>
      <c r="AR3740" s="23"/>
      <c r="AS3740" s="23"/>
      <c r="AT3740" s="23"/>
      <c r="AU3740" s="14" t="str">
        <f>HYPERLINK("http://www.openstreetmap.org/?mlat=32.58&amp;mlon=45.6058&amp;zoom=12#map=12/32.58/45.6058","Maplink1")</f>
        <v>Maplink1</v>
      </c>
      <c r="AV3740" s="14" t="str">
        <f>HYPERLINK("https://www.google.iq/maps/search/+32.58,45.6058/@32.58,45.6058,14z?hl=en","Maplink2")</f>
        <v>Maplink2</v>
      </c>
      <c r="AW3740" s="14" t="str">
        <f>HYPERLINK("http://www.bing.com/maps/?lvl=14&amp;sty=h&amp;cp=32.58~45.6058&amp;sp=point.32.58_45.6058_Al-Sebtain W Al-Maamel","Maplink3")</f>
        <v>Maplink3</v>
      </c>
    </row>
    <row r="3741" spans="1:49" x14ac:dyDescent="0.25">
      <c r="A3741" s="21">
        <v>25104</v>
      </c>
      <c r="B3741" s="22" t="s">
        <v>26</v>
      </c>
      <c r="C3741" s="22" t="s">
        <v>7191</v>
      </c>
      <c r="D3741" s="22" t="s">
        <v>9240</v>
      </c>
      <c r="E3741" s="22" t="s">
        <v>7247</v>
      </c>
      <c r="F3741" s="22">
        <v>32.543027869399999</v>
      </c>
      <c r="G3741" s="22">
        <v>45.831836377800002</v>
      </c>
      <c r="H3741" s="21" t="s">
        <v>7028</v>
      </c>
      <c r="I3741" s="21" t="s">
        <v>7194</v>
      </c>
      <c r="J3741" s="21"/>
      <c r="K3741" s="24">
        <v>20</v>
      </c>
      <c r="L3741" s="24">
        <v>120</v>
      </c>
      <c r="M3741" s="23">
        <v>18</v>
      </c>
      <c r="N3741" s="23"/>
      <c r="O3741" s="23"/>
      <c r="P3741" s="23"/>
      <c r="Q3741" s="23"/>
      <c r="R3741" s="23"/>
      <c r="S3741" s="23"/>
      <c r="T3741" s="23"/>
      <c r="U3741" s="23">
        <v>1</v>
      </c>
      <c r="V3741" s="23"/>
      <c r="W3741" s="23"/>
      <c r="X3741" s="23"/>
      <c r="Y3741" s="23">
        <v>1</v>
      </c>
      <c r="Z3741" s="23"/>
      <c r="AA3741" s="23"/>
      <c r="AB3741" s="23"/>
      <c r="AC3741" s="23"/>
      <c r="AD3741" s="23"/>
      <c r="AE3741" s="23"/>
      <c r="AF3741" s="23"/>
      <c r="AG3741" s="23"/>
      <c r="AH3741" s="23"/>
      <c r="AI3741" s="23"/>
      <c r="AJ3741" s="23"/>
      <c r="AK3741" s="23">
        <v>20</v>
      </c>
      <c r="AL3741" s="23"/>
      <c r="AM3741" s="23"/>
      <c r="AN3741" s="23"/>
      <c r="AO3741" s="23"/>
      <c r="AP3741" s="23">
        <v>2</v>
      </c>
      <c r="AQ3741" s="23"/>
      <c r="AR3741" s="23">
        <v>10</v>
      </c>
      <c r="AS3741" s="23">
        <v>8</v>
      </c>
      <c r="AT3741" s="23"/>
      <c r="AU3741" s="14" t="str">
        <f>HYPERLINK("http://www.openstreetmap.org/?mlat=32.5439&amp;mlon=45.8269&amp;zoom=12#map=12/32.5439/45.8269","Maplink1")</f>
        <v>Maplink1</v>
      </c>
      <c r="AV3741" s="14" t="str">
        <f>HYPERLINK("https://www.google.iq/maps/search/+32.5439,45.8269/@32.5439,45.8269,14z?hl=en","Maplink2")</f>
        <v>Maplink2</v>
      </c>
      <c r="AW3741" s="14" t="str">
        <f>HYPERLINK("http://www.bing.com/maps/?lvl=14&amp;sty=h&amp;cp=32.5439~45.8269&amp;sp=point.32.5439_45.8269_Al-Shuhadaa- Al-Shuhdaa 3","Maplink3")</f>
        <v>Maplink3</v>
      </c>
    </row>
    <row r="3742" spans="1:49" x14ac:dyDescent="0.25">
      <c r="A3742" s="21">
        <v>25105</v>
      </c>
      <c r="B3742" s="22" t="s">
        <v>26</v>
      </c>
      <c r="C3742" s="22" t="s">
        <v>7191</v>
      </c>
      <c r="D3742" s="22" t="s">
        <v>9241</v>
      </c>
      <c r="E3742" s="22" t="s">
        <v>7248</v>
      </c>
      <c r="F3742" s="22">
        <v>32.545080993299997</v>
      </c>
      <c r="G3742" s="22">
        <v>45.832985643599997</v>
      </c>
      <c r="H3742" s="21" t="s">
        <v>7028</v>
      </c>
      <c r="I3742" s="21" t="s">
        <v>7194</v>
      </c>
      <c r="J3742" s="21"/>
      <c r="K3742" s="24">
        <v>26</v>
      </c>
      <c r="L3742" s="24">
        <v>156</v>
      </c>
      <c r="M3742" s="23">
        <v>20</v>
      </c>
      <c r="N3742" s="23"/>
      <c r="O3742" s="23"/>
      <c r="P3742" s="23"/>
      <c r="Q3742" s="23"/>
      <c r="R3742" s="23"/>
      <c r="S3742" s="23"/>
      <c r="T3742" s="23"/>
      <c r="U3742" s="23">
        <v>1</v>
      </c>
      <c r="V3742" s="23"/>
      <c r="W3742" s="23"/>
      <c r="X3742" s="23"/>
      <c r="Y3742" s="23">
        <v>5</v>
      </c>
      <c r="Z3742" s="23"/>
      <c r="AA3742" s="23"/>
      <c r="AB3742" s="23"/>
      <c r="AC3742" s="23"/>
      <c r="AD3742" s="23"/>
      <c r="AE3742" s="23"/>
      <c r="AF3742" s="23">
        <v>6</v>
      </c>
      <c r="AG3742" s="23"/>
      <c r="AH3742" s="23"/>
      <c r="AI3742" s="23"/>
      <c r="AJ3742" s="23"/>
      <c r="AK3742" s="23">
        <v>20</v>
      </c>
      <c r="AL3742" s="23"/>
      <c r="AM3742" s="23"/>
      <c r="AN3742" s="23"/>
      <c r="AO3742" s="23">
        <v>12</v>
      </c>
      <c r="AP3742" s="23">
        <v>6</v>
      </c>
      <c r="AQ3742" s="23"/>
      <c r="AR3742" s="23"/>
      <c r="AS3742" s="23">
        <v>8</v>
      </c>
      <c r="AT3742" s="23"/>
      <c r="AU3742" s="14" t="str">
        <f>HYPERLINK("http://www.openstreetmap.org/?mlat=32.5467&amp;mlon=45.8268&amp;zoom=12#map=12/32.5467/45.8268","Maplink1")</f>
        <v>Maplink1</v>
      </c>
      <c r="AV3742" s="14" t="str">
        <f>HYPERLINK("https://www.google.iq/maps/search/+32.5467,45.8268/@32.5467,45.8268,14z?hl=en","Maplink2")</f>
        <v>Maplink2</v>
      </c>
      <c r="AW3742" s="14" t="str">
        <f>HYPERLINK("http://www.bing.com/maps/?lvl=14&amp;sty=h&amp;cp=32.5467~45.8268&amp;sp=point.32.5467_45.8268_Al-Shuhadaa-Al-Shuhdaa 4","Maplink3")</f>
        <v>Maplink3</v>
      </c>
    </row>
    <row r="3743" spans="1:49" x14ac:dyDescent="0.25">
      <c r="A3743" s="21">
        <v>27276</v>
      </c>
      <c r="B3743" s="22" t="s">
        <v>26</v>
      </c>
      <c r="C3743" s="22" t="s">
        <v>7191</v>
      </c>
      <c r="D3743" s="22" t="s">
        <v>7478</v>
      </c>
      <c r="E3743" s="22" t="s">
        <v>7249</v>
      </c>
      <c r="F3743" s="22">
        <v>32.517547924100001</v>
      </c>
      <c r="G3743" s="22">
        <v>45.801918385599997</v>
      </c>
      <c r="H3743" s="21" t="s">
        <v>7028</v>
      </c>
      <c r="I3743" s="21" t="s">
        <v>7194</v>
      </c>
      <c r="J3743" s="21"/>
      <c r="K3743" s="24">
        <v>54</v>
      </c>
      <c r="L3743" s="24">
        <v>324</v>
      </c>
      <c r="M3743" s="23">
        <v>16</v>
      </c>
      <c r="N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>
        <v>38</v>
      </c>
      <c r="Z3743" s="23"/>
      <c r="AA3743" s="23"/>
      <c r="AB3743" s="23"/>
      <c r="AC3743" s="23"/>
      <c r="AD3743" s="23"/>
      <c r="AE3743" s="23"/>
      <c r="AF3743" s="23"/>
      <c r="AG3743" s="23"/>
      <c r="AH3743" s="23"/>
      <c r="AI3743" s="23"/>
      <c r="AJ3743" s="23"/>
      <c r="AK3743" s="23">
        <v>54</v>
      </c>
      <c r="AL3743" s="23"/>
      <c r="AM3743" s="23"/>
      <c r="AN3743" s="23"/>
      <c r="AO3743" s="23"/>
      <c r="AP3743" s="23">
        <v>36</v>
      </c>
      <c r="AQ3743" s="23">
        <v>2</v>
      </c>
      <c r="AR3743" s="23"/>
      <c r="AS3743" s="23">
        <v>16</v>
      </c>
      <c r="AT3743" s="23"/>
      <c r="AU3743" s="14" t="str">
        <f>HYPERLINK("http://www.openstreetmap.org/?mlat=32.5161&amp;mlon=45.8116&amp;zoom=12#map=12/32.5161/45.8116","Maplink1")</f>
        <v>Maplink1</v>
      </c>
      <c r="AV3743" s="14" t="str">
        <f>HYPERLINK("https://www.google.iq/maps/search/+32.5161,45.8116/@32.5161,45.8116,14z?hl=en","Maplink2")</f>
        <v>Maplink2</v>
      </c>
      <c r="AW3743" s="14" t="str">
        <f>HYPERLINK("http://www.bing.com/maps/?lvl=14&amp;sty=h&amp;cp=32.5161~45.8116&amp;sp=point.32.5161_45.8116_Al-Umarat - Al-Mutamaizeen","Maplink3")</f>
        <v>Maplink3</v>
      </c>
    </row>
    <row r="3744" spans="1:49" x14ac:dyDescent="0.25">
      <c r="A3744" s="21">
        <v>24785</v>
      </c>
      <c r="B3744" s="22" t="s">
        <v>26</v>
      </c>
      <c r="C3744" s="22" t="s">
        <v>7191</v>
      </c>
      <c r="D3744" s="22" t="s">
        <v>7250</v>
      </c>
      <c r="E3744" s="22" t="s">
        <v>7251</v>
      </c>
      <c r="F3744" s="22">
        <v>32.483048883800002</v>
      </c>
      <c r="G3744" s="22">
        <v>45.907565100200003</v>
      </c>
      <c r="H3744" s="21" t="s">
        <v>7028</v>
      </c>
      <c r="I3744" s="21" t="s">
        <v>7194</v>
      </c>
      <c r="J3744" s="21"/>
      <c r="K3744" s="24">
        <v>23</v>
      </c>
      <c r="L3744" s="24">
        <v>138</v>
      </c>
      <c r="M3744" s="23"/>
      <c r="N3744" s="23"/>
      <c r="O3744" s="23"/>
      <c r="P3744" s="23"/>
      <c r="Q3744" s="23"/>
      <c r="R3744" s="23">
        <v>2</v>
      </c>
      <c r="S3744" s="23"/>
      <c r="T3744" s="23"/>
      <c r="U3744" s="23"/>
      <c r="V3744" s="23"/>
      <c r="W3744" s="23"/>
      <c r="X3744" s="23"/>
      <c r="Y3744" s="23">
        <v>21</v>
      </c>
      <c r="Z3744" s="23"/>
      <c r="AA3744" s="23"/>
      <c r="AB3744" s="23"/>
      <c r="AC3744" s="23"/>
      <c r="AD3744" s="23"/>
      <c r="AE3744" s="23"/>
      <c r="AF3744" s="23">
        <v>4</v>
      </c>
      <c r="AG3744" s="23"/>
      <c r="AH3744" s="23"/>
      <c r="AI3744" s="23"/>
      <c r="AJ3744" s="23">
        <v>4</v>
      </c>
      <c r="AK3744" s="23">
        <v>15</v>
      </c>
      <c r="AL3744" s="23"/>
      <c r="AM3744" s="23"/>
      <c r="AN3744" s="23"/>
      <c r="AO3744" s="23"/>
      <c r="AP3744" s="23">
        <v>23</v>
      </c>
      <c r="AQ3744" s="23"/>
      <c r="AR3744" s="23"/>
      <c r="AS3744" s="23"/>
      <c r="AT3744" s="23"/>
      <c r="AU3744" s="14" t="str">
        <f>HYPERLINK("http://www.openstreetmap.org/?mlat=32.484&amp;mlon=45.9067&amp;zoom=12#map=12/32.484/45.9067","Maplink1")</f>
        <v>Maplink1</v>
      </c>
      <c r="AV3744" s="14" t="str">
        <f>HYPERLINK("https://www.google.iq/maps/search/+32.484,45.9067/@32.484,45.9067,14z?hl=en","Maplink2")</f>
        <v>Maplink2</v>
      </c>
      <c r="AW3744" s="14" t="str">
        <f>HYPERLINK("http://www.bing.com/maps/?lvl=14&amp;sty=h&amp;cp=32.484~45.9067&amp;sp=point.32.484_45.9067_Al-Wafdin Al-Sadrain","Maplink3")</f>
        <v>Maplink3</v>
      </c>
    </row>
    <row r="3745" spans="1:49" x14ac:dyDescent="0.25">
      <c r="A3745" s="21">
        <v>24872</v>
      </c>
      <c r="B3745" s="22" t="s">
        <v>26</v>
      </c>
      <c r="C3745" s="22" t="s">
        <v>7191</v>
      </c>
      <c r="D3745" s="22" t="s">
        <v>7253</v>
      </c>
      <c r="E3745" s="22" t="s">
        <v>7254</v>
      </c>
      <c r="F3745" s="22">
        <v>32.464482328000003</v>
      </c>
      <c r="G3745" s="22">
        <v>46.081224714400001</v>
      </c>
      <c r="H3745" s="21" t="s">
        <v>7028</v>
      </c>
      <c r="I3745" s="21" t="s">
        <v>7194</v>
      </c>
      <c r="J3745" s="21"/>
      <c r="K3745" s="24">
        <v>9</v>
      </c>
      <c r="L3745" s="24">
        <v>54</v>
      </c>
      <c r="M3745" s="23"/>
      <c r="N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>
        <v>9</v>
      </c>
      <c r="Z3745" s="23"/>
      <c r="AA3745" s="23"/>
      <c r="AB3745" s="23"/>
      <c r="AC3745" s="23"/>
      <c r="AD3745" s="23"/>
      <c r="AE3745" s="23"/>
      <c r="AF3745" s="23"/>
      <c r="AG3745" s="23"/>
      <c r="AH3745" s="23"/>
      <c r="AI3745" s="23"/>
      <c r="AJ3745" s="23"/>
      <c r="AK3745" s="23">
        <v>9</v>
      </c>
      <c r="AL3745" s="23"/>
      <c r="AM3745" s="23"/>
      <c r="AN3745" s="23"/>
      <c r="AO3745" s="23"/>
      <c r="AP3745" s="23">
        <v>9</v>
      </c>
      <c r="AQ3745" s="23"/>
      <c r="AR3745" s="23"/>
      <c r="AS3745" s="23"/>
      <c r="AT3745" s="23"/>
      <c r="AU3745" s="14" t="str">
        <f>HYPERLINK("http://www.openstreetmap.org/?mlat=32.4617&amp;mlon=46.0832&amp;zoom=12#map=12/32.4617/46.0832","Maplink1")</f>
        <v>Maplink1</v>
      </c>
      <c r="AV3745" s="14" t="str">
        <f>HYPERLINK("https://www.google.iq/maps/search/+32.4617,46.0832/@32.4617,46.0832,14z?hl=en","Maplink2")</f>
        <v>Maplink2</v>
      </c>
      <c r="AW3745" s="14" t="str">
        <f>HYPERLINK("http://www.bing.com/maps/?lvl=14&amp;sty=h&amp;cp=32.4617~46.0832&amp;sp=point.32.4617_46.0832_Al-Zahra 2","Maplink3")</f>
        <v>Maplink3</v>
      </c>
    </row>
    <row r="3746" spans="1:49" x14ac:dyDescent="0.25">
      <c r="A3746" s="21">
        <v>24882</v>
      </c>
      <c r="B3746" s="22" t="s">
        <v>26</v>
      </c>
      <c r="C3746" s="22" t="s">
        <v>7191</v>
      </c>
      <c r="D3746" s="22" t="s">
        <v>7255</v>
      </c>
      <c r="E3746" s="22" t="s">
        <v>7256</v>
      </c>
      <c r="F3746" s="22">
        <v>32.460073112700002</v>
      </c>
      <c r="G3746" s="22">
        <v>46.079839997299999</v>
      </c>
      <c r="H3746" s="21" t="s">
        <v>7028</v>
      </c>
      <c r="I3746" s="21" t="s">
        <v>7194</v>
      </c>
      <c r="J3746" s="21"/>
      <c r="K3746" s="24">
        <v>8</v>
      </c>
      <c r="L3746" s="24">
        <v>48</v>
      </c>
      <c r="M3746" s="23"/>
      <c r="N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>
        <v>8</v>
      </c>
      <c r="Z3746" s="23"/>
      <c r="AA3746" s="23"/>
      <c r="AB3746" s="23"/>
      <c r="AC3746" s="23"/>
      <c r="AD3746" s="23"/>
      <c r="AE3746" s="23"/>
      <c r="AF3746" s="23">
        <v>8</v>
      </c>
      <c r="AG3746" s="23"/>
      <c r="AH3746" s="23"/>
      <c r="AI3746" s="23"/>
      <c r="AJ3746" s="23"/>
      <c r="AK3746" s="23"/>
      <c r="AL3746" s="23"/>
      <c r="AM3746" s="23"/>
      <c r="AN3746" s="23"/>
      <c r="AO3746" s="23"/>
      <c r="AP3746" s="23">
        <v>8</v>
      </c>
      <c r="AQ3746" s="23"/>
      <c r="AR3746" s="23"/>
      <c r="AS3746" s="23"/>
      <c r="AT3746" s="23"/>
      <c r="AU3746" s="14" t="str">
        <f>HYPERLINK("http://www.openstreetmap.org/?mlat=32.4625&amp;mlon=46.0725&amp;zoom=12#map=12/32.4625/46.0725","Maplink1")</f>
        <v>Maplink1</v>
      </c>
      <c r="AV3746" s="14" t="str">
        <f>HYPERLINK("https://www.google.iq/maps/search/+32.4625,46.0725/@32.4625,46.0725,14z?hl=en","Maplink2")</f>
        <v>Maplink2</v>
      </c>
      <c r="AW3746" s="14" t="str">
        <f>HYPERLINK("http://www.bing.com/maps/?lvl=14&amp;sty=h&amp;cp=32.4625~46.0725&amp;sp=point.32.4625_46.0725_Al-Zahra Al-Karavanat","Maplink3")</f>
        <v>Maplink3</v>
      </c>
    </row>
    <row r="3747" spans="1:49" x14ac:dyDescent="0.25">
      <c r="A3747" s="21">
        <v>24880</v>
      </c>
      <c r="B3747" s="22" t="s">
        <v>26</v>
      </c>
      <c r="C3747" s="22" t="s">
        <v>7191</v>
      </c>
      <c r="D3747" s="22" t="s">
        <v>7548</v>
      </c>
      <c r="E3747" s="22" t="s">
        <v>7252</v>
      </c>
      <c r="F3747" s="22">
        <v>32.461059265899998</v>
      </c>
      <c r="G3747" s="22">
        <v>46.076792460199997</v>
      </c>
      <c r="H3747" s="21" t="s">
        <v>7028</v>
      </c>
      <c r="I3747" s="21" t="s">
        <v>7194</v>
      </c>
      <c r="J3747" s="21"/>
      <c r="K3747" s="24">
        <v>7</v>
      </c>
      <c r="L3747" s="24">
        <v>42</v>
      </c>
      <c r="M3747" s="23"/>
      <c r="N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>
        <v>7</v>
      </c>
      <c r="Z3747" s="23"/>
      <c r="AA3747" s="23"/>
      <c r="AB3747" s="23"/>
      <c r="AC3747" s="23"/>
      <c r="AD3747" s="23"/>
      <c r="AE3747" s="23"/>
      <c r="AF3747" s="23"/>
      <c r="AG3747" s="23"/>
      <c r="AH3747" s="23"/>
      <c r="AI3747" s="23"/>
      <c r="AJ3747" s="23"/>
      <c r="AK3747" s="23">
        <v>7</v>
      </c>
      <c r="AL3747" s="23"/>
      <c r="AM3747" s="23"/>
      <c r="AN3747" s="23"/>
      <c r="AO3747" s="23"/>
      <c r="AP3747" s="23">
        <v>7</v>
      </c>
      <c r="AQ3747" s="23"/>
      <c r="AR3747" s="23"/>
      <c r="AS3747" s="23"/>
      <c r="AT3747" s="23"/>
      <c r="AU3747" s="14" t="str">
        <f>HYPERLINK("http://www.openstreetmap.org/?mlat=32.4602&amp;mlon=46.0823&amp;zoom=12#map=12/32.4602/46.0823","Maplink1")</f>
        <v>Maplink1</v>
      </c>
      <c r="AV3747" s="14" t="str">
        <f>HYPERLINK("https://www.google.iq/maps/search/+32.4602,46.0823/@32.4602,46.0823,14z?hl=en","Maplink2")</f>
        <v>Maplink2</v>
      </c>
      <c r="AW3747" s="14" t="str">
        <f>HYPERLINK("http://www.bing.com/maps/?lvl=14&amp;sty=h&amp;cp=32.4602~46.0823&amp;sp=point.32.4602_46.0823_Al-Zahra -Al-Jihad","Maplink3")</f>
        <v>Maplink3</v>
      </c>
    </row>
    <row r="3748" spans="1:49" x14ac:dyDescent="0.25">
      <c r="A3748" s="21">
        <v>21868</v>
      </c>
      <c r="B3748" s="22" t="s">
        <v>26</v>
      </c>
      <c r="C3748" s="22" t="s">
        <v>7191</v>
      </c>
      <c r="D3748" s="22" t="s">
        <v>9242</v>
      </c>
      <c r="E3748" s="22" t="s">
        <v>7257</v>
      </c>
      <c r="F3748" s="22">
        <v>32.523454884499998</v>
      </c>
      <c r="G3748" s="22">
        <v>45.847418275099997</v>
      </c>
      <c r="H3748" s="21" t="s">
        <v>7028</v>
      </c>
      <c r="I3748" s="21" t="s">
        <v>7194</v>
      </c>
      <c r="J3748" s="21" t="s">
        <v>7258</v>
      </c>
      <c r="K3748" s="24">
        <v>21</v>
      </c>
      <c r="L3748" s="24">
        <v>126</v>
      </c>
      <c r="M3748" s="23">
        <v>8</v>
      </c>
      <c r="N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>
        <v>13</v>
      </c>
      <c r="Z3748" s="23"/>
      <c r="AA3748" s="23"/>
      <c r="AB3748" s="23"/>
      <c r="AC3748" s="23"/>
      <c r="AD3748" s="23"/>
      <c r="AE3748" s="23"/>
      <c r="AF3748" s="23"/>
      <c r="AG3748" s="23"/>
      <c r="AH3748" s="23"/>
      <c r="AI3748" s="23"/>
      <c r="AJ3748" s="23"/>
      <c r="AK3748" s="23">
        <v>21</v>
      </c>
      <c r="AL3748" s="23"/>
      <c r="AM3748" s="23"/>
      <c r="AN3748" s="23"/>
      <c r="AO3748" s="23"/>
      <c r="AP3748" s="23">
        <v>8</v>
      </c>
      <c r="AQ3748" s="23">
        <v>13</v>
      </c>
      <c r="AR3748" s="23"/>
      <c r="AS3748" s="23"/>
      <c r="AT3748" s="23"/>
      <c r="AU3748" s="14" t="str">
        <f>HYPERLINK("http://www.openstreetmap.org/?mlat=32.5166&amp;mlon=45.8404&amp;zoom=12#map=12/32.5166/45.8404","Maplink1")</f>
        <v>Maplink1</v>
      </c>
      <c r="AV3748" s="14" t="str">
        <f>HYPERLINK("https://www.google.iq/maps/search/+32.5166,45.8404/@32.5166,45.8404,14z?hl=en","Maplink2")</f>
        <v>Maplink2</v>
      </c>
      <c r="AW3748" s="14" t="str">
        <f>HYPERLINK("http://www.bing.com/maps/?lvl=14&amp;sty=h&amp;cp=32.5166~45.8404&amp;sp=point.32.5166_45.8404_Anwar Al Sadir","Maplink3")</f>
        <v>Maplink3</v>
      </c>
    </row>
    <row r="3749" spans="1:49" x14ac:dyDescent="0.25">
      <c r="A3749" s="21">
        <v>25322</v>
      </c>
      <c r="B3749" s="22" t="s">
        <v>26</v>
      </c>
      <c r="C3749" s="22" t="s">
        <v>7191</v>
      </c>
      <c r="D3749" s="22" t="s">
        <v>9243</v>
      </c>
      <c r="E3749" s="22" t="s">
        <v>8139</v>
      </c>
      <c r="F3749" s="22">
        <v>32.514318827700002</v>
      </c>
      <c r="G3749" s="22">
        <v>45.839395681100001</v>
      </c>
      <c r="H3749" s="21" t="s">
        <v>7028</v>
      </c>
      <c r="I3749" s="21" t="s">
        <v>7194</v>
      </c>
      <c r="J3749" s="21"/>
      <c r="K3749" s="24">
        <v>13</v>
      </c>
      <c r="L3749" s="24">
        <v>78</v>
      </c>
      <c r="M3749" s="23"/>
      <c r="N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>
        <v>13</v>
      </c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/>
      <c r="AK3749" s="23">
        <v>13</v>
      </c>
      <c r="AL3749" s="23"/>
      <c r="AM3749" s="23"/>
      <c r="AN3749" s="23"/>
      <c r="AO3749" s="23"/>
      <c r="AP3749" s="23">
        <v>10</v>
      </c>
      <c r="AQ3749" s="23"/>
      <c r="AR3749" s="23">
        <v>3</v>
      </c>
      <c r="AS3749" s="23"/>
      <c r="AT3749" s="23"/>
      <c r="AU3749" s="14" t="str">
        <f>HYPERLINK("http://www.openstreetmap.org/?mlat=32.5138&amp;mlon=45.8413&amp;zoom=12#map=12/32.5138/45.8413","Maplink1")</f>
        <v>Maplink1</v>
      </c>
      <c r="AV3749" s="14" t="str">
        <f>HYPERLINK("https://www.google.iq/maps/search/+32.5138,45.8413/@32.5138,45.8413,14z?hl=en","Maplink2")</f>
        <v>Maplink2</v>
      </c>
      <c r="AW3749" s="14" t="str">
        <f>HYPERLINK("http://www.bing.com/maps/?lvl=14&amp;sty=h&amp;cp=32.5138~45.8413&amp;sp=point.32.5138_45.8413_Anwar Al Sadir-Al-Ghader","Maplink3")</f>
        <v>Maplink3</v>
      </c>
    </row>
    <row r="3750" spans="1:49" x14ac:dyDescent="0.25">
      <c r="A3750" s="21">
        <v>19555</v>
      </c>
      <c r="B3750" s="22" t="s">
        <v>26</v>
      </c>
      <c r="C3750" s="22" t="s">
        <v>7191</v>
      </c>
      <c r="D3750" s="22" t="s">
        <v>7259</v>
      </c>
      <c r="E3750" s="22" t="s">
        <v>7260</v>
      </c>
      <c r="F3750" s="22">
        <v>32.535655181899998</v>
      </c>
      <c r="G3750" s="22">
        <v>45.821504881599999</v>
      </c>
      <c r="H3750" s="21" t="s">
        <v>7028</v>
      </c>
      <c r="I3750" s="21" t="s">
        <v>7194</v>
      </c>
      <c r="J3750" s="21" t="s">
        <v>7261</v>
      </c>
      <c r="K3750" s="24">
        <v>82</v>
      </c>
      <c r="L3750" s="24">
        <v>492</v>
      </c>
      <c r="M3750" s="23"/>
      <c r="N3750" s="23"/>
      <c r="O3750" s="23"/>
      <c r="P3750" s="23"/>
      <c r="Q3750" s="23"/>
      <c r="R3750" s="23"/>
      <c r="S3750" s="23"/>
      <c r="T3750" s="23"/>
      <c r="U3750" s="23">
        <v>6</v>
      </c>
      <c r="V3750" s="23"/>
      <c r="W3750" s="23"/>
      <c r="X3750" s="23"/>
      <c r="Y3750" s="23">
        <v>76</v>
      </c>
      <c r="Z3750" s="23"/>
      <c r="AA3750" s="23"/>
      <c r="AB3750" s="23"/>
      <c r="AC3750" s="23"/>
      <c r="AD3750" s="23"/>
      <c r="AE3750" s="23"/>
      <c r="AF3750" s="23">
        <v>16</v>
      </c>
      <c r="AG3750" s="23"/>
      <c r="AH3750" s="23"/>
      <c r="AI3750" s="23"/>
      <c r="AJ3750" s="23">
        <v>13</v>
      </c>
      <c r="AK3750" s="23">
        <v>53</v>
      </c>
      <c r="AL3750" s="23"/>
      <c r="AM3750" s="23"/>
      <c r="AN3750" s="23"/>
      <c r="AO3750" s="23"/>
      <c r="AP3750" s="23">
        <v>82</v>
      </c>
      <c r="AQ3750" s="23"/>
      <c r="AR3750" s="23"/>
      <c r="AS3750" s="23"/>
      <c r="AT3750" s="23"/>
      <c r="AU3750" s="14" t="str">
        <f>HYPERLINK("http://www.openstreetmap.org/?mlat=32.5338&amp;mlon=45.8194&amp;zoom=12#map=12/32.5338/45.8194","Maplink1")</f>
        <v>Maplink1</v>
      </c>
      <c r="AV3750" s="14" t="str">
        <f>HYPERLINK("https://www.google.iq/maps/search/+32.5338,45.8194/@32.5338,45.8194,14z?hl=en","Maplink2")</f>
        <v>Maplink2</v>
      </c>
      <c r="AW3750" s="14" t="str">
        <f>HYPERLINK("http://www.bing.com/maps/?lvl=14&amp;sty=h&amp;cp=32.5338~45.8194&amp;sp=point.32.5338_45.8194_Damook 150","Maplink3")</f>
        <v>Maplink3</v>
      </c>
    </row>
    <row r="3751" spans="1:49" x14ac:dyDescent="0.25">
      <c r="A3751" s="21">
        <v>24758</v>
      </c>
      <c r="B3751" s="22" t="s">
        <v>26</v>
      </c>
      <c r="C3751" s="22" t="s">
        <v>7191</v>
      </c>
      <c r="D3751" s="22" t="s">
        <v>7262</v>
      </c>
      <c r="E3751" s="22" t="s">
        <v>7263</v>
      </c>
      <c r="F3751" s="22">
        <v>32.529920996199998</v>
      </c>
      <c r="G3751" s="22">
        <v>45.832743924100001</v>
      </c>
      <c r="H3751" s="21" t="s">
        <v>7028</v>
      </c>
      <c r="I3751" s="21" t="s">
        <v>7194</v>
      </c>
      <c r="J3751" s="21"/>
      <c r="K3751" s="24">
        <v>53</v>
      </c>
      <c r="L3751" s="24">
        <v>318</v>
      </c>
      <c r="M3751" s="23">
        <v>10</v>
      </c>
      <c r="N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>
        <v>43</v>
      </c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>
        <v>53</v>
      </c>
      <c r="AL3751" s="23"/>
      <c r="AM3751" s="23"/>
      <c r="AN3751" s="23"/>
      <c r="AO3751" s="23"/>
      <c r="AP3751" s="23">
        <v>43</v>
      </c>
      <c r="AQ3751" s="23"/>
      <c r="AR3751" s="23"/>
      <c r="AS3751" s="23">
        <v>10</v>
      </c>
      <c r="AT3751" s="23"/>
      <c r="AU3751" s="14" t="str">
        <f>HYPERLINK("http://www.openstreetmap.org/?mlat=32.5333&amp;mlon=45.83&amp;zoom=12#map=12/32.5333/45.83","Maplink1")</f>
        <v>Maplink1</v>
      </c>
      <c r="AV3751" s="14" t="str">
        <f>HYPERLINK("https://www.google.iq/maps/search/+32.5333,45.83/@32.5333,45.83,14z?hl=en","Maplink2")</f>
        <v>Maplink2</v>
      </c>
      <c r="AW3751" s="14" t="str">
        <f>HYPERLINK("http://www.bing.com/maps/?lvl=14&amp;sty=h&amp;cp=32.5333~45.83&amp;sp=point.32.5333_45.83_Damook Al-Dhbat","Maplink3")</f>
        <v>Maplink3</v>
      </c>
    </row>
    <row r="3752" spans="1:49" x14ac:dyDescent="0.25">
      <c r="A3752" s="21">
        <v>19554</v>
      </c>
      <c r="B3752" s="22" t="s">
        <v>26</v>
      </c>
      <c r="C3752" s="22" t="s">
        <v>7191</v>
      </c>
      <c r="D3752" s="22" t="s">
        <v>9244</v>
      </c>
      <c r="E3752" s="22" t="s">
        <v>7264</v>
      </c>
      <c r="F3752" s="22">
        <v>32.536889878099998</v>
      </c>
      <c r="G3752" s="22">
        <v>45.829944284600003</v>
      </c>
      <c r="H3752" s="21" t="s">
        <v>7028</v>
      </c>
      <c r="I3752" s="21" t="s">
        <v>7194</v>
      </c>
      <c r="J3752" s="21" t="s">
        <v>7265</v>
      </c>
      <c r="K3752" s="24">
        <v>22</v>
      </c>
      <c r="L3752" s="24">
        <v>132</v>
      </c>
      <c r="M3752" s="23">
        <v>8</v>
      </c>
      <c r="N3752" s="23"/>
      <c r="O3752" s="23"/>
      <c r="P3752" s="23"/>
      <c r="Q3752" s="23"/>
      <c r="R3752" s="23"/>
      <c r="S3752" s="23"/>
      <c r="T3752" s="23"/>
      <c r="U3752" s="23">
        <v>2</v>
      </c>
      <c r="V3752" s="23"/>
      <c r="W3752" s="23"/>
      <c r="X3752" s="23"/>
      <c r="Y3752" s="23">
        <v>12</v>
      </c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>
        <v>6</v>
      </c>
      <c r="AK3752" s="23">
        <v>16</v>
      </c>
      <c r="AL3752" s="23"/>
      <c r="AM3752" s="23"/>
      <c r="AN3752" s="23"/>
      <c r="AO3752" s="23"/>
      <c r="AP3752" s="23">
        <v>14</v>
      </c>
      <c r="AQ3752" s="23"/>
      <c r="AR3752" s="23"/>
      <c r="AS3752" s="23">
        <v>8</v>
      </c>
      <c r="AT3752" s="23"/>
      <c r="AU3752" s="14" t="str">
        <f>HYPERLINK("http://www.openstreetmap.org/?mlat=32.5341&amp;mlon=45.8239&amp;zoom=12#map=12/32.5341/45.8239","Maplink1")</f>
        <v>Maplink1</v>
      </c>
      <c r="AV3752" s="14" t="str">
        <f>HYPERLINK("https://www.google.iq/maps/search/+32.5341,45.8239/@32.5341,45.8239,14z?hl=en","Maplink2")</f>
        <v>Maplink2</v>
      </c>
      <c r="AW3752" s="14" t="str">
        <f>HYPERLINK("http://www.bing.com/maps/?lvl=14&amp;sty=h&amp;cp=32.5341~45.8239&amp;sp=point.32.5341_45.8239_Damook-Damok Al-Huriya","Maplink3")</f>
        <v>Maplink3</v>
      </c>
    </row>
    <row r="3753" spans="1:49" x14ac:dyDescent="0.25">
      <c r="A3753" s="21">
        <v>19064</v>
      </c>
      <c r="B3753" s="22" t="s">
        <v>26</v>
      </c>
      <c r="C3753" s="22" t="s">
        <v>7191</v>
      </c>
      <c r="D3753" s="22" t="s">
        <v>9245</v>
      </c>
      <c r="E3753" s="22" t="s">
        <v>7266</v>
      </c>
      <c r="F3753" s="22">
        <v>32.529697115499999</v>
      </c>
      <c r="G3753" s="22">
        <v>45.821452578500001</v>
      </c>
      <c r="H3753" s="21" t="s">
        <v>7028</v>
      </c>
      <c r="I3753" s="21" t="s">
        <v>7194</v>
      </c>
      <c r="J3753" s="21" t="s">
        <v>7267</v>
      </c>
      <c r="K3753" s="24">
        <v>24</v>
      </c>
      <c r="L3753" s="24">
        <v>144</v>
      </c>
      <c r="M3753" s="23">
        <v>3</v>
      </c>
      <c r="N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>
        <v>21</v>
      </c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>
        <v>14</v>
      </c>
      <c r="AK3753" s="23">
        <v>10</v>
      </c>
      <c r="AL3753" s="23"/>
      <c r="AM3753" s="23"/>
      <c r="AN3753" s="23"/>
      <c r="AO3753" s="23">
        <v>3</v>
      </c>
      <c r="AP3753" s="23">
        <v>21</v>
      </c>
      <c r="AQ3753" s="23"/>
      <c r="AR3753" s="23"/>
      <c r="AS3753" s="23"/>
      <c r="AT3753" s="23"/>
      <c r="AU3753" s="14" t="str">
        <f>HYPERLINK("http://www.openstreetmap.org/?mlat=32.5233&amp;mlon=45.8158&amp;zoom=12#map=12/32.5233/45.8158","Maplink1")</f>
        <v>Maplink1</v>
      </c>
      <c r="AV3753" s="14" t="str">
        <f>HYPERLINK("https://www.google.iq/maps/search/+32.5233,45.8158/@32.5233,45.8158,14z?hl=en","Maplink2")</f>
        <v>Maplink2</v>
      </c>
      <c r="AW3753" s="14" t="str">
        <f>HYPERLINK("http://www.bing.com/maps/?lvl=14&amp;sty=h&amp;cp=32.5233~45.8158&amp;sp=point.32.5233_45.8158_Door al-aumal","Maplink3")</f>
        <v>Maplink3</v>
      </c>
    </row>
    <row r="3754" spans="1:49" x14ac:dyDescent="0.25">
      <c r="A3754" s="21">
        <v>27383</v>
      </c>
      <c r="B3754" s="22" t="s">
        <v>26</v>
      </c>
      <c r="C3754" s="22" t="s">
        <v>7191</v>
      </c>
      <c r="D3754" s="22" t="s">
        <v>7271</v>
      </c>
      <c r="E3754" s="22" t="s">
        <v>7272</v>
      </c>
      <c r="F3754" s="22">
        <v>32.514930357600001</v>
      </c>
      <c r="G3754" s="22">
        <v>45.845785793899999</v>
      </c>
      <c r="H3754" s="21" t="s">
        <v>7028</v>
      </c>
      <c r="I3754" s="21" t="s">
        <v>7194</v>
      </c>
      <c r="J3754" s="21"/>
      <c r="K3754" s="24">
        <v>24</v>
      </c>
      <c r="L3754" s="24">
        <v>144</v>
      </c>
      <c r="M3754" s="23">
        <v>7</v>
      </c>
      <c r="N3754" s="23"/>
      <c r="O3754" s="23"/>
      <c r="P3754" s="23"/>
      <c r="Q3754" s="23"/>
      <c r="R3754" s="23"/>
      <c r="S3754" s="23"/>
      <c r="T3754" s="23"/>
      <c r="U3754" s="23">
        <v>7</v>
      </c>
      <c r="V3754" s="23"/>
      <c r="W3754" s="23"/>
      <c r="X3754" s="23"/>
      <c r="Y3754" s="23">
        <v>10</v>
      </c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>
        <v>24</v>
      </c>
      <c r="AL3754" s="23"/>
      <c r="AM3754" s="23"/>
      <c r="AN3754" s="23"/>
      <c r="AO3754" s="23">
        <v>7</v>
      </c>
      <c r="AP3754" s="23">
        <v>10</v>
      </c>
      <c r="AQ3754" s="23"/>
      <c r="AR3754" s="23"/>
      <c r="AS3754" s="23">
        <v>7</v>
      </c>
      <c r="AT3754" s="23"/>
      <c r="AU3754" s="14" t="str">
        <f>HYPERLINK("http://www.openstreetmap.org/?mlat=32.5184&amp;mlon=45.8446&amp;zoom=12#map=12/32.5184/45.8446","Maplink1")</f>
        <v>Maplink1</v>
      </c>
      <c r="AV3754" s="14" t="str">
        <f>HYPERLINK("https://www.google.iq/maps/search/+32.5184,45.8446/@32.5184,45.8446,14z?hl=en","Maplink2")</f>
        <v>Maplink2</v>
      </c>
      <c r="AW3754" s="14" t="str">
        <f>HYPERLINK("http://www.bing.com/maps/?lvl=14&amp;sty=h&amp;cp=32.5184~45.8446&amp;sp=point.32.5184_45.8446_Hay Al Jawadeen Al-Thalitha","Maplink3")</f>
        <v>Maplink3</v>
      </c>
    </row>
    <row r="3755" spans="1:49" x14ac:dyDescent="0.25">
      <c r="A3755" s="21">
        <v>24262</v>
      </c>
      <c r="B3755" s="22" t="s">
        <v>26</v>
      </c>
      <c r="C3755" s="22" t="s">
        <v>7191</v>
      </c>
      <c r="D3755" s="22" t="s">
        <v>9246</v>
      </c>
      <c r="E3755" s="22" t="s">
        <v>7273</v>
      </c>
      <c r="F3755" s="22">
        <v>32.511942717300002</v>
      </c>
      <c r="G3755" s="22">
        <v>45.869692606900003</v>
      </c>
      <c r="H3755" s="21" t="s">
        <v>7028</v>
      </c>
      <c r="I3755" s="21" t="s">
        <v>7194</v>
      </c>
      <c r="J3755" s="21" t="s">
        <v>7274</v>
      </c>
      <c r="K3755" s="24">
        <v>17</v>
      </c>
      <c r="L3755" s="24">
        <v>102</v>
      </c>
      <c r="M3755" s="23">
        <v>4</v>
      </c>
      <c r="N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>
        <v>13</v>
      </c>
      <c r="Z3755" s="23"/>
      <c r="AA3755" s="23"/>
      <c r="AB3755" s="23"/>
      <c r="AC3755" s="23"/>
      <c r="AD3755" s="23"/>
      <c r="AE3755" s="23"/>
      <c r="AF3755" s="23">
        <v>6</v>
      </c>
      <c r="AG3755" s="23"/>
      <c r="AH3755" s="23"/>
      <c r="AI3755" s="23"/>
      <c r="AJ3755" s="23"/>
      <c r="AK3755" s="23">
        <v>8</v>
      </c>
      <c r="AL3755" s="23"/>
      <c r="AM3755" s="23">
        <v>3</v>
      </c>
      <c r="AN3755" s="23"/>
      <c r="AO3755" s="23"/>
      <c r="AP3755" s="23">
        <v>13</v>
      </c>
      <c r="AQ3755" s="23"/>
      <c r="AR3755" s="23"/>
      <c r="AS3755" s="23">
        <v>4</v>
      </c>
      <c r="AT3755" s="23"/>
      <c r="AU3755" s="14" t="str">
        <f>HYPERLINK("http://www.openstreetmap.org/?mlat=32.5189&amp;mlon=45.8636&amp;zoom=12#map=12/32.5189/45.8636","Maplink1")</f>
        <v>Maplink1</v>
      </c>
      <c r="AV3755" s="14" t="str">
        <f>HYPERLINK("https://www.google.iq/maps/search/+32.5189,45.8636/@32.5189,45.8636,14z?hl=en","Maplink2")</f>
        <v>Maplink2</v>
      </c>
      <c r="AW3755" s="14" t="str">
        <f>HYPERLINK("http://www.bing.com/maps/?lvl=14&amp;sty=h&amp;cp=32.5189~45.8636&amp;sp=point.32.5189_45.8636_Hay Al Jawadeen Ola","Maplink3")</f>
        <v>Maplink3</v>
      </c>
    </row>
    <row r="3756" spans="1:49" x14ac:dyDescent="0.25">
      <c r="A3756" s="21">
        <v>23968</v>
      </c>
      <c r="B3756" s="22" t="s">
        <v>26</v>
      </c>
      <c r="C3756" s="22" t="s">
        <v>7191</v>
      </c>
      <c r="D3756" s="22" t="s">
        <v>7277</v>
      </c>
      <c r="E3756" s="22" t="s">
        <v>313</v>
      </c>
      <c r="F3756" s="22">
        <v>32.503882613999998</v>
      </c>
      <c r="G3756" s="22">
        <v>45.830068923500001</v>
      </c>
      <c r="H3756" s="21" t="s">
        <v>7028</v>
      </c>
      <c r="I3756" s="21" t="s">
        <v>7194</v>
      </c>
      <c r="J3756" s="21" t="s">
        <v>7278</v>
      </c>
      <c r="K3756" s="24">
        <v>16</v>
      </c>
      <c r="L3756" s="24">
        <v>96</v>
      </c>
      <c r="M3756" s="23"/>
      <c r="N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>
        <v>16</v>
      </c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>
        <v>16</v>
      </c>
      <c r="AK3756" s="23"/>
      <c r="AL3756" s="23"/>
      <c r="AM3756" s="23"/>
      <c r="AN3756" s="23"/>
      <c r="AO3756" s="23"/>
      <c r="AP3756" s="23"/>
      <c r="AQ3756" s="23">
        <v>16</v>
      </c>
      <c r="AR3756" s="23"/>
      <c r="AS3756" s="23"/>
      <c r="AT3756" s="23"/>
      <c r="AU3756" s="14" t="str">
        <f>HYPERLINK("http://www.openstreetmap.org/?mlat=32.5173&amp;mlon=45.8009&amp;zoom=12#map=12/32.5173/45.8009","Maplink1")</f>
        <v>Maplink1</v>
      </c>
      <c r="AV3756" s="14" t="str">
        <f>HYPERLINK("https://www.google.iq/maps/search/+32.5173,45.8009/@32.5173,45.8009,14z?hl=en","Maplink2")</f>
        <v>Maplink2</v>
      </c>
      <c r="AW3756" s="14" t="str">
        <f>HYPERLINK("http://www.bing.com/maps/?lvl=14&amp;sty=h&amp;cp=32.5173~45.8009&amp;sp=point.32.5173_45.8009_Hay Al Wehda","Maplink3")</f>
        <v>Maplink3</v>
      </c>
    </row>
    <row r="3757" spans="1:49" x14ac:dyDescent="0.25">
      <c r="A3757" s="21">
        <v>24825</v>
      </c>
      <c r="B3757" s="22" t="s">
        <v>26</v>
      </c>
      <c r="C3757" s="22" t="s">
        <v>7191</v>
      </c>
      <c r="D3757" s="22" t="s">
        <v>7279</v>
      </c>
      <c r="E3757" s="22" t="s">
        <v>7280</v>
      </c>
      <c r="F3757" s="22">
        <v>32.462015323599999</v>
      </c>
      <c r="G3757" s="22">
        <v>46.074859222199997</v>
      </c>
      <c r="H3757" s="21" t="s">
        <v>7028</v>
      </c>
      <c r="I3757" s="21" t="s">
        <v>7194</v>
      </c>
      <c r="J3757" s="21"/>
      <c r="K3757" s="24">
        <v>15</v>
      </c>
      <c r="L3757" s="24">
        <v>90</v>
      </c>
      <c r="M3757" s="23"/>
      <c r="N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>
        <v>15</v>
      </c>
      <c r="Z3757" s="23"/>
      <c r="AA3757" s="23"/>
      <c r="AB3757" s="23"/>
      <c r="AC3757" s="23"/>
      <c r="AD3757" s="23"/>
      <c r="AE3757" s="23"/>
      <c r="AF3757" s="23"/>
      <c r="AG3757" s="23"/>
      <c r="AH3757" s="23"/>
      <c r="AI3757" s="23"/>
      <c r="AJ3757" s="23">
        <v>4</v>
      </c>
      <c r="AK3757" s="23">
        <v>11</v>
      </c>
      <c r="AL3757" s="23"/>
      <c r="AM3757" s="23"/>
      <c r="AN3757" s="23"/>
      <c r="AO3757" s="23"/>
      <c r="AP3757" s="23">
        <v>15</v>
      </c>
      <c r="AQ3757" s="23"/>
      <c r="AR3757" s="23"/>
      <c r="AS3757" s="23"/>
      <c r="AT3757" s="23"/>
      <c r="AU3757" s="14" t="str">
        <f>HYPERLINK("http://www.openstreetmap.org/?mlat=32.5211&amp;mlon=45.8203&amp;zoom=12#map=12/32.5211/45.8203","Maplink1")</f>
        <v>Maplink1</v>
      </c>
      <c r="AV3757" s="14" t="str">
        <f>HYPERLINK("https://www.google.iq/maps/search/+32.5211,45.8203/@32.5211,45.8203,14z?hl=en","Maplink2")</f>
        <v>Maplink2</v>
      </c>
      <c r="AW3757" s="14" t="str">
        <f>HYPERLINK("http://www.bing.com/maps/?lvl=14&amp;sty=h&amp;cp=32.5211~45.8203&amp;sp=point.32.5211_45.8203_Hay Al Zahraa 1","Maplink3")</f>
        <v>Maplink3</v>
      </c>
    </row>
    <row r="3758" spans="1:49" x14ac:dyDescent="0.25">
      <c r="A3758" s="21">
        <v>25587</v>
      </c>
      <c r="B3758" s="22" t="s">
        <v>26</v>
      </c>
      <c r="C3758" s="22" t="s">
        <v>7191</v>
      </c>
      <c r="D3758" s="22" t="s">
        <v>9247</v>
      </c>
      <c r="E3758" s="22" t="s">
        <v>7221</v>
      </c>
      <c r="F3758" s="22">
        <v>32.499592507899997</v>
      </c>
      <c r="G3758" s="22">
        <v>45.827246710700003</v>
      </c>
      <c r="H3758" s="21" t="s">
        <v>7028</v>
      </c>
      <c r="I3758" s="21" t="s">
        <v>7194</v>
      </c>
      <c r="J3758" s="21"/>
      <c r="K3758" s="24">
        <v>9</v>
      </c>
      <c r="L3758" s="24">
        <v>54</v>
      </c>
      <c r="M3758" s="23"/>
      <c r="N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>
        <v>9</v>
      </c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>
        <v>9</v>
      </c>
      <c r="AL3758" s="23"/>
      <c r="AM3758" s="23"/>
      <c r="AN3758" s="23"/>
      <c r="AO3758" s="23"/>
      <c r="AP3758" s="23">
        <v>9</v>
      </c>
      <c r="AQ3758" s="23"/>
      <c r="AR3758" s="23"/>
      <c r="AS3758" s="23"/>
      <c r="AT3758" s="23"/>
      <c r="AU3758" s="14" t="str">
        <f>HYPERLINK("http://www.openstreetmap.org/?mlat=32.5024&amp;mlon=45.8268&amp;zoom=12#map=12/32.5024/45.8268","Maplink1")</f>
        <v>Maplink1</v>
      </c>
      <c r="AV3758" s="14" t="str">
        <f>HYPERLINK("https://www.google.iq/maps/search/+32.5024,45.8268/@32.5024,45.8268,14z?hl=en","Maplink2")</f>
        <v>Maplink2</v>
      </c>
      <c r="AW3758" s="14" t="str">
        <f>HYPERLINK("http://www.bing.com/maps/?lvl=14&amp;sty=h&amp;cp=32.5024~45.8268&amp;sp=point.32.5024_45.8268_Al-Abassya Neighborhood","Maplink3")</f>
        <v>Maplink3</v>
      </c>
    </row>
    <row r="3759" spans="1:49" x14ac:dyDescent="0.25">
      <c r="A3759" s="21">
        <v>25317</v>
      </c>
      <c r="B3759" s="22" t="s">
        <v>26</v>
      </c>
      <c r="C3759" s="22" t="s">
        <v>7191</v>
      </c>
      <c r="D3759" s="22" t="s">
        <v>9248</v>
      </c>
      <c r="E3759" s="22" t="s">
        <v>7268</v>
      </c>
      <c r="F3759" s="22">
        <v>32.515256268599998</v>
      </c>
      <c r="G3759" s="22">
        <v>45.815465092399997</v>
      </c>
      <c r="H3759" s="21" t="s">
        <v>7028</v>
      </c>
      <c r="I3759" s="21" t="s">
        <v>7194</v>
      </c>
      <c r="J3759" s="21"/>
      <c r="K3759" s="24">
        <v>5</v>
      </c>
      <c r="L3759" s="24">
        <v>30</v>
      </c>
      <c r="M3759" s="23">
        <v>1</v>
      </c>
      <c r="N3759" s="23"/>
      <c r="O3759" s="23"/>
      <c r="P3759" s="23"/>
      <c r="Q3759" s="23"/>
      <c r="R3759" s="23">
        <v>2</v>
      </c>
      <c r="S3759" s="23"/>
      <c r="T3759" s="23"/>
      <c r="U3759" s="23">
        <v>1</v>
      </c>
      <c r="V3759" s="23"/>
      <c r="W3759" s="23"/>
      <c r="X3759" s="23"/>
      <c r="Y3759" s="23">
        <v>1</v>
      </c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>
        <v>5</v>
      </c>
      <c r="AL3759" s="23"/>
      <c r="AM3759" s="23"/>
      <c r="AN3759" s="23"/>
      <c r="AO3759" s="23"/>
      <c r="AP3759" s="23">
        <v>3</v>
      </c>
      <c r="AQ3759" s="23">
        <v>2</v>
      </c>
      <c r="AR3759" s="23"/>
      <c r="AS3759" s="23"/>
      <c r="AT3759" s="23"/>
      <c r="AU3759" s="14" t="str">
        <f>HYPERLINK("http://www.openstreetmap.org/?mlat=32.507&amp;mlon=45.8169&amp;zoom=12#map=12/32.507/45.8169","Maplink1")</f>
        <v>Maplink1</v>
      </c>
      <c r="AV3759" s="14" t="str">
        <f>HYPERLINK("https://www.google.iq/maps/search/+32.507,45.8169/@32.507,45.8169,14z?hl=en","Maplink2")</f>
        <v>Maplink2</v>
      </c>
      <c r="AW3759" s="14" t="str">
        <f>HYPERLINK("http://www.bing.com/maps/?lvl=14&amp;sty=h&amp;cp=32.507~45.8169&amp;sp=point.32.507_45.8169_Hai Al-Emam Ali-2","Maplink3")</f>
        <v>Maplink3</v>
      </c>
    </row>
    <row r="3760" spans="1:49" x14ac:dyDescent="0.25">
      <c r="A3760" s="21">
        <v>20872</v>
      </c>
      <c r="B3760" s="22" t="s">
        <v>26</v>
      </c>
      <c r="C3760" s="22" t="s">
        <v>7191</v>
      </c>
      <c r="D3760" s="22" t="s">
        <v>7281</v>
      </c>
      <c r="E3760" s="22" t="s">
        <v>4949</v>
      </c>
      <c r="F3760" s="22">
        <v>32.538848051599999</v>
      </c>
      <c r="G3760" s="22">
        <v>45.856516517499998</v>
      </c>
      <c r="H3760" s="21" t="s">
        <v>7028</v>
      </c>
      <c r="I3760" s="21" t="s">
        <v>7194</v>
      </c>
      <c r="J3760" s="21" t="s">
        <v>7282</v>
      </c>
      <c r="K3760" s="24">
        <v>58</v>
      </c>
      <c r="L3760" s="24">
        <v>348</v>
      </c>
      <c r="M3760" s="23">
        <v>5</v>
      </c>
      <c r="N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>
        <v>50</v>
      </c>
      <c r="Z3760" s="23"/>
      <c r="AA3760" s="23">
        <v>3</v>
      </c>
      <c r="AB3760" s="23"/>
      <c r="AC3760" s="23"/>
      <c r="AD3760" s="23"/>
      <c r="AE3760" s="23"/>
      <c r="AF3760" s="23"/>
      <c r="AG3760" s="23"/>
      <c r="AH3760" s="23"/>
      <c r="AI3760" s="23"/>
      <c r="AJ3760" s="23">
        <v>14</v>
      </c>
      <c r="AK3760" s="23">
        <v>38</v>
      </c>
      <c r="AL3760" s="23"/>
      <c r="AM3760" s="23">
        <v>6</v>
      </c>
      <c r="AN3760" s="23"/>
      <c r="AO3760" s="23">
        <v>2</v>
      </c>
      <c r="AP3760" s="23">
        <v>3</v>
      </c>
      <c r="AQ3760" s="23">
        <v>50</v>
      </c>
      <c r="AR3760" s="23"/>
      <c r="AS3760" s="23">
        <v>3</v>
      </c>
      <c r="AT3760" s="23"/>
      <c r="AU3760" s="14" t="str">
        <f>HYPERLINK("http://www.openstreetmap.org/?mlat=32.5527&amp;mlon=45.8768&amp;zoom=12#map=12/32.5527/45.8768","Maplink1")</f>
        <v>Maplink1</v>
      </c>
      <c r="AV3760" s="14" t="str">
        <f>HYPERLINK("https://www.google.iq/maps/search/+32.5527,45.8768/@32.5527,45.8768,14z?hl=en","Maplink2")</f>
        <v>Maplink2</v>
      </c>
      <c r="AW3760" s="14" t="str">
        <f>HYPERLINK("http://www.bing.com/maps/?lvl=14&amp;sty=h&amp;cp=32.5527~45.8768&amp;sp=point.32.5527_45.8768_Hay Al-Hakeem","Maplink3")</f>
        <v>Maplink3</v>
      </c>
    </row>
    <row r="3761" spans="1:49" x14ac:dyDescent="0.25">
      <c r="A3761" s="21">
        <v>24261</v>
      </c>
      <c r="B3761" s="22" t="s">
        <v>26</v>
      </c>
      <c r="C3761" s="22" t="s">
        <v>7191</v>
      </c>
      <c r="D3761" s="22" t="s">
        <v>9249</v>
      </c>
      <c r="E3761" s="22" t="s">
        <v>7234</v>
      </c>
      <c r="F3761" s="22">
        <v>32.488254954600002</v>
      </c>
      <c r="G3761" s="22">
        <v>45.850714252300001</v>
      </c>
      <c r="H3761" s="21" t="s">
        <v>7028</v>
      </c>
      <c r="I3761" s="21" t="s">
        <v>7194</v>
      </c>
      <c r="J3761" s="21" t="s">
        <v>7235</v>
      </c>
      <c r="K3761" s="24">
        <v>299</v>
      </c>
      <c r="L3761" s="24">
        <v>1794</v>
      </c>
      <c r="M3761" s="23">
        <v>7</v>
      </c>
      <c r="N3761" s="23"/>
      <c r="O3761" s="23">
        <v>3</v>
      </c>
      <c r="P3761" s="23"/>
      <c r="Q3761" s="23"/>
      <c r="R3761" s="23"/>
      <c r="S3761" s="23"/>
      <c r="T3761" s="23"/>
      <c r="U3761" s="23">
        <v>21</v>
      </c>
      <c r="V3761" s="23"/>
      <c r="W3761" s="23"/>
      <c r="X3761" s="23"/>
      <c r="Y3761" s="23">
        <v>268</v>
      </c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>
        <v>13</v>
      </c>
      <c r="AK3761" s="23">
        <v>256</v>
      </c>
      <c r="AL3761" s="23"/>
      <c r="AM3761" s="23">
        <v>30</v>
      </c>
      <c r="AN3761" s="23"/>
      <c r="AO3761" s="23"/>
      <c r="AP3761" s="23">
        <v>281</v>
      </c>
      <c r="AQ3761" s="23"/>
      <c r="AR3761" s="23">
        <v>13</v>
      </c>
      <c r="AS3761" s="23">
        <v>5</v>
      </c>
      <c r="AT3761" s="23"/>
      <c r="AU3761" s="14" t="str">
        <f>HYPERLINK("http://www.openstreetmap.org/?mlat=32.4861&amp;mlon=45.8519&amp;zoom=12#map=12/32.4861/45.8519","Maplink1")</f>
        <v>Maplink1</v>
      </c>
      <c r="AV3761" s="14" t="str">
        <f>HYPERLINK("https://www.google.iq/maps/search/+32.4861,45.8519/@32.4861,45.8519,14z?hl=en","Maplink2")</f>
        <v>Maplink2</v>
      </c>
      <c r="AW3761" s="14" t="str">
        <f>HYPERLINK("http://www.bing.com/maps/?lvl=14&amp;sty=h&amp;cp=32.4861~45.8519&amp;sp=point.32.4861_45.8519_Al-Hawaraa 3","Maplink3")</f>
        <v>Maplink3</v>
      </c>
    </row>
    <row r="3762" spans="1:49" x14ac:dyDescent="0.25">
      <c r="A3762" s="21">
        <v>24866</v>
      </c>
      <c r="B3762" s="22" t="s">
        <v>26</v>
      </c>
      <c r="C3762" s="22" t="s">
        <v>7191</v>
      </c>
      <c r="D3762" s="22" t="s">
        <v>9250</v>
      </c>
      <c r="E3762" s="22" t="s">
        <v>2702</v>
      </c>
      <c r="F3762" s="22">
        <v>32.534898024599997</v>
      </c>
      <c r="G3762" s="22">
        <v>45.785530889999997</v>
      </c>
      <c r="H3762" s="21" t="s">
        <v>7028</v>
      </c>
      <c r="I3762" s="21" t="s">
        <v>7194</v>
      </c>
      <c r="J3762" s="21"/>
      <c r="K3762" s="24">
        <v>11</v>
      </c>
      <c r="L3762" s="24">
        <v>66</v>
      </c>
      <c r="M3762" s="23"/>
      <c r="N3762" s="23"/>
      <c r="O3762" s="23"/>
      <c r="P3762" s="23"/>
      <c r="Q3762" s="23"/>
      <c r="R3762" s="23"/>
      <c r="S3762" s="23"/>
      <c r="T3762" s="23"/>
      <c r="U3762" s="23">
        <v>2</v>
      </c>
      <c r="V3762" s="23"/>
      <c r="W3762" s="23"/>
      <c r="X3762" s="23"/>
      <c r="Y3762" s="23">
        <v>8</v>
      </c>
      <c r="Z3762" s="23"/>
      <c r="AA3762" s="23">
        <v>1</v>
      </c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>
        <v>11</v>
      </c>
      <c r="AL3762" s="23"/>
      <c r="AM3762" s="23"/>
      <c r="AN3762" s="23"/>
      <c r="AO3762" s="23"/>
      <c r="AP3762" s="23">
        <v>11</v>
      </c>
      <c r="AQ3762" s="23"/>
      <c r="AR3762" s="23"/>
      <c r="AS3762" s="23"/>
      <c r="AT3762" s="23"/>
      <c r="AU3762" s="14" t="str">
        <f>HYPERLINK("http://www.openstreetmap.org/?mlat=32.5317&amp;mlon=45.7845&amp;zoom=12#map=12/32.5317/45.7845","Maplink1")</f>
        <v>Maplink1</v>
      </c>
      <c r="AV3762" s="14" t="str">
        <f>HYPERLINK("https://www.google.iq/maps/search/+32.5317,45.7845/@32.5317,45.7845,14z?hl=en","Maplink2")</f>
        <v>Maplink2</v>
      </c>
      <c r="AW3762" s="14" t="str">
        <f>HYPERLINK("http://www.bing.com/maps/?lvl=14&amp;sty=h&amp;cp=32.5317~45.7845&amp;sp=point.32.5317_45.7845_Al-Kadhraa Village","Maplink3")</f>
        <v>Maplink3</v>
      </c>
    </row>
    <row r="3763" spans="1:49" x14ac:dyDescent="0.25">
      <c r="A3763" s="21">
        <v>24826</v>
      </c>
      <c r="B3763" s="22" t="s">
        <v>26</v>
      </c>
      <c r="C3763" s="22" t="s">
        <v>7191</v>
      </c>
      <c r="D3763" s="22" t="s">
        <v>5973</v>
      </c>
      <c r="E3763" s="22" t="s">
        <v>2781</v>
      </c>
      <c r="F3763" s="22">
        <v>32.525503152500001</v>
      </c>
      <c r="G3763" s="22">
        <v>45.8232657848</v>
      </c>
      <c r="H3763" s="21" t="s">
        <v>7028</v>
      </c>
      <c r="I3763" s="21" t="s">
        <v>7194</v>
      </c>
      <c r="J3763" s="21"/>
      <c r="K3763" s="24">
        <v>37</v>
      </c>
      <c r="L3763" s="24">
        <v>222</v>
      </c>
      <c r="M3763" s="23">
        <v>3</v>
      </c>
      <c r="N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>
        <v>34</v>
      </c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>
        <v>37</v>
      </c>
      <c r="AL3763" s="23"/>
      <c r="AM3763" s="23"/>
      <c r="AN3763" s="23"/>
      <c r="AO3763" s="23"/>
      <c r="AP3763" s="23">
        <v>34</v>
      </c>
      <c r="AQ3763" s="23"/>
      <c r="AR3763" s="23"/>
      <c r="AS3763" s="23">
        <v>3</v>
      </c>
      <c r="AT3763" s="23"/>
      <c r="AU3763" s="14" t="str">
        <f>HYPERLINK("http://www.openstreetmap.org/?mlat=32.5339&amp;mlon=45.8182&amp;zoom=12#map=12/32.5339/45.8182","Maplink1")</f>
        <v>Maplink1</v>
      </c>
      <c r="AV3763" s="14" t="str">
        <f>HYPERLINK("https://www.google.iq/maps/search/+32.5339,45.8182/@32.5339,45.8182,14z?hl=en","Maplink2")</f>
        <v>Maplink2</v>
      </c>
      <c r="AW3763" s="14" t="str">
        <f>HYPERLINK("http://www.bing.com/maps/?lvl=14&amp;sty=h&amp;cp=32.5339~45.8182&amp;sp=point.32.5339_45.8182_Hay Al-Karar","Maplink3")</f>
        <v>Maplink3</v>
      </c>
    </row>
    <row r="3764" spans="1:49" x14ac:dyDescent="0.25">
      <c r="A3764" s="21">
        <v>19170</v>
      </c>
      <c r="B3764" s="22" t="s">
        <v>26</v>
      </c>
      <c r="C3764" s="22" t="s">
        <v>7191</v>
      </c>
      <c r="D3764" s="22" t="s">
        <v>9251</v>
      </c>
      <c r="E3764" s="22" t="s">
        <v>7240</v>
      </c>
      <c r="F3764" s="22">
        <v>32.556538651700002</v>
      </c>
      <c r="G3764" s="22">
        <v>45.689019933300003</v>
      </c>
      <c r="H3764" s="21" t="s">
        <v>7028</v>
      </c>
      <c r="I3764" s="21" t="s">
        <v>7194</v>
      </c>
      <c r="J3764" s="21" t="s">
        <v>7241</v>
      </c>
      <c r="K3764" s="24">
        <v>15</v>
      </c>
      <c r="L3764" s="24">
        <v>90</v>
      </c>
      <c r="M3764" s="23"/>
      <c r="N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>
        <v>15</v>
      </c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>
        <v>15</v>
      </c>
      <c r="AK3764" s="23"/>
      <c r="AL3764" s="23"/>
      <c r="AM3764" s="23"/>
      <c r="AN3764" s="23"/>
      <c r="AO3764" s="23"/>
      <c r="AP3764" s="23">
        <v>15</v>
      </c>
      <c r="AQ3764" s="23"/>
      <c r="AR3764" s="23"/>
      <c r="AS3764" s="23"/>
      <c r="AT3764" s="23"/>
      <c r="AU3764" s="14" t="str">
        <f>HYPERLINK("http://www.openstreetmap.org/?mlat=32.5786&amp;mlon=45.5644&amp;zoom=12#map=12/32.5786/45.5644","Maplink1")</f>
        <v>Maplink1</v>
      </c>
      <c r="AV3764" s="14" t="str">
        <f>HYPERLINK("https://www.google.iq/maps/search/+32.5786,45.5644/@32.5786,45.5644,14z?hl=en","Maplink2")</f>
        <v>Maplink2</v>
      </c>
      <c r="AW3764" s="14" t="str">
        <f>HYPERLINK("http://www.bing.com/maps/?lvl=14&amp;sty=h&amp;cp=32.5786~45.5644&amp;sp=point.32.5786_45.5644_Al-khawarnaq","Maplink3")</f>
        <v>Maplink3</v>
      </c>
    </row>
    <row r="3765" spans="1:49" x14ac:dyDescent="0.25">
      <c r="A3765" s="21">
        <v>19033</v>
      </c>
      <c r="B3765" s="22" t="s">
        <v>26</v>
      </c>
      <c r="C3765" s="22" t="s">
        <v>7191</v>
      </c>
      <c r="D3765" s="22" t="s">
        <v>7283</v>
      </c>
      <c r="E3765" s="22" t="s">
        <v>464</v>
      </c>
      <c r="F3765" s="22">
        <v>32.508786886999999</v>
      </c>
      <c r="G3765" s="22">
        <v>45.813069980800002</v>
      </c>
      <c r="H3765" s="21" t="s">
        <v>7028</v>
      </c>
      <c r="I3765" s="21" t="s">
        <v>7194</v>
      </c>
      <c r="J3765" s="21" t="s">
        <v>7284</v>
      </c>
      <c r="K3765" s="24">
        <v>44</v>
      </c>
      <c r="L3765" s="24">
        <v>264</v>
      </c>
      <c r="M3765" s="23"/>
      <c r="N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>
        <v>44</v>
      </c>
      <c r="Z3765" s="23"/>
      <c r="AA3765" s="23"/>
      <c r="AB3765" s="23"/>
      <c r="AC3765" s="23"/>
      <c r="AD3765" s="23"/>
      <c r="AE3765" s="23"/>
      <c r="AF3765" s="23"/>
      <c r="AG3765" s="23">
        <v>44</v>
      </c>
      <c r="AH3765" s="23"/>
      <c r="AI3765" s="23"/>
      <c r="AJ3765" s="23"/>
      <c r="AK3765" s="23"/>
      <c r="AL3765" s="23"/>
      <c r="AM3765" s="23"/>
      <c r="AN3765" s="23"/>
      <c r="AO3765" s="23"/>
      <c r="AP3765" s="23">
        <v>40</v>
      </c>
      <c r="AQ3765" s="23">
        <v>4</v>
      </c>
      <c r="AR3765" s="23"/>
      <c r="AS3765" s="23"/>
      <c r="AT3765" s="23"/>
      <c r="AU3765" s="14" t="str">
        <f>HYPERLINK("http://www.openstreetmap.org/?mlat=32.3021&amp;mlon=45.4851&amp;zoom=12#map=12/32.3021/45.4851","Maplink1")</f>
        <v>Maplink1</v>
      </c>
      <c r="AV3765" s="14" t="str">
        <f>HYPERLINK("https://www.google.iq/maps/search/+32.3021,45.4851/@32.3021,45.4851,14z?hl=en","Maplink2")</f>
        <v>Maplink2</v>
      </c>
      <c r="AW3765" s="14" t="str">
        <f>HYPERLINK("http://www.bing.com/maps/?lvl=14&amp;sty=h&amp;cp=32.3021~45.4851&amp;sp=point.32.3021_45.4851_Hay al-mualimen","Maplink3")</f>
        <v>Maplink3</v>
      </c>
    </row>
    <row r="3766" spans="1:49" x14ac:dyDescent="0.25">
      <c r="A3766" s="21">
        <v>19531</v>
      </c>
      <c r="B3766" s="22" t="s">
        <v>26</v>
      </c>
      <c r="C3766" s="22" t="s">
        <v>7191</v>
      </c>
      <c r="D3766" s="22" t="s">
        <v>1009</v>
      </c>
      <c r="E3766" s="22" t="s">
        <v>129</v>
      </c>
      <c r="F3766" s="22">
        <v>32.539611584600003</v>
      </c>
      <c r="G3766" s="22">
        <v>45.818682321099999</v>
      </c>
      <c r="H3766" s="21" t="s">
        <v>7028</v>
      </c>
      <c r="I3766" s="21" t="s">
        <v>7194</v>
      </c>
      <c r="J3766" s="21" t="s">
        <v>7285</v>
      </c>
      <c r="K3766" s="24">
        <v>23</v>
      </c>
      <c r="L3766" s="24">
        <v>138</v>
      </c>
      <c r="M3766" s="23">
        <v>3</v>
      </c>
      <c r="N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>
        <v>20</v>
      </c>
      <c r="Z3766" s="23"/>
      <c r="AA3766" s="23"/>
      <c r="AB3766" s="23"/>
      <c r="AC3766" s="23"/>
      <c r="AD3766" s="23"/>
      <c r="AE3766" s="23"/>
      <c r="AF3766" s="23">
        <v>3</v>
      </c>
      <c r="AG3766" s="23"/>
      <c r="AH3766" s="23"/>
      <c r="AI3766" s="23"/>
      <c r="AJ3766" s="23">
        <v>20</v>
      </c>
      <c r="AK3766" s="23"/>
      <c r="AL3766" s="23"/>
      <c r="AM3766" s="23"/>
      <c r="AN3766" s="23"/>
      <c r="AO3766" s="23">
        <v>3</v>
      </c>
      <c r="AP3766" s="23"/>
      <c r="AQ3766" s="23">
        <v>4</v>
      </c>
      <c r="AR3766" s="23">
        <v>16</v>
      </c>
      <c r="AS3766" s="23"/>
      <c r="AT3766" s="23"/>
      <c r="AU3766" s="14" t="str">
        <f>HYPERLINK("http://www.openstreetmap.org/?mlat=32.5&amp;mlon=45.83&amp;zoom=12#map=12/32.5/45.83","Maplink1")</f>
        <v>Maplink1</v>
      </c>
      <c r="AV3766" s="14" t="str">
        <f>HYPERLINK("https://www.google.iq/maps/search/+32.5,45.83/@32.5,45.83,14z?hl=en","Maplink2")</f>
        <v>Maplink2</v>
      </c>
      <c r="AW3766" s="14" t="str">
        <f>HYPERLINK("http://www.bing.com/maps/?lvl=14&amp;sty=h&amp;cp=32.5~45.83&amp;sp=point.32.5_45.83_Hay Al-Shuhadaa","Maplink3")</f>
        <v>Maplink3</v>
      </c>
    </row>
    <row r="3767" spans="1:49" x14ac:dyDescent="0.25">
      <c r="A3767" s="21">
        <v>19070</v>
      </c>
      <c r="B3767" s="22" t="s">
        <v>26</v>
      </c>
      <c r="C3767" s="22" t="s">
        <v>7191</v>
      </c>
      <c r="D3767" s="22" t="s">
        <v>4714</v>
      </c>
      <c r="E3767" s="22" t="s">
        <v>2196</v>
      </c>
      <c r="F3767" s="22">
        <v>32.524920604199998</v>
      </c>
      <c r="G3767" s="22">
        <v>45.817700000499997</v>
      </c>
      <c r="H3767" s="21" t="s">
        <v>7028</v>
      </c>
      <c r="I3767" s="21" t="s">
        <v>7194</v>
      </c>
      <c r="J3767" s="21" t="s">
        <v>7286</v>
      </c>
      <c r="K3767" s="24">
        <v>89</v>
      </c>
      <c r="L3767" s="24">
        <v>534</v>
      </c>
      <c r="M3767" s="23">
        <v>12</v>
      </c>
      <c r="N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>
        <v>75</v>
      </c>
      <c r="Z3767" s="23"/>
      <c r="AA3767" s="23">
        <v>2</v>
      </c>
      <c r="AB3767" s="23"/>
      <c r="AC3767" s="23"/>
      <c r="AD3767" s="23"/>
      <c r="AE3767" s="23"/>
      <c r="AF3767" s="23">
        <v>50</v>
      </c>
      <c r="AG3767" s="23"/>
      <c r="AH3767" s="23"/>
      <c r="AI3767" s="23"/>
      <c r="AJ3767" s="23">
        <v>10</v>
      </c>
      <c r="AK3767" s="23">
        <v>29</v>
      </c>
      <c r="AL3767" s="23"/>
      <c r="AM3767" s="23"/>
      <c r="AN3767" s="23"/>
      <c r="AO3767" s="23">
        <v>12</v>
      </c>
      <c r="AP3767" s="23">
        <v>26</v>
      </c>
      <c r="AQ3767" s="23">
        <v>51</v>
      </c>
      <c r="AR3767" s="23"/>
      <c r="AS3767" s="23"/>
      <c r="AT3767" s="23"/>
      <c r="AU3767" s="14" t="str">
        <f>HYPERLINK("http://www.openstreetmap.org/?mlat=32.5267&amp;mlon=45.8231&amp;zoom=12#map=12/32.5267/45.8231","Maplink1")</f>
        <v>Maplink1</v>
      </c>
      <c r="AV3767" s="14" t="str">
        <f>HYPERLINK("https://www.google.iq/maps/search/+32.5267,45.8231/@32.5267,45.8231,14z?hl=en","Maplink2")</f>
        <v>Maplink2</v>
      </c>
      <c r="AW3767" s="14" t="str">
        <f>HYPERLINK("http://www.bing.com/maps/?lvl=14&amp;sty=h&amp;cp=32.5267~45.8231&amp;sp=point.32.5267_45.8231_Hay al-zahraa","Maplink3")</f>
        <v>Maplink3</v>
      </c>
    </row>
    <row r="3768" spans="1:49" x14ac:dyDescent="0.25">
      <c r="A3768" s="21">
        <v>24824</v>
      </c>
      <c r="B3768" s="22" t="s">
        <v>26</v>
      </c>
      <c r="C3768" s="22" t="s">
        <v>7191</v>
      </c>
      <c r="D3768" s="22" t="s">
        <v>7287</v>
      </c>
      <c r="E3768" s="22" t="s">
        <v>7116</v>
      </c>
      <c r="F3768" s="22">
        <v>32.530082999999998</v>
      </c>
      <c r="G3768" s="22">
        <v>45.812354999999997</v>
      </c>
      <c r="H3768" s="21" t="s">
        <v>7028</v>
      </c>
      <c r="I3768" s="21" t="s">
        <v>7194</v>
      </c>
      <c r="J3768" s="21"/>
      <c r="K3768" s="24">
        <v>40</v>
      </c>
      <c r="L3768" s="24">
        <v>240</v>
      </c>
      <c r="M3768" s="23"/>
      <c r="N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>
        <v>40</v>
      </c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>
        <v>40</v>
      </c>
      <c r="AL3768" s="23"/>
      <c r="AM3768" s="23"/>
      <c r="AN3768" s="23"/>
      <c r="AO3768" s="23"/>
      <c r="AP3768" s="23">
        <v>40</v>
      </c>
      <c r="AQ3768" s="23"/>
      <c r="AR3768" s="23"/>
      <c r="AS3768" s="23"/>
      <c r="AT3768" s="23"/>
      <c r="AU3768" s="14" t="str">
        <f>HYPERLINK("http://www.openstreetmap.org/?mlat=32.5301&amp;mlon=45.8124&amp;zoom=12#map=12/32.5301/45.8124","Maplink1")</f>
        <v>Maplink1</v>
      </c>
      <c r="AV3768" s="14" t="str">
        <f>HYPERLINK("https://www.google.iq/maps/search/+32.5301,45.8124/@32.5301,45.8124,14z?hl=en","Maplink2")</f>
        <v>Maplink2</v>
      </c>
      <c r="AW3768" s="14" t="str">
        <f>HYPERLINK("http://www.bing.com/maps/?lvl=14&amp;sty=h&amp;cp=32.5301~45.8124&amp;sp=point.32.5301_45.8124_Hay Askari-1","Maplink3")</f>
        <v>Maplink3</v>
      </c>
    </row>
    <row r="3769" spans="1:49" x14ac:dyDescent="0.25">
      <c r="A3769" s="21">
        <v>19541</v>
      </c>
      <c r="B3769" s="22" t="s">
        <v>26</v>
      </c>
      <c r="C3769" s="22" t="s">
        <v>7191</v>
      </c>
      <c r="D3769" s="22" t="s">
        <v>9252</v>
      </c>
      <c r="E3769" s="22" t="s">
        <v>7289</v>
      </c>
      <c r="F3769" s="22">
        <v>32.534542535299998</v>
      </c>
      <c r="G3769" s="22">
        <v>45.810696408600002</v>
      </c>
      <c r="H3769" s="21" t="s">
        <v>7028</v>
      </c>
      <c r="I3769" s="21" t="s">
        <v>7194</v>
      </c>
      <c r="J3769" s="21" t="s">
        <v>7290</v>
      </c>
      <c r="K3769" s="24">
        <v>27</v>
      </c>
      <c r="L3769" s="24">
        <v>162</v>
      </c>
      <c r="M3769" s="23">
        <v>21</v>
      </c>
      <c r="N3769" s="23"/>
      <c r="O3769" s="23">
        <v>2</v>
      </c>
      <c r="P3769" s="23"/>
      <c r="Q3769" s="23"/>
      <c r="R3769" s="23">
        <v>1</v>
      </c>
      <c r="S3769" s="23"/>
      <c r="T3769" s="23"/>
      <c r="U3769" s="23">
        <v>1</v>
      </c>
      <c r="V3769" s="23"/>
      <c r="W3769" s="23"/>
      <c r="X3769" s="23"/>
      <c r="Y3769" s="23"/>
      <c r="Z3769" s="23"/>
      <c r="AA3769" s="23">
        <v>2</v>
      </c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>
        <v>27</v>
      </c>
      <c r="AL3769" s="23"/>
      <c r="AM3769" s="23"/>
      <c r="AN3769" s="23"/>
      <c r="AO3769" s="23"/>
      <c r="AP3769" s="23">
        <v>6</v>
      </c>
      <c r="AQ3769" s="23">
        <v>10</v>
      </c>
      <c r="AR3769" s="23">
        <v>10</v>
      </c>
      <c r="AS3769" s="23">
        <v>1</v>
      </c>
      <c r="AT3769" s="23"/>
      <c r="AU3769" s="14" t="str">
        <f>HYPERLINK("http://www.openstreetmap.org/?mlat=32.5289&amp;mlon=45.8067&amp;zoom=12#map=12/32.5289/45.8067","Maplink1")</f>
        <v>Maplink1</v>
      </c>
      <c r="AV3769" s="14" t="str">
        <f>HYPERLINK("https://www.google.iq/maps/search/+32.5289,45.8067/@32.5289,45.8067,14z?hl=en","Maplink2")</f>
        <v>Maplink2</v>
      </c>
      <c r="AW3769" s="14" t="str">
        <f>HYPERLINK("http://www.bing.com/maps/?lvl=14&amp;sty=h&amp;cp=32.5289~45.8067&amp;sp=point.32.5289_45.8067_Khajia –Al Rassol","Maplink3")</f>
        <v>Maplink3</v>
      </c>
    </row>
    <row r="3770" spans="1:49" x14ac:dyDescent="0.25">
      <c r="A3770" s="21">
        <v>24870</v>
      </c>
      <c r="B3770" s="22" t="s">
        <v>26</v>
      </c>
      <c r="C3770" s="22" t="s">
        <v>7191</v>
      </c>
      <c r="D3770" s="22" t="s">
        <v>7291</v>
      </c>
      <c r="E3770" s="22" t="s">
        <v>7292</v>
      </c>
      <c r="F3770" s="22">
        <v>32.547371489900002</v>
      </c>
      <c r="G3770" s="22">
        <v>45.717044575099997</v>
      </c>
      <c r="H3770" s="21" t="s">
        <v>7028</v>
      </c>
      <c r="I3770" s="21" t="s">
        <v>7194</v>
      </c>
      <c r="J3770" s="21"/>
      <c r="K3770" s="24">
        <v>7</v>
      </c>
      <c r="L3770" s="24">
        <v>42</v>
      </c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>
        <v>7</v>
      </c>
      <c r="Z3770" s="23"/>
      <c r="AA3770" s="23"/>
      <c r="AB3770" s="23"/>
      <c r="AC3770" s="23"/>
      <c r="AD3770" s="23"/>
      <c r="AE3770" s="23"/>
      <c r="AF3770" s="23">
        <v>7</v>
      </c>
      <c r="AG3770" s="23"/>
      <c r="AH3770" s="23"/>
      <c r="AI3770" s="23"/>
      <c r="AJ3770" s="23"/>
      <c r="AK3770" s="23"/>
      <c r="AL3770" s="23"/>
      <c r="AM3770" s="23"/>
      <c r="AN3770" s="23"/>
      <c r="AO3770" s="23"/>
      <c r="AP3770" s="23">
        <v>7</v>
      </c>
      <c r="AQ3770" s="23"/>
      <c r="AR3770" s="23"/>
      <c r="AS3770" s="23"/>
      <c r="AT3770" s="23"/>
      <c r="AU3770" s="14" t="str">
        <f>HYPERLINK("http://www.openstreetmap.org/?mlat=32.5804&amp;mlon=46.2607&amp;zoom=12#map=12/32.5804/46.2607","Maplink1")</f>
        <v>Maplink1</v>
      </c>
      <c r="AV3770" s="14" t="str">
        <f>HYPERLINK("https://www.google.iq/maps/search/+32.5804,46.2607/@32.5804,46.2607,14z?hl=en","Maplink2")</f>
        <v>Maplink2</v>
      </c>
      <c r="AW3770" s="14" t="str">
        <f>HYPERLINK("http://www.bing.com/maps/?lvl=14&amp;sty=h&amp;cp=32.5804~46.2607&amp;sp=point.32.5804_46.2607_Said Naji village","Maplink3")</f>
        <v>Maplink3</v>
      </c>
    </row>
    <row r="3771" spans="1:49" x14ac:dyDescent="0.25">
      <c r="A3771" s="21">
        <v>24787</v>
      </c>
      <c r="B3771" s="22" t="s">
        <v>26</v>
      </c>
      <c r="C3771" s="22" t="s">
        <v>7191</v>
      </c>
      <c r="D3771" s="22" t="s">
        <v>7293</v>
      </c>
      <c r="E3771" s="22" t="s">
        <v>7294</v>
      </c>
      <c r="F3771" s="22">
        <v>32.540222182400001</v>
      </c>
      <c r="G3771" s="22">
        <v>45.855512160799996</v>
      </c>
      <c r="H3771" s="21" t="s">
        <v>7028</v>
      </c>
      <c r="I3771" s="21" t="s">
        <v>7194</v>
      </c>
      <c r="J3771" s="21"/>
      <c r="K3771" s="24">
        <v>29</v>
      </c>
      <c r="L3771" s="24">
        <v>174</v>
      </c>
      <c r="M3771" s="23"/>
      <c r="N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>
        <v>29</v>
      </c>
      <c r="Z3771" s="23"/>
      <c r="AA3771" s="23"/>
      <c r="AB3771" s="23"/>
      <c r="AC3771" s="23"/>
      <c r="AD3771" s="23"/>
      <c r="AE3771" s="23"/>
      <c r="AF3771" s="23">
        <v>14</v>
      </c>
      <c r="AG3771" s="23"/>
      <c r="AH3771" s="23"/>
      <c r="AI3771" s="23"/>
      <c r="AJ3771" s="23">
        <v>3</v>
      </c>
      <c r="AK3771" s="23">
        <v>12</v>
      </c>
      <c r="AL3771" s="23"/>
      <c r="AM3771" s="23"/>
      <c r="AN3771" s="23"/>
      <c r="AO3771" s="23"/>
      <c r="AP3771" s="23">
        <v>29</v>
      </c>
      <c r="AQ3771" s="23"/>
      <c r="AR3771" s="23"/>
      <c r="AS3771" s="23"/>
      <c r="AT3771" s="23"/>
      <c r="AU3771" s="14" t="str">
        <f>HYPERLINK("http://www.openstreetmap.org/?mlat=32.5487&amp;mlon=45.8685&amp;zoom=12#map=12/32.5487/45.8685","Maplink1")</f>
        <v>Maplink1</v>
      </c>
      <c r="AV3771" s="14" t="str">
        <f>HYPERLINK("https://www.google.iq/maps/search/+32.5487,45.8685/@32.5487,45.8685,14z?hl=en","Maplink2")</f>
        <v>Maplink2</v>
      </c>
      <c r="AW3771" s="14" t="str">
        <f>HYPERLINK("http://www.bing.com/maps/?lvl=14&amp;sty=h&amp;cp=32.5487~45.8685&amp;sp=point.32.5487_45.8685_Sewada Said Shati","Maplink3")</f>
        <v>Maplink3</v>
      </c>
    </row>
    <row r="3772" spans="1:49" x14ac:dyDescent="0.25">
      <c r="A3772" s="21">
        <v>25107</v>
      </c>
      <c r="B3772" s="22" t="s">
        <v>26</v>
      </c>
      <c r="C3772" s="22" t="s">
        <v>7191</v>
      </c>
      <c r="D3772" s="22" t="s">
        <v>7295</v>
      </c>
      <c r="E3772" s="22" t="s">
        <v>9253</v>
      </c>
      <c r="F3772" s="22">
        <v>32.653085413299998</v>
      </c>
      <c r="G3772" s="22">
        <v>46.077650294500003</v>
      </c>
      <c r="H3772" s="21" t="s">
        <v>7028</v>
      </c>
      <c r="I3772" s="21" t="s">
        <v>7194</v>
      </c>
      <c r="J3772" s="21"/>
      <c r="K3772" s="24">
        <v>12</v>
      </c>
      <c r="L3772" s="24">
        <v>72</v>
      </c>
      <c r="M3772" s="23"/>
      <c r="N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>
        <v>12</v>
      </c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>
        <v>4</v>
      </c>
      <c r="AK3772" s="23">
        <v>8</v>
      </c>
      <c r="AL3772" s="23"/>
      <c r="AM3772" s="23"/>
      <c r="AN3772" s="23"/>
      <c r="AO3772" s="23"/>
      <c r="AP3772" s="23">
        <v>12</v>
      </c>
      <c r="AQ3772" s="23"/>
      <c r="AR3772" s="23"/>
      <c r="AS3772" s="23"/>
      <c r="AT3772" s="23"/>
      <c r="AU3772" s="14" t="str">
        <f>HYPERLINK("http://www.openstreetmap.org/?mlat=32.5978&amp;mlon=45.9544&amp;zoom=12#map=12/32.5978/45.9544","Maplink1")</f>
        <v>Maplink1</v>
      </c>
      <c r="AV3772" s="14" t="str">
        <f>HYPERLINK("https://www.google.iq/maps/search/+32.5978,45.9544/@32.5978,45.9544,14z?hl=en","Maplink2")</f>
        <v>Maplink2</v>
      </c>
      <c r="AW3772" s="14" t="str">
        <f>HYPERLINK("http://www.bing.com/maps/?lvl=14&amp;sty=h&amp;cp=32.5978~45.9544&amp;sp=point.32.5978_45.9544_Sewada-Al-Baydhaa village","Maplink3")</f>
        <v>Maplink3</v>
      </c>
    </row>
    <row r="3773" spans="1:49" x14ac:dyDescent="0.25">
      <c r="A3773" s="21">
        <v>18435</v>
      </c>
      <c r="B3773" s="22" t="s">
        <v>26</v>
      </c>
      <c r="C3773" s="22" t="s">
        <v>7191</v>
      </c>
      <c r="D3773" s="22" t="s">
        <v>9254</v>
      </c>
      <c r="E3773" s="22" t="s">
        <v>7296</v>
      </c>
      <c r="F3773" s="22">
        <v>32.565855902300001</v>
      </c>
      <c r="G3773" s="22">
        <v>46.274682254699997</v>
      </c>
      <c r="H3773" s="21" t="s">
        <v>7028</v>
      </c>
      <c r="I3773" s="21" t="s">
        <v>7194</v>
      </c>
      <c r="J3773" s="21" t="s">
        <v>7297</v>
      </c>
      <c r="K3773" s="24">
        <v>10</v>
      </c>
      <c r="L3773" s="24">
        <v>60</v>
      </c>
      <c r="M3773" s="23"/>
      <c r="N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>
        <v>10</v>
      </c>
      <c r="Z3773" s="23"/>
      <c r="AA3773" s="23"/>
      <c r="AB3773" s="23"/>
      <c r="AC3773" s="23"/>
      <c r="AD3773" s="23"/>
      <c r="AE3773" s="23"/>
      <c r="AF3773" s="23">
        <v>6</v>
      </c>
      <c r="AG3773" s="23"/>
      <c r="AH3773" s="23"/>
      <c r="AI3773" s="23"/>
      <c r="AJ3773" s="23">
        <v>4</v>
      </c>
      <c r="AK3773" s="23"/>
      <c r="AL3773" s="23"/>
      <c r="AM3773" s="23"/>
      <c r="AN3773" s="23"/>
      <c r="AO3773" s="23"/>
      <c r="AP3773" s="23"/>
      <c r="AQ3773" s="23">
        <v>10</v>
      </c>
      <c r="AR3773" s="23"/>
      <c r="AS3773" s="23"/>
      <c r="AT3773" s="23"/>
      <c r="AU3773" s="14" t="str">
        <f>HYPERLINK("http://www.openstreetmap.org/?mlat=32.56&amp;mlon=46.28&amp;zoom=12#map=12/32.56/46.28","Maplink1")</f>
        <v>Maplink1</v>
      </c>
      <c r="AV3773" s="14" t="str">
        <f>HYPERLINK("https://www.google.iq/maps/search/+32.56,46.28/@32.56,46.28,14z?hl=en","Maplink2")</f>
        <v>Maplink2</v>
      </c>
      <c r="AW3773" s="14" t="str">
        <f>HYPERLINK("http://www.bing.com/maps/?lvl=14&amp;sty=h&amp;cp=32.56~46.28&amp;sp=point.32.56_46.28_Shaykh Sad","Maplink3")</f>
        <v>Maplink3</v>
      </c>
    </row>
    <row r="3774" spans="1:49" x14ac:dyDescent="0.25">
      <c r="A3774" s="21">
        <v>19551</v>
      </c>
      <c r="B3774" s="22" t="s">
        <v>26</v>
      </c>
      <c r="C3774" s="22" t="s">
        <v>7191</v>
      </c>
      <c r="D3774" s="22" t="s">
        <v>7298</v>
      </c>
      <c r="E3774" s="22" t="s">
        <v>7299</v>
      </c>
      <c r="F3774" s="22">
        <v>32.448429215600001</v>
      </c>
      <c r="G3774" s="22">
        <v>45.900242181700001</v>
      </c>
      <c r="H3774" s="21" t="s">
        <v>7028</v>
      </c>
      <c r="I3774" s="21" t="s">
        <v>7194</v>
      </c>
      <c r="J3774" s="21" t="s">
        <v>7300</v>
      </c>
      <c r="K3774" s="24">
        <v>35</v>
      </c>
      <c r="L3774" s="24">
        <v>210</v>
      </c>
      <c r="M3774" s="23">
        <v>4</v>
      </c>
      <c r="N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>
        <v>25</v>
      </c>
      <c r="Z3774" s="23"/>
      <c r="AA3774" s="23">
        <v>6</v>
      </c>
      <c r="AB3774" s="23"/>
      <c r="AC3774" s="23"/>
      <c r="AD3774" s="23"/>
      <c r="AE3774" s="23"/>
      <c r="AF3774" s="23"/>
      <c r="AG3774" s="23"/>
      <c r="AH3774" s="23"/>
      <c r="AI3774" s="23"/>
      <c r="AJ3774" s="23">
        <v>12</v>
      </c>
      <c r="AK3774" s="23">
        <v>23</v>
      </c>
      <c r="AL3774" s="23"/>
      <c r="AM3774" s="23"/>
      <c r="AN3774" s="23"/>
      <c r="AO3774" s="23"/>
      <c r="AP3774" s="23">
        <v>25</v>
      </c>
      <c r="AQ3774" s="23">
        <v>6</v>
      </c>
      <c r="AR3774" s="23"/>
      <c r="AS3774" s="23">
        <v>4</v>
      </c>
      <c r="AT3774" s="23"/>
      <c r="AU3774" s="14" t="str">
        <f>HYPERLINK("http://www.openstreetmap.org/?mlat=32.4499&amp;mlon=45.9037&amp;zoom=12#map=12/32.4499/45.9037","Maplink1")</f>
        <v>Maplink1</v>
      </c>
      <c r="AV3774" s="14" t="str">
        <f>HYPERLINK("https://www.google.iq/maps/search/+32.4499,45.9037/@32.4499,45.9037,14z?hl=en","Maplink2")</f>
        <v>Maplink2</v>
      </c>
      <c r="AW3774" s="14" t="str">
        <f>HYPERLINK("http://www.bing.com/maps/?lvl=14&amp;sty=h&amp;cp=32.4499~45.9037&amp;sp=point.32.4499_45.9037_Technical Institute","Maplink3")</f>
        <v>Maplink3</v>
      </c>
    </row>
    <row r="3775" spans="1:49" x14ac:dyDescent="0.25">
      <c r="A3775" s="21">
        <v>20948</v>
      </c>
      <c r="B3775" s="22" t="s">
        <v>26</v>
      </c>
      <c r="C3775" s="22" t="s">
        <v>7191</v>
      </c>
      <c r="D3775" s="22" t="s">
        <v>7301</v>
      </c>
      <c r="E3775" s="22" t="s">
        <v>7302</v>
      </c>
      <c r="F3775" s="22">
        <v>32.531708059800003</v>
      </c>
      <c r="G3775" s="22">
        <v>45.764585891700001</v>
      </c>
      <c r="H3775" s="21" t="s">
        <v>7028</v>
      </c>
      <c r="I3775" s="21" t="s">
        <v>7194</v>
      </c>
      <c r="J3775" s="21" t="s">
        <v>7303</v>
      </c>
      <c r="K3775" s="24">
        <v>20</v>
      </c>
      <c r="L3775" s="24">
        <v>120</v>
      </c>
      <c r="M3775" s="23"/>
      <c r="N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>
        <v>20</v>
      </c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>
        <v>20</v>
      </c>
      <c r="AK3775" s="23"/>
      <c r="AL3775" s="23"/>
      <c r="AM3775" s="23"/>
      <c r="AN3775" s="23"/>
      <c r="AO3775" s="23"/>
      <c r="AP3775" s="23"/>
      <c r="AQ3775" s="23"/>
      <c r="AR3775" s="23">
        <v>20</v>
      </c>
      <c r="AS3775" s="23"/>
      <c r="AT3775" s="23"/>
      <c r="AU3775" s="14" t="str">
        <f>HYPERLINK("http://www.openstreetmap.org/?mlat=32.5322&amp;mlon=45.7628&amp;zoom=12#map=12/32.5322/45.7628","Maplink1")</f>
        <v>Maplink1</v>
      </c>
      <c r="AV3775" s="14" t="str">
        <f>HYPERLINK("https://www.google.iq/maps/search/+32.5322,45.7628/@32.5322,45.7628,14z?hl=en","Maplink2")</f>
        <v>Maplink2</v>
      </c>
      <c r="AW3775" s="14" t="str">
        <f>HYPERLINK("http://www.bing.com/maps/?lvl=14&amp;sty=h&amp;cp=32.5322~45.7628&amp;sp=point.32.5322_45.7628_Um Hulail Village","Maplink3")</f>
        <v>Maplink3</v>
      </c>
    </row>
    <row r="3776" spans="1:49" s="29" customFormat="1" x14ac:dyDescent="0.25"/>
    <row r="3777" s="29" customFormat="1" x14ac:dyDescent="0.25"/>
    <row r="3778" s="29" customFormat="1" x14ac:dyDescent="0.25"/>
    <row r="3779" s="29" customFormat="1" x14ac:dyDescent="0.25"/>
    <row r="3780" s="29" customFormat="1" x14ac:dyDescent="0.25"/>
    <row r="3781" s="29" customFormat="1" x14ac:dyDescent="0.25"/>
    <row r="3782" s="29" customFormat="1" x14ac:dyDescent="0.25"/>
    <row r="3783" s="29" customFormat="1" x14ac:dyDescent="0.25"/>
    <row r="3784" s="29" customFormat="1" x14ac:dyDescent="0.25"/>
    <row r="3785" s="29" customFormat="1" x14ac:dyDescent="0.25"/>
    <row r="3786" s="29" customFormat="1" x14ac:dyDescent="0.25"/>
    <row r="3787" s="29" customFormat="1" x14ac:dyDescent="0.25"/>
    <row r="3788" s="29" customFormat="1" x14ac:dyDescent="0.25"/>
    <row r="3789" s="29" customFormat="1" x14ac:dyDescent="0.25"/>
    <row r="3790" s="29" customFormat="1" x14ac:dyDescent="0.25"/>
    <row r="3791" s="29" customFormat="1" x14ac:dyDescent="0.25"/>
    <row r="3792" s="29" customFormat="1" x14ac:dyDescent="0.25"/>
    <row r="3793" s="29" customFormat="1" x14ac:dyDescent="0.25"/>
    <row r="3794" s="29" customFormat="1" x14ac:dyDescent="0.25"/>
    <row r="3795" s="29" customFormat="1" x14ac:dyDescent="0.25"/>
    <row r="3796" s="29" customFormat="1" x14ac:dyDescent="0.25"/>
    <row r="3797" s="29" customFormat="1" x14ac:dyDescent="0.25"/>
    <row r="3798" s="29" customFormat="1" x14ac:dyDescent="0.25"/>
    <row r="3799" s="29" customFormat="1" x14ac:dyDescent="0.25"/>
    <row r="3800" s="29" customFormat="1" x14ac:dyDescent="0.25"/>
    <row r="3801" s="29" customFormat="1" x14ac:dyDescent="0.25"/>
    <row r="3802" s="29" customFormat="1" x14ac:dyDescent="0.25"/>
    <row r="3803" s="29" customFormat="1" x14ac:dyDescent="0.25"/>
    <row r="3804" s="29" customFormat="1" x14ac:dyDescent="0.25"/>
    <row r="3805" s="29" customFormat="1" x14ac:dyDescent="0.25"/>
    <row r="3806" s="29" customFormat="1" x14ac:dyDescent="0.25"/>
    <row r="3807" s="29" customFormat="1" x14ac:dyDescent="0.25"/>
    <row r="3808" s="29" customFormat="1" x14ac:dyDescent="0.25"/>
    <row r="3809" s="29" customFormat="1" x14ac:dyDescent="0.25"/>
    <row r="3810" s="29" customFormat="1" x14ac:dyDescent="0.25"/>
    <row r="3811" s="29" customFormat="1" x14ac:dyDescent="0.25"/>
    <row r="3812" s="29" customFormat="1" x14ac:dyDescent="0.25"/>
    <row r="3813" s="29" customFormat="1" x14ac:dyDescent="0.25"/>
    <row r="3814" s="29" customFormat="1" x14ac:dyDescent="0.25"/>
    <row r="3815" s="29" customFormat="1" x14ac:dyDescent="0.25"/>
    <row r="3816" s="29" customFormat="1" x14ac:dyDescent="0.25"/>
    <row r="3817" s="29" customFormat="1" x14ac:dyDescent="0.25"/>
    <row r="3818" s="29" customFormat="1" x14ac:dyDescent="0.25"/>
    <row r="3819" s="29" customFormat="1" x14ac:dyDescent="0.25"/>
    <row r="3820" s="29" customFormat="1" x14ac:dyDescent="0.25"/>
    <row r="3821" s="29" customFormat="1" x14ac:dyDescent="0.25"/>
    <row r="3822" s="29" customFormat="1" x14ac:dyDescent="0.25"/>
    <row r="3823" s="29" customFormat="1" x14ac:dyDescent="0.25"/>
    <row r="3824" s="29" customFormat="1" x14ac:dyDescent="0.25"/>
    <row r="3825" s="29" customFormat="1" x14ac:dyDescent="0.25"/>
    <row r="3826" s="29" customFormat="1" x14ac:dyDescent="0.25"/>
    <row r="3827" s="29" customFormat="1" x14ac:dyDescent="0.25"/>
    <row r="3828" s="29" customFormat="1" x14ac:dyDescent="0.25"/>
    <row r="3829" s="29" customFormat="1" x14ac:dyDescent="0.25"/>
    <row r="3830" s="29" customFormat="1" x14ac:dyDescent="0.25"/>
    <row r="3831" s="29" customFormat="1" x14ac:dyDescent="0.25"/>
    <row r="3832" s="29" customFormat="1" x14ac:dyDescent="0.25"/>
    <row r="3833" s="29" customFormat="1" x14ac:dyDescent="0.25"/>
    <row r="3834" s="29" customFormat="1" x14ac:dyDescent="0.25"/>
    <row r="3835" s="29" customFormat="1" x14ac:dyDescent="0.25"/>
    <row r="3836" s="29" customFormat="1" x14ac:dyDescent="0.25"/>
    <row r="3837" s="29" customFormat="1" x14ac:dyDescent="0.25"/>
    <row r="3838" s="29" customFormat="1" x14ac:dyDescent="0.25"/>
    <row r="3839" s="29" customFormat="1" x14ac:dyDescent="0.25"/>
    <row r="3840" s="29" customFormat="1" x14ac:dyDescent="0.25"/>
    <row r="3841" s="29" customFormat="1" x14ac:dyDescent="0.25"/>
    <row r="3842" s="29" customFormat="1" x14ac:dyDescent="0.25"/>
    <row r="3843" s="29" customFormat="1" x14ac:dyDescent="0.25"/>
    <row r="3844" s="29" customFormat="1" x14ac:dyDescent="0.25"/>
    <row r="3845" s="29" customFormat="1" x14ac:dyDescent="0.25"/>
    <row r="3846" s="29" customFormat="1" x14ac:dyDescent="0.25"/>
    <row r="3847" s="29" customFormat="1" x14ac:dyDescent="0.25"/>
    <row r="3848" s="29" customFormat="1" x14ac:dyDescent="0.25"/>
    <row r="3849" s="29" customFormat="1" x14ac:dyDescent="0.25"/>
  </sheetData>
  <autoFilter ref="A4:AW3788"/>
  <sortState ref="A5:AS3546">
    <sortCondition ref="B5:B3546"/>
    <sortCondition ref="C5:C3546"/>
  </sortState>
  <mergeCells count="6">
    <mergeCell ref="A1:E1"/>
    <mergeCell ref="AO3:AT3"/>
    <mergeCell ref="AU3:AW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5"/>
  <sheetViews>
    <sheetView showGridLines="0" workbookViewId="0">
      <selection activeCell="A23" sqref="A23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7" t="s">
        <v>66</v>
      </c>
      <c r="B1" s="48"/>
      <c r="D1" s="55" t="s">
        <v>3</v>
      </c>
      <c r="E1" s="55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DATASET'!C5:C3776,'DTM DATASET'!C5:C3776&amp;""))-1</f>
        <v>106.00000000000131</v>
      </c>
      <c r="D2" s="56" t="s">
        <v>59</v>
      </c>
      <c r="E2" s="57"/>
      <c r="F2" s="31">
        <f>COUNT('DTM DATASET'!AO:AO)</f>
        <v>1157</v>
      </c>
      <c r="G2" s="31">
        <f>SUM('DTM DATASET'!AO:AO)</f>
        <v>73338</v>
      </c>
      <c r="H2" s="31">
        <f>G2*6</f>
        <v>440028</v>
      </c>
      <c r="I2" s="33">
        <f t="shared" ref="I2:I7" si="0">H2/$H$8</f>
        <v>0.13607014835650089</v>
      </c>
    </row>
    <row r="3" spans="1:20" s="26" customFormat="1" x14ac:dyDescent="0.25">
      <c r="A3" s="27" t="s">
        <v>63</v>
      </c>
      <c r="B3" s="7">
        <f>COUNT('DTM DATASET'!A:A)</f>
        <v>3771</v>
      </c>
      <c r="D3" s="49" t="s">
        <v>44</v>
      </c>
      <c r="E3" s="50"/>
      <c r="F3" s="2">
        <f>COUNT('DTM DATASET'!AP:AP)</f>
        <v>2151</v>
      </c>
      <c r="G3" s="2">
        <f>SUM('DTM DATASET'!AP:AP)</f>
        <v>110768</v>
      </c>
      <c r="H3" s="2">
        <f t="shared" ref="H3:H7" si="1">G3*6</f>
        <v>664608</v>
      </c>
      <c r="I3" s="3">
        <f t="shared" si="0"/>
        <v>0.20551716972310249</v>
      </c>
    </row>
    <row r="4" spans="1:20" s="26" customFormat="1" x14ac:dyDescent="0.25">
      <c r="A4" s="27" t="s">
        <v>62</v>
      </c>
      <c r="B4" s="7">
        <f>SUM('DTM DATASET'!K:K)</f>
        <v>538972</v>
      </c>
      <c r="D4" s="49" t="s">
        <v>45</v>
      </c>
      <c r="E4" s="50"/>
      <c r="F4" s="2">
        <f>COUNT('DTM DATASET'!AQ:AQ)</f>
        <v>1680</v>
      </c>
      <c r="G4" s="2">
        <f>SUM('DTM DATASET'!AQ:AQ)</f>
        <v>126396</v>
      </c>
      <c r="H4" s="2">
        <f t="shared" si="1"/>
        <v>758376</v>
      </c>
      <c r="I4" s="3">
        <f t="shared" si="0"/>
        <v>0.23451311014301299</v>
      </c>
    </row>
    <row r="5" spans="1:20" s="26" customFormat="1" x14ac:dyDescent="0.25">
      <c r="A5" s="27" t="s">
        <v>65</v>
      </c>
      <c r="B5" s="7">
        <f>SUM('DTM DATASET'!L:L)</f>
        <v>3233832</v>
      </c>
      <c r="D5" s="49" t="s">
        <v>60</v>
      </c>
      <c r="E5" s="50"/>
      <c r="F5" s="2">
        <f>COUNT('DTM DATASET'!AR:AR)</f>
        <v>1650</v>
      </c>
      <c r="G5" s="2">
        <f>SUM('DTM DATASET'!AR:AR)</f>
        <v>67154</v>
      </c>
      <c r="H5" s="2">
        <f t="shared" si="1"/>
        <v>402924</v>
      </c>
      <c r="I5" s="3">
        <f t="shared" si="0"/>
        <v>0.12459645399018873</v>
      </c>
    </row>
    <row r="6" spans="1:20" s="26" customFormat="1" x14ac:dyDescent="0.25">
      <c r="D6" s="49" t="s">
        <v>61</v>
      </c>
      <c r="E6" s="50"/>
      <c r="F6" s="2">
        <f>COUNT('DTM DATASET'!AS:AS)</f>
        <v>1469</v>
      </c>
      <c r="G6" s="2">
        <f>SUM('DTM DATASET'!AS:AS)</f>
        <v>111030</v>
      </c>
      <c r="H6" s="2">
        <f t="shared" si="1"/>
        <v>666180</v>
      </c>
      <c r="I6" s="3">
        <f t="shared" si="0"/>
        <v>0.20600328031882917</v>
      </c>
    </row>
    <row r="7" spans="1:20" s="29" customFormat="1" ht="15" customHeight="1" x14ac:dyDescent="0.25">
      <c r="D7" s="49" t="s">
        <v>68</v>
      </c>
      <c r="E7" s="50"/>
      <c r="F7" s="2">
        <f>COUNT('DTM DATASET'!AT:AT)</f>
        <v>509</v>
      </c>
      <c r="G7" s="2">
        <f>SUM('DTM DATASET'!AT:AT)</f>
        <v>50286</v>
      </c>
      <c r="H7" s="2">
        <f t="shared" si="1"/>
        <v>301716</v>
      </c>
      <c r="I7" s="3">
        <f t="shared" si="0"/>
        <v>9.3299837468365704E-2</v>
      </c>
    </row>
    <row r="8" spans="1:20" x14ac:dyDescent="0.25">
      <c r="D8" s="51" t="s">
        <v>0</v>
      </c>
      <c r="E8" s="52"/>
      <c r="F8" s="2"/>
      <c r="G8" s="10">
        <f>SUM(G2:G7)</f>
        <v>538972</v>
      </c>
      <c r="H8" s="10">
        <f>SUM(H2:H7)</f>
        <v>3233832</v>
      </c>
      <c r="I8" s="28">
        <f>SUM(I2:I7)</f>
        <v>1</v>
      </c>
    </row>
    <row r="9" spans="1:20" x14ac:dyDescent="0.25">
      <c r="H9" s="8"/>
      <c r="I9" s="8"/>
      <c r="J9" s="8"/>
      <c r="L9" s="8"/>
      <c r="M9" s="8"/>
      <c r="N9" s="8"/>
      <c r="O9" s="9"/>
      <c r="P9" s="8"/>
      <c r="Q9" s="8"/>
      <c r="R9" s="8"/>
      <c r="S9" s="8"/>
      <c r="T9" s="8"/>
    </row>
    <row r="10" spans="1:20" x14ac:dyDescent="0.25">
      <c r="A10" s="37" t="s">
        <v>0</v>
      </c>
      <c r="B10" s="53" t="s">
        <v>41</v>
      </c>
      <c r="C10" s="54"/>
      <c r="D10" s="54"/>
      <c r="E10" s="54"/>
      <c r="F10" s="54"/>
      <c r="G10" s="54"/>
      <c r="H10" s="54"/>
      <c r="I10" s="54"/>
      <c r="J10" s="54"/>
      <c r="K10" s="54"/>
      <c r="L10" s="54"/>
    </row>
    <row r="11" spans="1:20" ht="38.25" x14ac:dyDescent="0.25">
      <c r="A11" s="38" t="s">
        <v>58</v>
      </c>
      <c r="B11" s="32" t="s">
        <v>27</v>
      </c>
      <c r="C11" s="32" t="s">
        <v>29</v>
      </c>
      <c r="D11" s="32" t="s">
        <v>34</v>
      </c>
      <c r="E11" s="32" t="s">
        <v>33</v>
      </c>
      <c r="F11" s="32" t="s">
        <v>35</v>
      </c>
      <c r="G11" s="32" t="s">
        <v>31</v>
      </c>
      <c r="H11" s="32" t="s">
        <v>28</v>
      </c>
      <c r="I11" s="32" t="s">
        <v>30</v>
      </c>
      <c r="J11" s="32" t="s">
        <v>32</v>
      </c>
      <c r="K11" s="32" t="s">
        <v>36</v>
      </c>
      <c r="L11" s="32" t="s">
        <v>42</v>
      </c>
    </row>
    <row r="12" spans="1:20" x14ac:dyDescent="0.25">
      <c r="A12" s="30" t="s">
        <v>9</v>
      </c>
      <c r="B12" s="31">
        <f>SUMIF('DTM DATASET'!B:B,A12,'DTM DATASET'!AE:AE)</f>
        <v>19372</v>
      </c>
      <c r="C12" s="31">
        <f>SUMIF('DTM DATASET'!B:B,A12,'DTM DATASET'!AF:AF)</f>
        <v>45619</v>
      </c>
      <c r="D12" s="31">
        <f>SUMIF('DTM DATASET'!B:B,A12,'DTM DATASET'!AG:AG)</f>
        <v>0</v>
      </c>
      <c r="E12" s="31">
        <f>SUMIF('DTM DATASET'!B:B,A12,'DTM DATASET'!AH:AH)</f>
        <v>8417</v>
      </c>
      <c r="F12" s="31">
        <f>SUMIF('DTM DATASET'!B:B,A12,'DTM DATASET'!AI:AI)</f>
        <v>0</v>
      </c>
      <c r="G12" s="31">
        <f>SUMIF('DTM DATASET'!B:B,A12,'DTM DATASET'!AJ:AJ)</f>
        <v>172</v>
      </c>
      <c r="H12" s="31">
        <f>SUMIF('DTM DATASET'!B:B,A12,'DTM DATASET'!AK:AK)</f>
        <v>7681</v>
      </c>
      <c r="I12" s="31">
        <f>SUMIF('DTM DATASET'!B:B,A12,'DTM DATASET'!AL:AL)</f>
        <v>2883</v>
      </c>
      <c r="J12" s="31">
        <f>SUMIF('DTM DATASET'!B:B,A12,'DTM DATASET'!AM:AM)</f>
        <v>5665</v>
      </c>
      <c r="K12" s="31">
        <f>SUMIF('DTM DATASET'!B:B,A12,'DTM DATASET'!AN:AN)</f>
        <v>0</v>
      </c>
      <c r="L12" s="31">
        <f>SUM(B12:K12)</f>
        <v>89809</v>
      </c>
    </row>
    <row r="13" spans="1:20" x14ac:dyDescent="0.25">
      <c r="A13" s="1" t="s">
        <v>10</v>
      </c>
      <c r="B13" s="2">
        <f>SUMIF('DTM DATASET'!B:B,A13,'DTM DATASET'!AE:AE)</f>
        <v>0</v>
      </c>
      <c r="C13" s="2">
        <f>SUMIF('DTM DATASET'!B:B,A13,'DTM DATASET'!AF:AF)</f>
        <v>1099</v>
      </c>
      <c r="D13" s="2">
        <f>SUMIF('DTM DATASET'!B:B,A13,'DTM DATASET'!AG:AG)</f>
        <v>88</v>
      </c>
      <c r="E13" s="2">
        <f>SUMIF('DTM DATASET'!B:B,A13,'DTM DATASET'!AH:AH)</f>
        <v>383</v>
      </c>
      <c r="F13" s="2">
        <f>SUMIF('DTM DATASET'!B:B,A13,'DTM DATASET'!AI:AI)</f>
        <v>0</v>
      </c>
      <c r="G13" s="2">
        <f>SUMIF('DTM DATASET'!B:B,A13,'DTM DATASET'!AJ:AJ)</f>
        <v>666</v>
      </c>
      <c r="H13" s="2">
        <f>SUMIF('DTM DATASET'!B:B,A13,'DTM DATASET'!AK:AK)</f>
        <v>5846</v>
      </c>
      <c r="I13" s="2">
        <f>SUMIF('DTM DATASET'!B:B,A13,'DTM DATASET'!AL:AL)</f>
        <v>14</v>
      </c>
      <c r="J13" s="2">
        <f>SUMIF('DTM DATASET'!B:B,A13,'DTM DATASET'!AM:AM)</f>
        <v>263</v>
      </c>
      <c r="K13" s="2">
        <f>SUMIF('DTM DATASET'!B:B,A13,'DTM DATASET'!AN:AN)</f>
        <v>0</v>
      </c>
      <c r="L13" s="2">
        <f t="shared" ref="L13:L29" si="2">SUM(B13:K13)</f>
        <v>8359</v>
      </c>
    </row>
    <row r="14" spans="1:20" x14ac:dyDescent="0.25">
      <c r="A14" s="1" t="s">
        <v>11</v>
      </c>
      <c r="B14" s="2">
        <f>SUMIF('DTM DATASET'!B:B,A14,'DTM DATASET'!AE:AE)</f>
        <v>2402</v>
      </c>
      <c r="C14" s="2">
        <f>SUMIF('DTM DATASET'!B:B,A14,'DTM DATASET'!AF:AF)</f>
        <v>27297</v>
      </c>
      <c r="D14" s="2">
        <f>SUMIF('DTM DATASET'!B:B,A14,'DTM DATASET'!AG:AG)</f>
        <v>105</v>
      </c>
      <c r="E14" s="2">
        <f>SUMIF('DTM DATASET'!B:B,A14,'DTM DATASET'!AH:AH)</f>
        <v>1878</v>
      </c>
      <c r="F14" s="2">
        <f>SUMIF('DTM DATASET'!B:B,A14,'DTM DATASET'!AI:AI)</f>
        <v>31</v>
      </c>
      <c r="G14" s="2">
        <f>SUMIF('DTM DATASET'!B:B,A14,'DTM DATASET'!AJ:AJ)</f>
        <v>419</v>
      </c>
      <c r="H14" s="2">
        <f>SUMIF('DTM DATASET'!B:B,A14,'DTM DATASET'!AK:AK)</f>
        <v>41303</v>
      </c>
      <c r="I14" s="2">
        <f>SUMIF('DTM DATASET'!B:B,A14,'DTM DATASET'!AL:AL)</f>
        <v>471</v>
      </c>
      <c r="J14" s="2">
        <f>SUMIF('DTM DATASET'!B:B,A14,'DTM DATASET'!AM:AM)</f>
        <v>1455</v>
      </c>
      <c r="K14" s="2">
        <f>SUMIF('DTM DATASET'!B:B,A14,'DTM DATASET'!AN:AN)</f>
        <v>7</v>
      </c>
      <c r="L14" s="2">
        <f t="shared" si="2"/>
        <v>75368</v>
      </c>
    </row>
    <row r="15" spans="1:20" x14ac:dyDescent="0.25">
      <c r="A15" s="1" t="s">
        <v>12</v>
      </c>
      <c r="B15" s="2">
        <f>SUMIF('DTM DATASET'!B:B,A15,'DTM DATASET'!AE:AE)</f>
        <v>37</v>
      </c>
      <c r="C15" s="2">
        <f>SUMIF('DTM DATASET'!B:B,A15,'DTM DATASET'!AF:AF)</f>
        <v>392</v>
      </c>
      <c r="D15" s="2">
        <f>SUMIF('DTM DATASET'!B:B,A15,'DTM DATASET'!AG:AG)</f>
        <v>91</v>
      </c>
      <c r="E15" s="2">
        <f>SUMIF('DTM DATASET'!B:B,A15,'DTM DATASET'!AH:AH)</f>
        <v>141</v>
      </c>
      <c r="F15" s="2">
        <f>SUMIF('DTM DATASET'!B:B,A15,'DTM DATASET'!AI:AI)</f>
        <v>0</v>
      </c>
      <c r="G15" s="2">
        <f>SUMIF('DTM DATASET'!B:B,A15,'DTM DATASET'!AJ:AJ)</f>
        <v>23</v>
      </c>
      <c r="H15" s="2">
        <f>SUMIF('DTM DATASET'!B:B,A15,'DTM DATASET'!AK:AK)</f>
        <v>1036</v>
      </c>
      <c r="I15" s="2">
        <f>SUMIF('DTM DATASET'!B:B,A15,'DTM DATASET'!AL:AL)</f>
        <v>0</v>
      </c>
      <c r="J15" s="2">
        <f>SUMIF('DTM DATASET'!B:B,A15,'DTM DATASET'!AM:AM)</f>
        <v>0</v>
      </c>
      <c r="K15" s="2">
        <f>SUMIF('DTM DATASET'!B:B,A15,'DTM DATASET'!AN:AN)</f>
        <v>0</v>
      </c>
      <c r="L15" s="2">
        <f t="shared" si="2"/>
        <v>1720</v>
      </c>
    </row>
    <row r="16" spans="1:20" x14ac:dyDescent="0.25">
      <c r="A16" s="1" t="s">
        <v>13</v>
      </c>
      <c r="B16" s="2">
        <f>SUMIF('DTM DATASET'!B:B,A16,'DTM DATASET'!AE:AE)</f>
        <v>25272</v>
      </c>
      <c r="C16" s="2">
        <f>SUMIF('DTM DATASET'!B:B,A16,'DTM DATASET'!AF:AF)</f>
        <v>4075</v>
      </c>
      <c r="D16" s="2">
        <f>SUMIF('DTM DATASET'!B:B,A16,'DTM DATASET'!AG:AG)</f>
        <v>625</v>
      </c>
      <c r="E16" s="2">
        <f>SUMIF('DTM DATASET'!B:B,A16,'DTM DATASET'!AH:AH)</f>
        <v>2631</v>
      </c>
      <c r="F16" s="2">
        <f>SUMIF('DTM DATASET'!B:B,A16,'DTM DATASET'!AI:AI)</f>
        <v>0</v>
      </c>
      <c r="G16" s="2">
        <f>SUMIF('DTM DATASET'!B:B,A16,'DTM DATASET'!AJ:AJ)</f>
        <v>143</v>
      </c>
      <c r="H16" s="2">
        <f>SUMIF('DTM DATASET'!B:B,A16,'DTM DATASET'!AK:AK)</f>
        <v>22226</v>
      </c>
      <c r="I16" s="2">
        <f>SUMIF('DTM DATASET'!B:B,A16,'DTM DATASET'!AL:AL)</f>
        <v>6</v>
      </c>
      <c r="J16" s="2">
        <f>SUMIF('DTM DATASET'!B:B,A16,'DTM DATASET'!AM:AM)</f>
        <v>11199</v>
      </c>
      <c r="K16" s="2">
        <f>SUMIF('DTM DATASET'!B:B,A16,'DTM DATASET'!AN:AN)</f>
        <v>0</v>
      </c>
      <c r="L16" s="2">
        <f t="shared" si="2"/>
        <v>66177</v>
      </c>
    </row>
    <row r="17" spans="1:20" x14ac:dyDescent="0.25">
      <c r="A17" s="1" t="s">
        <v>14</v>
      </c>
      <c r="B17" s="2">
        <f>SUMIF('DTM DATASET'!B:B,A17,'DTM DATASET'!AE:AE)</f>
        <v>1820</v>
      </c>
      <c r="C17" s="2">
        <f>SUMIF('DTM DATASET'!B:B,A17,'DTM DATASET'!AF:AF)</f>
        <v>3954</v>
      </c>
      <c r="D17" s="2">
        <f>SUMIF('DTM DATASET'!B:B,A17,'DTM DATASET'!AG:AG)</f>
        <v>0</v>
      </c>
      <c r="E17" s="2">
        <f>SUMIF('DTM DATASET'!B:B,A17,'DTM DATASET'!AH:AH)</f>
        <v>0</v>
      </c>
      <c r="F17" s="2">
        <f>SUMIF('DTM DATASET'!B:B,A17,'DTM DATASET'!AI:AI)</f>
        <v>0</v>
      </c>
      <c r="G17" s="2">
        <f>SUMIF('DTM DATASET'!B:B,A17,'DTM DATASET'!AJ:AJ)</f>
        <v>0</v>
      </c>
      <c r="H17" s="2">
        <f>SUMIF('DTM DATASET'!B:B,A17,'DTM DATASET'!AK:AK)</f>
        <v>6253</v>
      </c>
      <c r="I17" s="2">
        <f>SUMIF('DTM DATASET'!B:B,A17,'DTM DATASET'!AL:AL)</f>
        <v>25</v>
      </c>
      <c r="J17" s="2">
        <f>SUMIF('DTM DATASET'!B:B,A17,'DTM DATASET'!AM:AM)</f>
        <v>1794</v>
      </c>
      <c r="K17" s="2">
        <f>SUMIF('DTM DATASET'!B:B,A17,'DTM DATASET'!AN:AN)</f>
        <v>120</v>
      </c>
      <c r="L17" s="2">
        <f t="shared" si="2"/>
        <v>13966</v>
      </c>
    </row>
    <row r="18" spans="1:20" x14ac:dyDescent="0.25">
      <c r="A18" s="1" t="s">
        <v>15</v>
      </c>
      <c r="B18" s="2">
        <f>SUMIF('DTM DATASET'!B:B,A18,'DTM DATASET'!AE:AE)</f>
        <v>8135</v>
      </c>
      <c r="C18" s="2">
        <f>SUMIF('DTM DATASET'!B:B,A18,'DTM DATASET'!AF:AF)</f>
        <v>0</v>
      </c>
      <c r="D18" s="2">
        <f>SUMIF('DTM DATASET'!B:B,A18,'DTM DATASET'!AG:AG)</f>
        <v>498</v>
      </c>
      <c r="E18" s="2">
        <f>SUMIF('DTM DATASET'!B:B,A18,'DTM DATASET'!AH:AH)</f>
        <v>561</v>
      </c>
      <c r="F18" s="2">
        <f>SUMIF('DTM DATASET'!B:B,A18,'DTM DATASET'!AI:AI)</f>
        <v>25</v>
      </c>
      <c r="G18" s="2">
        <f>SUMIF('DTM DATASET'!B:B,A18,'DTM DATASET'!AJ:AJ)</f>
        <v>253</v>
      </c>
      <c r="H18" s="2">
        <f>SUMIF('DTM DATASET'!B:B,A18,'DTM DATASET'!AK:AK)</f>
        <v>53680</v>
      </c>
      <c r="I18" s="2">
        <f>SUMIF('DTM DATASET'!B:B,A18,'DTM DATASET'!AL:AL)</f>
        <v>55</v>
      </c>
      <c r="J18" s="2">
        <f>SUMIF('DTM DATASET'!B:B,A18,'DTM DATASET'!AM:AM)</f>
        <v>217</v>
      </c>
      <c r="K18" s="2">
        <f>SUMIF('DTM DATASET'!B:B,A18,'DTM DATASET'!AN:AN)</f>
        <v>0</v>
      </c>
      <c r="L18" s="2">
        <f t="shared" si="2"/>
        <v>63424</v>
      </c>
    </row>
    <row r="19" spans="1:20" x14ac:dyDescent="0.25">
      <c r="A19" s="1" t="s">
        <v>16</v>
      </c>
      <c r="B19" s="2">
        <f>SUMIF('DTM DATASET'!B:B,A19,'DTM DATASET'!AE:AE)</f>
        <v>1300</v>
      </c>
      <c r="C19" s="2">
        <f>SUMIF('DTM DATASET'!B:B,A19,'DTM DATASET'!AF:AF)</f>
        <v>296</v>
      </c>
      <c r="D19" s="2">
        <f>SUMIF('DTM DATASET'!B:B,A19,'DTM DATASET'!AG:AG)</f>
        <v>14</v>
      </c>
      <c r="E19" s="2">
        <f>SUMIF('DTM DATASET'!B:B,A19,'DTM DATASET'!AH:AH)</f>
        <v>46</v>
      </c>
      <c r="F19" s="2">
        <f>SUMIF('DTM DATASET'!B:B,A19,'DTM DATASET'!AI:AI)</f>
        <v>0</v>
      </c>
      <c r="G19" s="2">
        <f>SUMIF('DTM DATASET'!B:B,A19,'DTM DATASET'!AJ:AJ)</f>
        <v>4601</v>
      </c>
      <c r="H19" s="2">
        <f>SUMIF('DTM DATASET'!B:B,A19,'DTM DATASET'!AK:AK)</f>
        <v>4813</v>
      </c>
      <c r="I19" s="2">
        <f>SUMIF('DTM DATASET'!B:B,A19,'DTM DATASET'!AL:AL)</f>
        <v>6</v>
      </c>
      <c r="J19" s="2">
        <f>SUMIF('DTM DATASET'!B:B,A19,'DTM DATASET'!AM:AM)</f>
        <v>40</v>
      </c>
      <c r="K19" s="2">
        <f>SUMIF('DTM DATASET'!B:B,A19,'DTM DATASET'!AN:AN)</f>
        <v>0</v>
      </c>
      <c r="L19" s="2">
        <f t="shared" si="2"/>
        <v>11116</v>
      </c>
    </row>
    <row r="20" spans="1:20" x14ac:dyDescent="0.25">
      <c r="A20" s="1" t="s">
        <v>17</v>
      </c>
      <c r="B20" s="2">
        <f>SUMIF('DTM DATASET'!B:B,A20,'DTM DATASET'!AE:AE)</f>
        <v>4802</v>
      </c>
      <c r="C20" s="2">
        <f>SUMIF('DTM DATASET'!B:B,A20,'DTM DATASET'!AF:AF)</f>
        <v>5182</v>
      </c>
      <c r="D20" s="2">
        <f>SUMIF('DTM DATASET'!B:B,A20,'DTM DATASET'!AG:AG)</f>
        <v>0</v>
      </c>
      <c r="E20" s="2">
        <f>SUMIF('DTM DATASET'!B:B,A20,'DTM DATASET'!AH:AH)</f>
        <v>1437</v>
      </c>
      <c r="F20" s="2">
        <f>SUMIF('DTM DATASET'!B:B,A20,'DTM DATASET'!AI:AI)</f>
        <v>0</v>
      </c>
      <c r="G20" s="2">
        <f>SUMIF('DTM DATASET'!B:B,A20,'DTM DATASET'!AJ:AJ)</f>
        <v>5</v>
      </c>
      <c r="H20" s="2">
        <f>SUMIF('DTM DATASET'!B:B,A20,'DTM DATASET'!AK:AK)</f>
        <v>38378</v>
      </c>
      <c r="I20" s="2">
        <f>SUMIF('DTM DATASET'!B:B,A20,'DTM DATASET'!AL:AL)</f>
        <v>14</v>
      </c>
      <c r="J20" s="2">
        <f>SUMIF('DTM DATASET'!B:B,A20,'DTM DATASET'!AM:AM)</f>
        <v>3856</v>
      </c>
      <c r="K20" s="2">
        <f>SUMIF('DTM DATASET'!B:B,A20,'DTM DATASET'!AN:AN)</f>
        <v>8640</v>
      </c>
      <c r="L20" s="2">
        <f t="shared" si="2"/>
        <v>62314</v>
      </c>
    </row>
    <row r="21" spans="1:20" x14ac:dyDescent="0.25">
      <c r="A21" s="1" t="s">
        <v>18</v>
      </c>
      <c r="B21" s="2">
        <f>SUMIF('DTM DATASET'!B:B,A21,'DTM DATASET'!AE:AE)</f>
        <v>104</v>
      </c>
      <c r="C21" s="2">
        <f>SUMIF('DTM DATASET'!B:B,A21,'DTM DATASET'!AF:AF)</f>
        <v>348</v>
      </c>
      <c r="D21" s="2">
        <f>SUMIF('DTM DATASET'!B:B,A21,'DTM DATASET'!AG:AG)</f>
        <v>0</v>
      </c>
      <c r="E21" s="2">
        <f>SUMIF('DTM DATASET'!B:B,A21,'DTM DATASET'!AH:AH)</f>
        <v>38</v>
      </c>
      <c r="F21" s="2">
        <f>SUMIF('DTM DATASET'!B:B,A21,'DTM DATASET'!AI:AI)</f>
        <v>4</v>
      </c>
      <c r="G21" s="2">
        <f>SUMIF('DTM DATASET'!B:B,A21,'DTM DATASET'!AJ:AJ)</f>
        <v>6</v>
      </c>
      <c r="H21" s="2">
        <f>SUMIF('DTM DATASET'!B:B,A21,'DTM DATASET'!AK:AK)</f>
        <v>407</v>
      </c>
      <c r="I21" s="2">
        <f>SUMIF('DTM DATASET'!B:B,A21,'DTM DATASET'!AL:AL)</f>
        <v>47</v>
      </c>
      <c r="J21" s="2">
        <f>SUMIF('DTM DATASET'!B:B,A21,'DTM DATASET'!AM:AM)</f>
        <v>12</v>
      </c>
      <c r="K21" s="2">
        <f>SUMIF('DTM DATASET'!B:B,A21,'DTM DATASET'!AN:AN)</f>
        <v>0</v>
      </c>
      <c r="L21" s="2">
        <f t="shared" si="2"/>
        <v>966</v>
      </c>
    </row>
    <row r="22" spans="1:20" x14ac:dyDescent="0.25">
      <c r="A22" s="1" t="s">
        <v>19</v>
      </c>
      <c r="B22" s="2">
        <f>SUMIF('DTM DATASET'!B:B,A22,'DTM DATASET'!AE:AE)</f>
        <v>0</v>
      </c>
      <c r="C22" s="2">
        <f>SUMIF('DTM DATASET'!B:B,A22,'DTM DATASET'!AF:AF)</f>
        <v>246</v>
      </c>
      <c r="D22" s="2">
        <f>SUMIF('DTM DATASET'!B:B,A22,'DTM DATASET'!AG:AG)</f>
        <v>0</v>
      </c>
      <c r="E22" s="2">
        <f>SUMIF('DTM DATASET'!B:B,A22,'DTM DATASET'!AH:AH)</f>
        <v>0</v>
      </c>
      <c r="F22" s="2">
        <f>SUMIF('DTM DATASET'!B:B,A22,'DTM DATASET'!AI:AI)</f>
        <v>21</v>
      </c>
      <c r="G22" s="2">
        <f>SUMIF('DTM DATASET'!B:B,A22,'DTM DATASET'!AJ:AJ)</f>
        <v>30</v>
      </c>
      <c r="H22" s="2">
        <f>SUMIF('DTM DATASET'!B:B,A22,'DTM DATASET'!AK:AK)</f>
        <v>484</v>
      </c>
      <c r="I22" s="2">
        <f>SUMIF('DTM DATASET'!B:B,A22,'DTM DATASET'!AL:AL)</f>
        <v>10</v>
      </c>
      <c r="J22" s="2">
        <f>SUMIF('DTM DATASET'!B:B,A22,'DTM DATASET'!AM:AM)</f>
        <v>96</v>
      </c>
      <c r="K22" s="2">
        <f>SUMIF('DTM DATASET'!B:B,A22,'DTM DATASET'!AN:AN)</f>
        <v>0</v>
      </c>
      <c r="L22" s="2">
        <f t="shared" si="2"/>
        <v>887</v>
      </c>
    </row>
    <row r="23" spans="1:20" x14ac:dyDescent="0.25">
      <c r="A23" s="1" t="s">
        <v>20</v>
      </c>
      <c r="B23" s="2">
        <f>SUMIF('DTM DATASET'!B:B,A23,'DTM DATASET'!AE:AE)</f>
        <v>310</v>
      </c>
      <c r="C23" s="2">
        <f>SUMIF('DTM DATASET'!B:B,A23,'DTM DATASET'!AF:AF)</f>
        <v>126</v>
      </c>
      <c r="D23" s="2">
        <f>SUMIF('DTM DATASET'!B:B,A23,'DTM DATASET'!AG:AG)</f>
        <v>0</v>
      </c>
      <c r="E23" s="2">
        <f>SUMIF('DTM DATASET'!B:B,A23,'DTM DATASET'!AH:AH)</f>
        <v>7</v>
      </c>
      <c r="F23" s="2">
        <f>SUMIF('DTM DATASET'!B:B,A23,'DTM DATASET'!AI:AI)</f>
        <v>5</v>
      </c>
      <c r="G23" s="2">
        <f>SUMIF('DTM DATASET'!B:B,A23,'DTM DATASET'!AJ:AJ)</f>
        <v>8529</v>
      </c>
      <c r="H23" s="2">
        <f>SUMIF('DTM DATASET'!B:B,A23,'DTM DATASET'!AK:AK)</f>
        <v>4124</v>
      </c>
      <c r="I23" s="2">
        <f>SUMIF('DTM DATASET'!B:B,A23,'DTM DATASET'!AL:AL)</f>
        <v>7</v>
      </c>
      <c r="J23" s="2">
        <f>SUMIF('DTM DATASET'!B:B,A23,'DTM DATASET'!AM:AM)</f>
        <v>7</v>
      </c>
      <c r="K23" s="2">
        <f>SUMIF('DTM DATASET'!B:B,A23,'DTM DATASET'!AN:AN)</f>
        <v>0</v>
      </c>
      <c r="L23" s="2">
        <f t="shared" si="2"/>
        <v>13115</v>
      </c>
    </row>
    <row r="24" spans="1:20" x14ac:dyDescent="0.25">
      <c r="A24" s="1" t="s">
        <v>21</v>
      </c>
      <c r="B24" s="2">
        <f>SUMIF('DTM DATASET'!B:B,A24,'DTM DATASET'!AE:AE)</f>
        <v>10162</v>
      </c>
      <c r="C24" s="2">
        <f>SUMIF('DTM DATASET'!B:B,A24,'DTM DATASET'!AF:AF)</f>
        <v>12212</v>
      </c>
      <c r="D24" s="2">
        <f>SUMIF('DTM DATASET'!B:B,A24,'DTM DATASET'!AG:AG)</f>
        <v>73</v>
      </c>
      <c r="E24" s="2">
        <f>SUMIF('DTM DATASET'!B:B,A24,'DTM DATASET'!AH:AH)</f>
        <v>1061</v>
      </c>
      <c r="F24" s="2">
        <f>SUMIF('DTM DATASET'!B:B,A24,'DTM DATASET'!AI:AI)</f>
        <v>119</v>
      </c>
      <c r="G24" s="2">
        <f>SUMIF('DTM DATASET'!B:B,A24,'DTM DATASET'!AJ:AJ)</f>
        <v>243</v>
      </c>
      <c r="H24" s="2">
        <f>SUMIF('DTM DATASET'!B:B,A24,'DTM DATASET'!AK:AK)</f>
        <v>13626</v>
      </c>
      <c r="I24" s="2">
        <f>SUMIF('DTM DATASET'!B:B,A24,'DTM DATASET'!AL:AL)</f>
        <v>628</v>
      </c>
      <c r="J24" s="2">
        <f>SUMIF('DTM DATASET'!B:B,A24,'DTM DATASET'!AM:AM)</f>
        <v>8272</v>
      </c>
      <c r="K24" s="2">
        <f>SUMIF('DTM DATASET'!B:B,A24,'DTM DATASET'!AN:AN)</f>
        <v>3384</v>
      </c>
      <c r="L24" s="2">
        <f t="shared" si="2"/>
        <v>49780</v>
      </c>
    </row>
    <row r="25" spans="1:20" x14ac:dyDescent="0.25">
      <c r="A25" s="1" t="s">
        <v>22</v>
      </c>
      <c r="B25" s="2">
        <f>SUMIF('DTM DATASET'!B:B,A25,'DTM DATASET'!AE:AE)</f>
        <v>0</v>
      </c>
      <c r="C25" s="2">
        <f>SUMIF('DTM DATASET'!B:B,A25,'DTM DATASET'!AF:AF)</f>
        <v>848</v>
      </c>
      <c r="D25" s="2">
        <f>SUMIF('DTM DATASET'!B:B,A25,'DTM DATASET'!AG:AG)</f>
        <v>0</v>
      </c>
      <c r="E25" s="2">
        <f>SUMIF('DTM DATASET'!B:B,A25,'DTM DATASET'!AH:AH)</f>
        <v>24</v>
      </c>
      <c r="F25" s="2">
        <f>SUMIF('DTM DATASET'!B:B,A25,'DTM DATASET'!AI:AI)</f>
        <v>435</v>
      </c>
      <c r="G25" s="2">
        <f>SUMIF('DTM DATASET'!B:B,A25,'DTM DATASET'!AJ:AJ)</f>
        <v>992</v>
      </c>
      <c r="H25" s="2">
        <f>SUMIF('DTM DATASET'!B:B,A25,'DTM DATASET'!AK:AK)</f>
        <v>1527</v>
      </c>
      <c r="I25" s="2">
        <f>SUMIF('DTM DATASET'!B:B,A25,'DTM DATASET'!AL:AL)</f>
        <v>10</v>
      </c>
      <c r="J25" s="2">
        <f>SUMIF('DTM DATASET'!B:B,A25,'DTM DATASET'!AM:AM)</f>
        <v>167</v>
      </c>
      <c r="K25" s="2">
        <f>SUMIF('DTM DATASET'!B:B,A25,'DTM DATASET'!AN:AN)</f>
        <v>0</v>
      </c>
      <c r="L25" s="2">
        <f t="shared" si="2"/>
        <v>4003</v>
      </c>
    </row>
    <row r="26" spans="1:20" x14ac:dyDescent="0.25">
      <c r="A26" s="1" t="s">
        <v>23</v>
      </c>
      <c r="B26" s="2">
        <f>SUMIF('DTM DATASET'!B:B,A26,'DTM DATASET'!AE:AE)</f>
        <v>786</v>
      </c>
      <c r="C26" s="2">
        <f>SUMIF('DTM DATASET'!B:B,A26,'DTM DATASET'!AF:AF)</f>
        <v>8025</v>
      </c>
      <c r="D26" s="2">
        <f>SUMIF('DTM DATASET'!B:B,A26,'DTM DATASET'!AG:AG)</f>
        <v>0</v>
      </c>
      <c r="E26" s="2">
        <f>SUMIF('DTM DATASET'!B:B,A26,'DTM DATASET'!AH:AH)</f>
        <v>6697</v>
      </c>
      <c r="F26" s="2">
        <f>SUMIF('DTM DATASET'!B:B,A26,'DTM DATASET'!AI:AI)</f>
        <v>85</v>
      </c>
      <c r="G26" s="2">
        <f>SUMIF('DTM DATASET'!B:B,A26,'DTM DATASET'!AJ:AJ)</f>
        <v>156</v>
      </c>
      <c r="H26" s="2">
        <f>SUMIF('DTM DATASET'!B:B,A26,'DTM DATASET'!AK:AK)</f>
        <v>17398</v>
      </c>
      <c r="I26" s="2">
        <f>SUMIF('DTM DATASET'!B:B,A26,'DTM DATASET'!AL:AL)</f>
        <v>1704</v>
      </c>
      <c r="J26" s="2">
        <f>SUMIF('DTM DATASET'!B:B,A26,'DTM DATASET'!AM:AM)</f>
        <v>9892</v>
      </c>
      <c r="K26" s="2">
        <f>SUMIF('DTM DATASET'!B:B,A26,'DTM DATASET'!AN:AN)</f>
        <v>847</v>
      </c>
      <c r="L26" s="2">
        <f t="shared" si="2"/>
        <v>45590</v>
      </c>
    </row>
    <row r="27" spans="1:20" x14ac:dyDescent="0.25">
      <c r="A27" s="1" t="s">
        <v>24</v>
      </c>
      <c r="B27" s="2">
        <f>SUMIF('DTM DATASET'!B:B,A27,'DTM DATASET'!AE:AE)</f>
        <v>3702</v>
      </c>
      <c r="C27" s="2">
        <f>SUMIF('DTM DATASET'!B:B,A27,'DTM DATASET'!AF:AF)</f>
        <v>0</v>
      </c>
      <c r="D27" s="2">
        <f>SUMIF('DTM DATASET'!B:B,A27,'DTM DATASET'!AG:AG)</f>
        <v>302</v>
      </c>
      <c r="E27" s="2">
        <f>SUMIF('DTM DATASET'!B:B,A27,'DTM DATASET'!AH:AH)</f>
        <v>174</v>
      </c>
      <c r="F27" s="2">
        <f>SUMIF('DTM DATASET'!B:B,A27,'DTM DATASET'!AI:AI)</f>
        <v>248</v>
      </c>
      <c r="G27" s="2">
        <f>SUMIF('DTM DATASET'!B:B,A27,'DTM DATASET'!AJ:AJ)</f>
        <v>60</v>
      </c>
      <c r="H27" s="2">
        <f>SUMIF('DTM DATASET'!B:B,A27,'DTM DATASET'!AK:AK)</f>
        <v>22157</v>
      </c>
      <c r="I27" s="2">
        <f>SUMIF('DTM DATASET'!B:B,A27,'DTM DATASET'!AL:AL)</f>
        <v>25</v>
      </c>
      <c r="J27" s="2">
        <f>SUMIF('DTM DATASET'!B:B,A27,'DTM DATASET'!AM:AM)</f>
        <v>261</v>
      </c>
      <c r="K27" s="2">
        <f>SUMIF('DTM DATASET'!B:B,A27,'DTM DATASET'!AN:AN)</f>
        <v>0</v>
      </c>
      <c r="L27" s="2">
        <f t="shared" si="2"/>
        <v>26929</v>
      </c>
    </row>
    <row r="28" spans="1:20" x14ac:dyDescent="0.25">
      <c r="A28" s="1" t="s">
        <v>25</v>
      </c>
      <c r="B28" s="2">
        <f>SUMIF('DTM DATASET'!B:B,A28,'DTM DATASET'!AE:AE)</f>
        <v>0</v>
      </c>
      <c r="C28" s="2">
        <f>SUMIF('DTM DATASET'!B:B,A28,'DTM DATASET'!AF:AF)</f>
        <v>677</v>
      </c>
      <c r="D28" s="2">
        <f>SUMIF('DTM DATASET'!B:B,A28,'DTM DATASET'!AG:AG)</f>
        <v>0</v>
      </c>
      <c r="E28" s="2">
        <f>SUMIF('DTM DATASET'!B:B,A28,'DTM DATASET'!AH:AH)</f>
        <v>0</v>
      </c>
      <c r="F28" s="2">
        <f>SUMIF('DTM DATASET'!B:B,A28,'DTM DATASET'!AI:AI)</f>
        <v>21</v>
      </c>
      <c r="G28" s="2">
        <f>SUMIF('DTM DATASET'!B:B,A28,'DTM DATASET'!AJ:AJ)</f>
        <v>9</v>
      </c>
      <c r="H28" s="2">
        <f>SUMIF('DTM DATASET'!B:B,A28,'DTM DATASET'!AK:AK)</f>
        <v>723</v>
      </c>
      <c r="I28" s="2">
        <f>SUMIF('DTM DATASET'!B:B,A28,'DTM DATASET'!AL:AL)</f>
        <v>9</v>
      </c>
      <c r="J28" s="2">
        <f>SUMIF('DTM DATASET'!B:B,A28,'DTM DATASET'!AM:AM)</f>
        <v>5</v>
      </c>
      <c r="K28" s="2">
        <f>SUMIF('DTM DATASET'!B:B,A28,'DTM DATASET'!AN:AN)</f>
        <v>0</v>
      </c>
      <c r="L28" s="2">
        <f t="shared" si="2"/>
        <v>1444</v>
      </c>
    </row>
    <row r="29" spans="1:20" x14ac:dyDescent="0.25">
      <c r="A29" s="1" t="s">
        <v>26</v>
      </c>
      <c r="B29" s="2">
        <f>SUMIF('DTM DATASET'!B:B,A29,'DTM DATASET'!AE:AE)</f>
        <v>0</v>
      </c>
      <c r="C29" s="2">
        <f>SUMIF('DTM DATASET'!B:B,A29,'DTM DATASET'!AF:AF)</f>
        <v>871</v>
      </c>
      <c r="D29" s="2">
        <f>SUMIF('DTM DATASET'!B:B,A29,'DTM DATASET'!AG:AG)</f>
        <v>44</v>
      </c>
      <c r="E29" s="2">
        <f>SUMIF('DTM DATASET'!B:B,A29,'DTM DATASET'!AH:AH)</f>
        <v>50</v>
      </c>
      <c r="F29" s="2">
        <f>SUMIF('DTM DATASET'!B:B,A29,'DTM DATASET'!AI:AI)</f>
        <v>0</v>
      </c>
      <c r="G29" s="2">
        <f>SUMIF('DTM DATASET'!B:B,A29,'DTM DATASET'!AJ:AJ)</f>
        <v>775</v>
      </c>
      <c r="H29" s="2">
        <f>SUMIF('DTM DATASET'!B:B,A29,'DTM DATASET'!AK:AK)</f>
        <v>2184</v>
      </c>
      <c r="I29" s="2">
        <f>SUMIF('DTM DATASET'!B:B,A29,'DTM DATASET'!AL:AL)</f>
        <v>0</v>
      </c>
      <c r="J29" s="2">
        <f>SUMIF('DTM DATASET'!B:B,A29,'DTM DATASET'!AM:AM)</f>
        <v>79</v>
      </c>
      <c r="K29" s="2">
        <f>SUMIF('DTM DATASET'!B:B,A29,'DTM DATASET'!AN:AN)</f>
        <v>2</v>
      </c>
      <c r="L29" s="2">
        <f t="shared" si="2"/>
        <v>4005</v>
      </c>
    </row>
    <row r="30" spans="1:20" x14ac:dyDescent="0.25">
      <c r="A30" s="4" t="s">
        <v>43</v>
      </c>
      <c r="B30" s="5">
        <f t="shared" ref="B30:J30" si="3">SUM(B12:B29)</f>
        <v>78204</v>
      </c>
      <c r="C30" s="5">
        <f t="shared" si="3"/>
        <v>111267</v>
      </c>
      <c r="D30" s="5">
        <f t="shared" si="3"/>
        <v>1840</v>
      </c>
      <c r="E30" s="5">
        <f t="shared" si="3"/>
        <v>23545</v>
      </c>
      <c r="F30" s="5">
        <f t="shared" si="3"/>
        <v>994</v>
      </c>
      <c r="G30" s="5">
        <f t="shared" si="3"/>
        <v>17082</v>
      </c>
      <c r="H30" s="5">
        <f t="shared" si="3"/>
        <v>243846</v>
      </c>
      <c r="I30" s="5">
        <f t="shared" si="3"/>
        <v>5914</v>
      </c>
      <c r="J30" s="5">
        <f t="shared" si="3"/>
        <v>43280</v>
      </c>
      <c r="K30" s="5">
        <f t="shared" ref="K30" si="4">SUM(K12:K29)</f>
        <v>13000</v>
      </c>
      <c r="L30" s="5">
        <f>SUM(L12:L29)</f>
        <v>538972</v>
      </c>
    </row>
    <row r="31" spans="1:20" ht="18" customHeight="1" x14ac:dyDescent="0.25"/>
    <row r="32" spans="1:20" ht="15" customHeight="1" x14ac:dyDescent="0.25">
      <c r="A32" s="37" t="s">
        <v>0</v>
      </c>
      <c r="B32" s="53" t="s">
        <v>1</v>
      </c>
      <c r="C32" s="53"/>
      <c r="D32" s="53"/>
      <c r="E32" s="53"/>
      <c r="F32" s="53"/>
      <c r="G32" s="53"/>
      <c r="H32" s="53"/>
      <c r="I32" s="53"/>
      <c r="J32" s="53"/>
      <c r="K32" s="12"/>
      <c r="L32" s="12"/>
      <c r="M32" s="11"/>
      <c r="N32" s="11"/>
      <c r="O32" s="11"/>
      <c r="P32" s="11"/>
      <c r="Q32" s="11"/>
      <c r="R32" s="11"/>
      <c r="S32" s="11"/>
      <c r="T32" s="11"/>
    </row>
    <row r="33" spans="1:10" ht="25.5" x14ac:dyDescent="0.25">
      <c r="A33" s="38" t="s">
        <v>58</v>
      </c>
      <c r="B33" s="32" t="s">
        <v>9</v>
      </c>
      <c r="C33" s="32" t="s">
        <v>10</v>
      </c>
      <c r="D33" s="32" t="s">
        <v>11</v>
      </c>
      <c r="E33" s="32" t="s">
        <v>14</v>
      </c>
      <c r="F33" s="32" t="s">
        <v>15</v>
      </c>
      <c r="G33" s="32" t="s">
        <v>17</v>
      </c>
      <c r="H33" s="32" t="s">
        <v>21</v>
      </c>
      <c r="I33" s="32" t="s">
        <v>23</v>
      </c>
      <c r="J33" s="32" t="s">
        <v>42</v>
      </c>
    </row>
    <row r="34" spans="1:10" x14ac:dyDescent="0.25">
      <c r="A34" s="30" t="s">
        <v>9</v>
      </c>
      <c r="B34" s="31">
        <f>SUMIF('DTM DATASET'!B:B,A34,'DTM DATASET'!M:M)</f>
        <v>88211</v>
      </c>
      <c r="C34" s="31">
        <f>SUMIF('DTM DATASET'!B:B,A34,'DTM DATASET'!N:N)</f>
        <v>232</v>
      </c>
      <c r="D34" s="31">
        <f>SUMIF('DTM DATASET'!B:B,A34,'DTM DATASET'!O:O)</f>
        <v>387</v>
      </c>
      <c r="E34" s="31">
        <f>SUMIF('DTM DATASET'!B:B,A34,'DTM DATASET'!R:R)</f>
        <v>0</v>
      </c>
      <c r="F34" s="31">
        <f>SUMIF('DTM DATASET'!B:B,A34,'DTM DATASET'!S:S)</f>
        <v>0</v>
      </c>
      <c r="G34" s="31">
        <f>SUMIF('DTM DATASET'!B:B,A34,'DTM DATASET'!U:U)</f>
        <v>0</v>
      </c>
      <c r="H34" s="31">
        <f>SUMIF('DTM DATASET'!B:B,A34,'DTM DATASET'!Y:Y)</f>
        <v>349</v>
      </c>
      <c r="I34" s="31">
        <f>SUMIF('DTM DATASET'!B:B,A34,'DTM DATASET'!AA:AA)</f>
        <v>630</v>
      </c>
      <c r="J34" s="31">
        <f t="shared" ref="J34:J51" si="5">SUM(B34:I34)</f>
        <v>89809</v>
      </c>
    </row>
    <row r="35" spans="1:10" x14ac:dyDescent="0.25">
      <c r="A35" s="1" t="s">
        <v>10</v>
      </c>
      <c r="B35" s="2">
        <f>SUMIF('DTM DATASET'!B:B,A35,'DTM DATASET'!M:M)</f>
        <v>1400</v>
      </c>
      <c r="C35" s="2">
        <f>SUMIF('DTM DATASET'!B:B,A35,'DTM DATASET'!N:N)</f>
        <v>2521</v>
      </c>
      <c r="D35" s="2">
        <f>SUMIF('DTM DATASET'!B:B,A35,'DTM DATASET'!O:O)</f>
        <v>106</v>
      </c>
      <c r="E35" s="2">
        <f>SUMIF('DTM DATASET'!B:B,A35,'DTM DATASET'!R:R)</f>
        <v>38</v>
      </c>
      <c r="F35" s="2">
        <f>SUMIF('DTM DATASET'!B:B,A35,'DTM DATASET'!S:S)</f>
        <v>0</v>
      </c>
      <c r="G35" s="2">
        <f>SUMIF('DTM DATASET'!B:B,A35,'DTM DATASET'!U:U)</f>
        <v>8</v>
      </c>
      <c r="H35" s="2">
        <f>SUMIF('DTM DATASET'!B:B,A35,'DTM DATASET'!Y:Y)</f>
        <v>4195</v>
      </c>
      <c r="I35" s="2">
        <f>SUMIF('DTM DATASET'!B:B,A35,'DTM DATASET'!AA:AA)</f>
        <v>91</v>
      </c>
      <c r="J35" s="2">
        <f t="shared" si="5"/>
        <v>8359</v>
      </c>
    </row>
    <row r="36" spans="1:10" x14ac:dyDescent="0.25">
      <c r="A36" s="1" t="s">
        <v>11</v>
      </c>
      <c r="B36" s="2">
        <f>SUMIF('DTM DATASET'!B:B,A36,'DTM DATASET'!M:M)</f>
        <v>51910</v>
      </c>
      <c r="C36" s="2">
        <f>SUMIF('DTM DATASET'!B:B,A36,'DTM DATASET'!N:N)</f>
        <v>1183</v>
      </c>
      <c r="D36" s="2">
        <f>SUMIF('DTM DATASET'!B:B,A36,'DTM DATASET'!O:O)</f>
        <v>4158</v>
      </c>
      <c r="E36" s="2">
        <f>SUMIF('DTM DATASET'!B:B,A36,'DTM DATASET'!R:R)</f>
        <v>1448</v>
      </c>
      <c r="F36" s="2">
        <f>SUMIF('DTM DATASET'!B:B,A36,'DTM DATASET'!S:S)</f>
        <v>0</v>
      </c>
      <c r="G36" s="2">
        <f>SUMIF('DTM DATASET'!B:B,A36,'DTM DATASET'!U:U)</f>
        <v>388</v>
      </c>
      <c r="H36" s="2">
        <f>SUMIF('DTM DATASET'!B:B,A36,'DTM DATASET'!Y:Y)</f>
        <v>9101</v>
      </c>
      <c r="I36" s="2">
        <f>SUMIF('DTM DATASET'!B:B,A36,'DTM DATASET'!AA:AA)</f>
        <v>7180</v>
      </c>
      <c r="J36" s="2">
        <f t="shared" si="5"/>
        <v>75368</v>
      </c>
    </row>
    <row r="37" spans="1:10" x14ac:dyDescent="0.25">
      <c r="A37" s="1" t="s">
        <v>12</v>
      </c>
      <c r="B37" s="2">
        <f>SUMIF('DTM DATASET'!B:B,A37,'DTM DATASET'!M:M)</f>
        <v>412</v>
      </c>
      <c r="C37" s="2">
        <f>SUMIF('DTM DATASET'!B:B,A37,'DTM DATASET'!N:N)</f>
        <v>15</v>
      </c>
      <c r="D37" s="2">
        <f>SUMIF('DTM DATASET'!B:B,A37,'DTM DATASET'!O:O)</f>
        <v>27</v>
      </c>
      <c r="E37" s="2">
        <f>SUMIF('DTM DATASET'!B:B,A37,'DTM DATASET'!R:R)</f>
        <v>55</v>
      </c>
      <c r="F37" s="2">
        <f>SUMIF('DTM DATASET'!B:B,A37,'DTM DATASET'!S:S)</f>
        <v>0</v>
      </c>
      <c r="G37" s="2">
        <f>SUMIF('DTM DATASET'!B:B,A37,'DTM DATASET'!U:U)</f>
        <v>119</v>
      </c>
      <c r="H37" s="2">
        <f>SUMIF('DTM DATASET'!B:B,A37,'DTM DATASET'!Y:Y)</f>
        <v>665</v>
      </c>
      <c r="I37" s="2">
        <f>SUMIF('DTM DATASET'!B:B,A37,'DTM DATASET'!AA:AA)</f>
        <v>427</v>
      </c>
      <c r="J37" s="2">
        <f t="shared" si="5"/>
        <v>1720</v>
      </c>
    </row>
    <row r="38" spans="1:10" x14ac:dyDescent="0.25">
      <c r="A38" s="1" t="s">
        <v>13</v>
      </c>
      <c r="B38" s="2">
        <f>SUMIF('DTM DATASET'!B:B,A38,'DTM DATASET'!M:M)</f>
        <v>310</v>
      </c>
      <c r="C38" s="2">
        <f>SUMIF('DTM DATASET'!B:B,A38,'DTM DATASET'!N:N)</f>
        <v>0</v>
      </c>
      <c r="D38" s="2">
        <f>SUMIF('DTM DATASET'!B:B,A38,'DTM DATASET'!O:O)</f>
        <v>1</v>
      </c>
      <c r="E38" s="2">
        <f>SUMIF('DTM DATASET'!B:B,A38,'DTM DATASET'!R:R)</f>
        <v>0</v>
      </c>
      <c r="F38" s="2">
        <f>SUMIF('DTM DATASET'!B:B,A38,'DTM DATASET'!S:S)</f>
        <v>0</v>
      </c>
      <c r="G38" s="2">
        <f>SUMIF('DTM DATASET'!B:B,A38,'DTM DATASET'!U:U)</f>
        <v>0</v>
      </c>
      <c r="H38" s="2">
        <f>SUMIF('DTM DATASET'!B:B,A38,'DTM DATASET'!Y:Y)</f>
        <v>65719</v>
      </c>
      <c r="I38" s="2">
        <f>SUMIF('DTM DATASET'!B:B,A38,'DTM DATASET'!AA:AA)</f>
        <v>147</v>
      </c>
      <c r="J38" s="2">
        <f t="shared" si="5"/>
        <v>66177</v>
      </c>
    </row>
    <row r="39" spans="1:10" x14ac:dyDescent="0.25">
      <c r="A39" s="1" t="s">
        <v>14</v>
      </c>
      <c r="B39" s="2">
        <f>SUMIF('DTM DATASET'!B:B,A39,'DTM DATASET'!M:M)</f>
        <v>738</v>
      </c>
      <c r="C39" s="2">
        <f>SUMIF('DTM DATASET'!B:B,A39,'DTM DATASET'!N:N)</f>
        <v>73</v>
      </c>
      <c r="D39" s="2">
        <f>SUMIF('DTM DATASET'!B:B,A39,'DTM DATASET'!O:O)</f>
        <v>25</v>
      </c>
      <c r="E39" s="2">
        <f>SUMIF('DTM DATASET'!B:B,A39,'DTM DATASET'!R:R)</f>
        <v>12530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61</v>
      </c>
      <c r="I39" s="2">
        <f>SUMIF('DTM DATASET'!B:B,A39,'DTM DATASET'!AA:AA)</f>
        <v>539</v>
      </c>
      <c r="J39" s="2">
        <f t="shared" si="5"/>
        <v>13966</v>
      </c>
    </row>
    <row r="40" spans="1:10" x14ac:dyDescent="0.25">
      <c r="A40" s="1" t="s">
        <v>15</v>
      </c>
      <c r="B40" s="2">
        <f>SUMIF('DTM DATASET'!B:B,A40,'DTM DATASET'!M:M)</f>
        <v>26469</v>
      </c>
      <c r="C40" s="2">
        <f>SUMIF('DTM DATASET'!B:B,A40,'DTM DATASET'!N:N)</f>
        <v>0</v>
      </c>
      <c r="D40" s="2">
        <f>SUMIF('DTM DATASET'!B:B,A40,'DTM DATASET'!O:O)</f>
        <v>751</v>
      </c>
      <c r="E40" s="2">
        <f>SUMIF('DTM DATASET'!B:B,A40,'DTM DATASET'!R:R)</f>
        <v>305</v>
      </c>
      <c r="F40" s="2">
        <f>SUMIF('DTM DATASET'!B:B,A40,'DTM DATASET'!S:S)</f>
        <v>714</v>
      </c>
      <c r="G40" s="2">
        <f>SUMIF('DTM DATASET'!B:B,A40,'DTM DATASET'!U:U)</f>
        <v>706</v>
      </c>
      <c r="H40" s="2">
        <f>SUMIF('DTM DATASET'!B:B,A40,'DTM DATASET'!Y:Y)</f>
        <v>28705</v>
      </c>
      <c r="I40" s="2">
        <f>SUMIF('DTM DATASET'!B:B,A40,'DTM DATASET'!AA:AA)</f>
        <v>5774</v>
      </c>
      <c r="J40" s="2">
        <f t="shared" si="5"/>
        <v>63424</v>
      </c>
    </row>
    <row r="41" spans="1:10" x14ac:dyDescent="0.25">
      <c r="A41" s="1" t="s">
        <v>16</v>
      </c>
      <c r="B41" s="2">
        <f>SUMIF('DTM DATASET'!B:B,A41,'DTM DATASET'!M:M)</f>
        <v>485</v>
      </c>
      <c r="C41" s="2">
        <f>SUMIF('DTM DATASET'!B:B,A41,'DTM DATASET'!N:N)</f>
        <v>201</v>
      </c>
      <c r="D41" s="2">
        <f>SUMIF('DTM DATASET'!B:B,A41,'DTM DATASET'!O:O)</f>
        <v>51</v>
      </c>
      <c r="E41" s="2">
        <f>SUMIF('DTM DATASET'!B:B,A41,'DTM DATASET'!R:R)</f>
        <v>46</v>
      </c>
      <c r="F41" s="2">
        <f>SUMIF('DTM DATASET'!B:B,A41,'DTM DATASET'!S:S)</f>
        <v>0</v>
      </c>
      <c r="G41" s="2">
        <f>SUMIF('DTM DATASET'!B:B,A41,'DTM DATASET'!U:U)</f>
        <v>67</v>
      </c>
      <c r="H41" s="2">
        <f>SUMIF('DTM DATASET'!B:B,A41,'DTM DATASET'!Y:Y)</f>
        <v>10189</v>
      </c>
      <c r="I41" s="2">
        <f>SUMIF('DTM DATASET'!B:B,A41,'DTM DATASET'!AA:AA)</f>
        <v>77</v>
      </c>
      <c r="J41" s="2">
        <f t="shared" si="5"/>
        <v>11116</v>
      </c>
    </row>
    <row r="42" spans="1:10" x14ac:dyDescent="0.25">
      <c r="A42" s="1" t="s">
        <v>17</v>
      </c>
      <c r="B42" s="2">
        <f>SUMIF('DTM DATASET'!B:B,A42,'DTM DATASET'!M:M)</f>
        <v>17390</v>
      </c>
      <c r="C42" s="2">
        <f>SUMIF('DTM DATASET'!B:B,A42,'DTM DATASET'!N:N)</f>
        <v>30</v>
      </c>
      <c r="D42" s="2">
        <f>SUMIF('DTM DATASET'!B:B,A42,'DTM DATASET'!O:O)</f>
        <v>232</v>
      </c>
      <c r="E42" s="2">
        <f>SUMIF('DTM DATASET'!B:B,A42,'DTM DATASET'!R:R)</f>
        <v>975</v>
      </c>
      <c r="F42" s="2">
        <f>SUMIF('DTM DATASET'!B:B,A42,'DTM DATASET'!S:S)</f>
        <v>0</v>
      </c>
      <c r="G42" s="2">
        <f>SUMIF('DTM DATASET'!B:B,A42,'DTM DATASET'!U:U)</f>
        <v>21536</v>
      </c>
      <c r="H42" s="2">
        <f>SUMIF('DTM DATASET'!B:B,A42,'DTM DATASET'!Y:Y)</f>
        <v>7036</v>
      </c>
      <c r="I42" s="2">
        <f>SUMIF('DTM DATASET'!B:B,A42,'DTM DATASET'!AA:AA)</f>
        <v>15115</v>
      </c>
      <c r="J42" s="2">
        <f t="shared" si="5"/>
        <v>62314</v>
      </c>
    </row>
    <row r="43" spans="1:10" x14ac:dyDescent="0.25">
      <c r="A43" s="1" t="s">
        <v>18</v>
      </c>
      <c r="B43" s="2">
        <f>SUMIF('DTM DATASET'!B:B,A43,'DTM DATASET'!M:M)</f>
        <v>92</v>
      </c>
      <c r="C43" s="2">
        <f>SUMIF('DTM DATASET'!B:B,A43,'DTM DATASET'!N:N)</f>
        <v>9</v>
      </c>
      <c r="D43" s="2">
        <f>SUMIF('DTM DATASET'!B:B,A43,'DTM DATASET'!O:O)</f>
        <v>30</v>
      </c>
      <c r="E43" s="2">
        <f>SUMIF('DTM DATASET'!B:B,A43,'DTM DATASET'!R:R)</f>
        <v>20</v>
      </c>
      <c r="F43" s="2">
        <f>SUMIF('DTM DATASET'!B:B,A43,'DTM DATASET'!S:S)</f>
        <v>0</v>
      </c>
      <c r="G43" s="2">
        <f>SUMIF('DTM DATASET'!B:B,A43,'DTM DATASET'!U:U)</f>
        <v>109</v>
      </c>
      <c r="H43" s="2">
        <f>SUMIF('DTM DATASET'!B:B,A43,'DTM DATASET'!Y:Y)</f>
        <v>635</v>
      </c>
      <c r="I43" s="2">
        <f>SUMIF('DTM DATASET'!B:B,A43,'DTM DATASET'!AA:AA)</f>
        <v>71</v>
      </c>
      <c r="J43" s="2">
        <f t="shared" si="5"/>
        <v>966</v>
      </c>
    </row>
    <row r="44" spans="1:10" x14ac:dyDescent="0.25">
      <c r="A44" s="1" t="s">
        <v>19</v>
      </c>
      <c r="B44" s="2">
        <f>SUMIF('DTM DATASET'!B:B,A44,'DTM DATASET'!M:M)</f>
        <v>283</v>
      </c>
      <c r="C44" s="2">
        <f>SUMIF('DTM DATASET'!B:B,A44,'DTM DATASET'!N:N)</f>
        <v>0</v>
      </c>
      <c r="D44" s="2">
        <f>SUMIF('DTM DATASET'!B:B,A44,'DTM DATASET'!O:O)</f>
        <v>11</v>
      </c>
      <c r="E44" s="2">
        <f>SUMIF('DTM DATASET'!B:B,A44,'DTM DATASET'!R:R)</f>
        <v>15</v>
      </c>
      <c r="F44" s="2">
        <f>SUMIF('DTM DATASET'!B:B,A44,'DTM DATASET'!S:S)</f>
        <v>0</v>
      </c>
      <c r="G44" s="2">
        <f>SUMIF('DTM DATASET'!B:B,A44,'DTM DATASET'!U:U)</f>
        <v>11</v>
      </c>
      <c r="H44" s="2">
        <f>SUMIF('DTM DATASET'!B:B,A44,'DTM DATASET'!Y:Y)</f>
        <v>528</v>
      </c>
      <c r="I44" s="2">
        <f>SUMIF('DTM DATASET'!B:B,A44,'DTM DATASET'!AA:AA)</f>
        <v>39</v>
      </c>
      <c r="J44" s="2">
        <f t="shared" si="5"/>
        <v>887</v>
      </c>
    </row>
    <row r="45" spans="1:10" x14ac:dyDescent="0.25">
      <c r="A45" s="1" t="s">
        <v>20</v>
      </c>
      <c r="B45" s="2">
        <f>SUMIF('DTM DATASET'!B:B,A45,'DTM DATASET'!M:M)</f>
        <v>386</v>
      </c>
      <c r="C45" s="2">
        <f>SUMIF('DTM DATASET'!B:B,A45,'DTM DATASET'!N:N)</f>
        <v>0</v>
      </c>
      <c r="D45" s="2">
        <f>SUMIF('DTM DATASET'!B:B,A45,'DTM DATASET'!O:O)</f>
        <v>23</v>
      </c>
      <c r="E45" s="2">
        <f>SUMIF('DTM DATASET'!B:B,A45,'DTM DATASET'!R:R)</f>
        <v>22</v>
      </c>
      <c r="F45" s="2">
        <f>SUMIF('DTM DATASET'!B:B,A45,'DTM DATASET'!S:S)</f>
        <v>0</v>
      </c>
      <c r="G45" s="2">
        <f>SUMIF('DTM DATASET'!B:B,A45,'DTM DATASET'!U:U)</f>
        <v>45</v>
      </c>
      <c r="H45" s="2">
        <f>SUMIF('DTM DATASET'!B:B,A45,'DTM DATASET'!Y:Y)</f>
        <v>12602</v>
      </c>
      <c r="I45" s="2">
        <f>SUMIF('DTM DATASET'!B:B,A45,'DTM DATASET'!AA:AA)</f>
        <v>37</v>
      </c>
      <c r="J45" s="2">
        <f t="shared" si="5"/>
        <v>13115</v>
      </c>
    </row>
    <row r="46" spans="1:10" x14ac:dyDescent="0.25">
      <c r="A46" s="1" t="s">
        <v>21</v>
      </c>
      <c r="B46" s="2">
        <f>SUMIF('DTM DATASET'!B:B,A46,'DTM DATASET'!M:M)</f>
        <v>869</v>
      </c>
      <c r="C46" s="2">
        <f>SUMIF('DTM DATASET'!B:B,A46,'DTM DATASET'!N:N)</f>
        <v>5</v>
      </c>
      <c r="D46" s="2">
        <f>SUMIF('DTM DATASET'!B:B,A46,'DTM DATASET'!O:O)</f>
        <v>0</v>
      </c>
      <c r="E46" s="2">
        <f>SUMIF('DTM DATASET'!B:B,A46,'DTM DATASET'!R:R)</f>
        <v>0</v>
      </c>
      <c r="F46" s="2">
        <f>SUMIF('DTM DATASET'!B:B,A46,'DTM DATASET'!S:S)</f>
        <v>0</v>
      </c>
      <c r="G46" s="2">
        <f>SUMIF('DTM DATASET'!B:B,A46,'DTM DATASET'!U:U)</f>
        <v>431</v>
      </c>
      <c r="H46" s="2">
        <f>SUMIF('DTM DATASET'!B:B,A46,'DTM DATASET'!Y:Y)</f>
        <v>46913</v>
      </c>
      <c r="I46" s="2">
        <f>SUMIF('DTM DATASET'!B:B,A46,'DTM DATASET'!AA:AA)</f>
        <v>1562</v>
      </c>
      <c r="J46" s="2">
        <f t="shared" si="5"/>
        <v>49780</v>
      </c>
    </row>
    <row r="47" spans="1:10" x14ac:dyDescent="0.25">
      <c r="A47" s="1" t="s">
        <v>22</v>
      </c>
      <c r="B47" s="2">
        <f>SUMIF('DTM DATASET'!B:B,A47,'DTM DATASET'!M:M)</f>
        <v>751</v>
      </c>
      <c r="C47" s="2">
        <f>SUMIF('DTM DATASET'!B:B,A47,'DTM DATASET'!N:N)</f>
        <v>15</v>
      </c>
      <c r="D47" s="2">
        <f>SUMIF('DTM DATASET'!B:B,A47,'DTM DATASET'!O:O)</f>
        <v>70</v>
      </c>
      <c r="E47" s="2">
        <f>SUMIF('DTM DATASET'!B:B,A47,'DTM DATASET'!R:R)</f>
        <v>32</v>
      </c>
      <c r="F47" s="2">
        <f>SUMIF('DTM DATASET'!B:B,A47,'DTM DATASET'!S:S)</f>
        <v>0</v>
      </c>
      <c r="G47" s="2">
        <f>SUMIF('DTM DATASET'!B:B,A47,'DTM DATASET'!U:U)</f>
        <v>427</v>
      </c>
      <c r="H47" s="2">
        <f>SUMIF('DTM DATASET'!B:B,A47,'DTM DATASET'!Y:Y)</f>
        <v>2675</v>
      </c>
      <c r="I47" s="2">
        <f>SUMIF('DTM DATASET'!B:B,A47,'DTM DATASET'!AA:AA)</f>
        <v>33</v>
      </c>
      <c r="J47" s="2">
        <f t="shared" si="5"/>
        <v>4003</v>
      </c>
    </row>
    <row r="48" spans="1:10" x14ac:dyDescent="0.25">
      <c r="A48" s="1" t="s">
        <v>23</v>
      </c>
      <c r="B48" s="2">
        <f>SUMIF('DTM DATASET'!B:B,A48,'DTM DATASET'!M:M)</f>
        <v>729</v>
      </c>
      <c r="C48" s="2">
        <f>SUMIF('DTM DATASET'!B:B,A48,'DTM DATASET'!N:N)</f>
        <v>0</v>
      </c>
      <c r="D48" s="2">
        <f>SUMIF('DTM DATASET'!B:B,A48,'DTM DATASET'!O:O)</f>
        <v>0</v>
      </c>
      <c r="E48" s="2">
        <f>SUMIF('DTM DATASET'!B:B,A48,'DTM DATASET'!R:R)</f>
        <v>331</v>
      </c>
      <c r="F48" s="2">
        <f>SUMIF('DTM DATASET'!B:B,A48,'DTM DATASET'!S:S)</f>
        <v>0</v>
      </c>
      <c r="G48" s="2">
        <f>SUMIF('DTM DATASET'!B:B,A48,'DTM DATASET'!U:U)</f>
        <v>1908</v>
      </c>
      <c r="H48" s="2">
        <f>SUMIF('DTM DATASET'!B:B,A48,'DTM DATASET'!Y:Y)</f>
        <v>1176</v>
      </c>
      <c r="I48" s="2">
        <f>SUMIF('DTM DATASET'!B:B,A48,'DTM DATASET'!AA:AA)</f>
        <v>41446</v>
      </c>
      <c r="J48" s="2">
        <f t="shared" si="5"/>
        <v>45590</v>
      </c>
    </row>
    <row r="49" spans="1:10" x14ac:dyDescent="0.25">
      <c r="A49" s="1" t="s">
        <v>24</v>
      </c>
      <c r="B49" s="2">
        <f>SUMIF('DTM DATASET'!B:B,A49,'DTM DATASET'!M:M)</f>
        <v>14596</v>
      </c>
      <c r="C49" s="2">
        <f>SUMIF('DTM DATASET'!B:B,A49,'DTM DATASET'!N:N)</f>
        <v>698</v>
      </c>
      <c r="D49" s="2">
        <f>SUMIF('DTM DATASET'!B:B,A49,'DTM DATASET'!O:O)</f>
        <v>1816</v>
      </c>
      <c r="E49" s="2">
        <f>SUMIF('DTM DATASET'!B:B,A49,'DTM DATASET'!R:R)</f>
        <v>3162</v>
      </c>
      <c r="F49" s="2">
        <f>SUMIF('DTM DATASET'!B:B,A49,'DTM DATASET'!S:S)</f>
        <v>0</v>
      </c>
      <c r="G49" s="2">
        <f>SUMIF('DTM DATASET'!B:B,A49,'DTM DATASET'!U:U)</f>
        <v>0</v>
      </c>
      <c r="H49" s="2">
        <f>SUMIF('DTM DATASET'!B:B,A49,'DTM DATASET'!Y:Y)</f>
        <v>2623</v>
      </c>
      <c r="I49" s="2">
        <f>SUMIF('DTM DATASET'!B:B,A49,'DTM DATASET'!AA:AA)</f>
        <v>4034</v>
      </c>
      <c r="J49" s="2">
        <f t="shared" si="5"/>
        <v>26929</v>
      </c>
    </row>
    <row r="50" spans="1:10" x14ac:dyDescent="0.25">
      <c r="A50" s="1" t="s">
        <v>25</v>
      </c>
      <c r="B50" s="2">
        <f>SUMIF('DTM DATASET'!B:B,A50,'DTM DATASET'!M:M)</f>
        <v>232</v>
      </c>
      <c r="C50" s="2">
        <f>SUMIF('DTM DATASET'!B:B,A50,'DTM DATASET'!N:N)</f>
        <v>17</v>
      </c>
      <c r="D50" s="2">
        <f>SUMIF('DTM DATASET'!B:B,A50,'DTM DATASET'!O:O)</f>
        <v>8</v>
      </c>
      <c r="E50" s="2">
        <f>SUMIF('DTM DATASET'!B:B,A50,'DTM DATASET'!R:R)</f>
        <v>22</v>
      </c>
      <c r="F50" s="2">
        <f>SUMIF('DTM DATASET'!B:B,A50,'DTM DATASET'!S:S)</f>
        <v>0</v>
      </c>
      <c r="G50" s="2">
        <f>SUMIF('DTM DATASET'!B:B,A50,'DTM DATASET'!U:U)</f>
        <v>125</v>
      </c>
      <c r="H50" s="2">
        <f>SUMIF('DTM DATASET'!B:B,A50,'DTM DATASET'!Y:Y)</f>
        <v>964</v>
      </c>
      <c r="I50" s="2">
        <f>SUMIF('DTM DATASET'!B:B,A50,'DTM DATASET'!AA:AA)</f>
        <v>76</v>
      </c>
      <c r="J50" s="2">
        <f t="shared" si="5"/>
        <v>1444</v>
      </c>
    </row>
    <row r="51" spans="1:10" x14ac:dyDescent="0.25">
      <c r="A51" s="1" t="s">
        <v>26</v>
      </c>
      <c r="B51" s="2">
        <f>SUMIF('DTM DATASET'!B:B,A51,'DTM DATASET'!M:M)</f>
        <v>629</v>
      </c>
      <c r="C51" s="2">
        <f>SUMIF('DTM DATASET'!B:B,A51,'DTM DATASET'!N:N)</f>
        <v>0</v>
      </c>
      <c r="D51" s="2">
        <f>SUMIF('DTM DATASET'!B:B,A51,'DTM DATASET'!O:O)</f>
        <v>9</v>
      </c>
      <c r="E51" s="2">
        <f>SUMIF('DTM DATASET'!B:B,A51,'DTM DATASET'!R:R)</f>
        <v>11</v>
      </c>
      <c r="F51" s="2">
        <f>SUMIF('DTM DATASET'!B:B,A51,'DTM DATASET'!S:S)</f>
        <v>0</v>
      </c>
      <c r="G51" s="2">
        <f>SUMIF('DTM DATASET'!B:B,A51,'DTM DATASET'!U:U)</f>
        <v>110</v>
      </c>
      <c r="H51" s="2">
        <f>SUMIF('DTM DATASET'!B:B,A51,'DTM DATASET'!Y:Y)</f>
        <v>3198</v>
      </c>
      <c r="I51" s="2">
        <f>SUMIF('DTM DATASET'!B:B,A51,'DTM DATASET'!AA:AA)</f>
        <v>48</v>
      </c>
      <c r="J51" s="2">
        <f t="shared" si="5"/>
        <v>4005</v>
      </c>
    </row>
    <row r="52" spans="1:10" x14ac:dyDescent="0.25">
      <c r="A52" s="6" t="s">
        <v>43</v>
      </c>
      <c r="B52" s="7">
        <f>SUM(B34:B51)</f>
        <v>205892</v>
      </c>
      <c r="C52" s="7">
        <f t="shared" ref="C52:J52" si="6">SUM(C34:C51)</f>
        <v>4999</v>
      </c>
      <c r="D52" s="7">
        <f t="shared" si="6"/>
        <v>7705</v>
      </c>
      <c r="E52" s="7">
        <f t="shared" si="6"/>
        <v>19012</v>
      </c>
      <c r="F52" s="7">
        <f t="shared" si="6"/>
        <v>714</v>
      </c>
      <c r="G52" s="7">
        <f t="shared" si="6"/>
        <v>25990</v>
      </c>
      <c r="H52" s="7">
        <f t="shared" si="6"/>
        <v>197334</v>
      </c>
      <c r="I52" s="7">
        <f t="shared" si="6"/>
        <v>77326</v>
      </c>
      <c r="J52" s="7">
        <f t="shared" si="6"/>
        <v>538972</v>
      </c>
    </row>
    <row r="53" spans="1:10" ht="18" customHeight="1" x14ac:dyDescent="0.25"/>
    <row r="54" spans="1:10" x14ac:dyDescent="0.25">
      <c r="A54" s="37" t="s">
        <v>0</v>
      </c>
      <c r="B54" s="53" t="s">
        <v>3</v>
      </c>
      <c r="C54" s="54"/>
      <c r="D54" s="54"/>
      <c r="E54" s="54"/>
      <c r="F54" s="54"/>
      <c r="G54" s="54"/>
    </row>
    <row r="55" spans="1:10" ht="26.25" x14ac:dyDescent="0.25">
      <c r="A55" s="38" t="s">
        <v>58</v>
      </c>
      <c r="B55" s="35" t="s">
        <v>59</v>
      </c>
      <c r="C55" s="35" t="s">
        <v>44</v>
      </c>
      <c r="D55" s="36" t="s">
        <v>45</v>
      </c>
      <c r="E55" s="35" t="s">
        <v>60</v>
      </c>
      <c r="F55" s="35" t="s">
        <v>61</v>
      </c>
      <c r="G55" s="35" t="s">
        <v>69</v>
      </c>
      <c r="H55" s="35" t="s">
        <v>42</v>
      </c>
    </row>
    <row r="56" spans="1:10" x14ac:dyDescent="0.25">
      <c r="A56" s="30" t="s">
        <v>9</v>
      </c>
      <c r="B56" s="31">
        <f>SUMIF('DTM DATASET'!B:B,A56,'DTM DATASET'!AO:AO)</f>
        <v>31704</v>
      </c>
      <c r="C56" s="31">
        <f>SUMIF('DTM DATASET'!B:B,A56,'DTM DATASET'!AP:AP)</f>
        <v>2177</v>
      </c>
      <c r="D56" s="31">
        <f>SUMIF('DTM DATASET'!B:B,A56,'DTM DATASET'!AQ:AQ)</f>
        <v>0</v>
      </c>
      <c r="E56" s="31">
        <f>SUMIF('DTM DATASET'!B:B,A56,'DTM DATASET'!AR:AR)</f>
        <v>6497</v>
      </c>
      <c r="F56" s="31">
        <f>SUMIF('DTM DATASET'!B:B,A56,'DTM DATASET'!AS:AS)</f>
        <v>33153</v>
      </c>
      <c r="G56" s="31">
        <f>SUMIF('DTM DATASET'!B:B,A56,'DTM DATASET'!AT:AT)</f>
        <v>16278</v>
      </c>
      <c r="H56" s="31">
        <f>SUM(B56:G56)</f>
        <v>89809</v>
      </c>
    </row>
    <row r="57" spans="1:10" x14ac:dyDescent="0.25">
      <c r="A57" s="1" t="s">
        <v>10</v>
      </c>
      <c r="B57" s="2">
        <f>SUMIF('DTM DATASET'!B:B,A57,'DTM DATASET'!AO:AO)</f>
        <v>100</v>
      </c>
      <c r="C57" s="2">
        <f>SUMIF('DTM DATASET'!B:B,A57,'DTM DATASET'!AP:AP)</f>
        <v>5415</v>
      </c>
      <c r="D57" s="2">
        <f>SUMIF('DTM DATASET'!B:B,A57,'DTM DATASET'!AQ:AQ)</f>
        <v>1440</v>
      </c>
      <c r="E57" s="2">
        <f>SUMIF('DTM DATASET'!B:B,A57,'DTM DATASET'!AR:AR)</f>
        <v>901</v>
      </c>
      <c r="F57" s="2">
        <f>SUMIF('DTM DATASET'!B:B,A57,'DTM DATASET'!AS:AS)</f>
        <v>503</v>
      </c>
      <c r="G57" s="31">
        <f>SUMIF('DTM DATASET'!B:B,A57,'DTM DATASET'!AT:AT)</f>
        <v>0</v>
      </c>
      <c r="H57" s="31">
        <f t="shared" ref="H57:H73" si="7">SUM(B57:G57)</f>
        <v>8359</v>
      </c>
    </row>
    <row r="58" spans="1:10" x14ac:dyDescent="0.25">
      <c r="A58" s="1" t="s">
        <v>11</v>
      </c>
      <c r="B58" s="2">
        <f>SUMIF('DTM DATASET'!B:B,A58,'DTM DATASET'!AO:AO)</f>
        <v>10073</v>
      </c>
      <c r="C58" s="2">
        <f>SUMIF('DTM DATASET'!B:B,A58,'DTM DATASET'!AP:AP)</f>
        <v>8796</v>
      </c>
      <c r="D58" s="2">
        <f>SUMIF('DTM DATASET'!B:B,A58,'DTM DATASET'!AQ:AQ)</f>
        <v>7386</v>
      </c>
      <c r="E58" s="2">
        <f>SUMIF('DTM DATASET'!B:B,A58,'DTM DATASET'!AR:AR)</f>
        <v>19862</v>
      </c>
      <c r="F58" s="2">
        <f>SUMIF('DTM DATASET'!B:B,A58,'DTM DATASET'!AS:AS)</f>
        <v>27689</v>
      </c>
      <c r="G58" s="31">
        <f>SUMIF('DTM DATASET'!B:B,A58,'DTM DATASET'!AT:AT)</f>
        <v>1562</v>
      </c>
      <c r="H58" s="31">
        <f t="shared" si="7"/>
        <v>75368</v>
      </c>
    </row>
    <row r="59" spans="1:10" x14ac:dyDescent="0.25">
      <c r="A59" s="1" t="s">
        <v>12</v>
      </c>
      <c r="B59" s="2">
        <f>SUMIF('DTM DATASET'!B:B,A59,'DTM DATASET'!AO:AO)</f>
        <v>199</v>
      </c>
      <c r="C59" s="2">
        <f>SUMIF('DTM DATASET'!B:B,A59,'DTM DATASET'!AP:AP)</f>
        <v>547</v>
      </c>
      <c r="D59" s="2">
        <f>SUMIF('DTM DATASET'!B:B,A59,'DTM DATASET'!AQ:AQ)</f>
        <v>297</v>
      </c>
      <c r="E59" s="2">
        <f>SUMIF('DTM DATASET'!B:B,A59,'DTM DATASET'!AR:AR)</f>
        <v>518</v>
      </c>
      <c r="F59" s="2">
        <f>SUMIF('DTM DATASET'!B:B,A59,'DTM DATASET'!AS:AS)</f>
        <v>142</v>
      </c>
      <c r="G59" s="31">
        <f>SUMIF('DTM DATASET'!B:B,A59,'DTM DATASET'!AT:AT)</f>
        <v>17</v>
      </c>
      <c r="H59" s="31">
        <f t="shared" si="7"/>
        <v>1720</v>
      </c>
    </row>
    <row r="60" spans="1:10" x14ac:dyDescent="0.25">
      <c r="A60" s="1" t="s">
        <v>13</v>
      </c>
      <c r="B60" s="2">
        <f>SUMIF('DTM DATASET'!B:B,A60,'DTM DATASET'!AO:AO)</f>
        <v>315</v>
      </c>
      <c r="C60" s="2">
        <f>SUMIF('DTM DATASET'!B:B,A60,'DTM DATASET'!AP:AP)</f>
        <v>11515</v>
      </c>
      <c r="D60" s="2">
        <f>SUMIF('DTM DATASET'!B:B,A60,'DTM DATASET'!AQ:AQ)</f>
        <v>54210</v>
      </c>
      <c r="E60" s="2">
        <f>SUMIF('DTM DATASET'!B:B,A60,'DTM DATASET'!AR:AR)</f>
        <v>0</v>
      </c>
      <c r="F60" s="2">
        <f>SUMIF('DTM DATASET'!B:B,A60,'DTM DATASET'!AS:AS)</f>
        <v>137</v>
      </c>
      <c r="G60" s="31">
        <f>SUMIF('DTM DATASET'!B:B,A60,'DTM DATASET'!AT:AT)</f>
        <v>0</v>
      </c>
      <c r="H60" s="31">
        <f t="shared" si="7"/>
        <v>66177</v>
      </c>
    </row>
    <row r="61" spans="1:10" x14ac:dyDescent="0.25">
      <c r="A61" s="1" t="s">
        <v>14</v>
      </c>
      <c r="B61" s="2">
        <f>SUMIF('DTM DATASET'!B:B,A61,'DTM DATASET'!AO:AO)</f>
        <v>249</v>
      </c>
      <c r="C61" s="2">
        <f>SUMIF('DTM DATASET'!B:B,A61,'DTM DATASET'!AP:AP)</f>
        <v>6071</v>
      </c>
      <c r="D61" s="2">
        <f>SUMIF('DTM DATASET'!B:B,A61,'DTM DATASET'!AQ:AQ)</f>
        <v>1666</v>
      </c>
      <c r="E61" s="2">
        <f>SUMIF('DTM DATASET'!B:B,A61,'DTM DATASET'!AR:AR)</f>
        <v>5518</v>
      </c>
      <c r="F61" s="2">
        <f>SUMIF('DTM DATASET'!B:B,A61,'DTM DATASET'!AS:AS)</f>
        <v>428</v>
      </c>
      <c r="G61" s="31">
        <f>SUMIF('DTM DATASET'!B:B,A61,'DTM DATASET'!AT:AT)</f>
        <v>34</v>
      </c>
      <c r="H61" s="31">
        <f t="shared" si="7"/>
        <v>13966</v>
      </c>
    </row>
    <row r="62" spans="1:10" x14ac:dyDescent="0.25">
      <c r="A62" s="1" t="s">
        <v>15</v>
      </c>
      <c r="B62" s="2">
        <f>SUMIF('DTM DATASET'!B:B,A62,'DTM DATASET'!AO:AO)</f>
        <v>13128</v>
      </c>
      <c r="C62" s="2">
        <f>SUMIF('DTM DATASET'!B:B,A62,'DTM DATASET'!AP:AP)</f>
        <v>23325</v>
      </c>
      <c r="D62" s="2">
        <f>SUMIF('DTM DATASET'!B:B,A62,'DTM DATASET'!AQ:AQ)</f>
        <v>7293</v>
      </c>
      <c r="E62" s="2">
        <f>SUMIF('DTM DATASET'!B:B,A62,'DTM DATASET'!AR:AR)</f>
        <v>1457</v>
      </c>
      <c r="F62" s="2">
        <f>SUMIF('DTM DATASET'!B:B,A62,'DTM DATASET'!AS:AS)</f>
        <v>11220</v>
      </c>
      <c r="G62" s="31">
        <f>SUMIF('DTM DATASET'!B:B,A62,'DTM DATASET'!AT:AT)</f>
        <v>7001</v>
      </c>
      <c r="H62" s="31">
        <f t="shared" si="7"/>
        <v>63424</v>
      </c>
    </row>
    <row r="63" spans="1:10" x14ac:dyDescent="0.25">
      <c r="A63" s="1" t="s">
        <v>16</v>
      </c>
      <c r="B63" s="2">
        <f>SUMIF('DTM DATASET'!B:B,A63,'DTM DATASET'!AO:AO)</f>
        <v>411</v>
      </c>
      <c r="C63" s="2">
        <f>SUMIF('DTM DATASET'!B:B,A63,'DTM DATASET'!AP:AP)</f>
        <v>8508</v>
      </c>
      <c r="D63" s="2">
        <f>SUMIF('DTM DATASET'!B:B,A63,'DTM DATASET'!AQ:AQ)</f>
        <v>2095</v>
      </c>
      <c r="E63" s="2">
        <f>SUMIF('DTM DATASET'!B:B,A63,'DTM DATASET'!AR:AR)</f>
        <v>15</v>
      </c>
      <c r="F63" s="2">
        <f>SUMIF('DTM DATASET'!B:B,A63,'DTM DATASET'!AS:AS)</f>
        <v>85</v>
      </c>
      <c r="G63" s="31">
        <f>SUMIF('DTM DATASET'!B:B,A63,'DTM DATASET'!AT:AT)</f>
        <v>2</v>
      </c>
      <c r="H63" s="31">
        <f t="shared" si="7"/>
        <v>11116</v>
      </c>
    </row>
    <row r="64" spans="1:10" x14ac:dyDescent="0.25">
      <c r="A64" s="1" t="s">
        <v>17</v>
      </c>
      <c r="B64" s="2">
        <f>SUMIF('DTM DATASET'!B:B,A64,'DTM DATASET'!AO:AO)</f>
        <v>11464</v>
      </c>
      <c r="C64" s="2">
        <f>SUMIF('DTM DATASET'!B:B,A64,'DTM DATASET'!AP:AP)</f>
        <v>14083</v>
      </c>
      <c r="D64" s="2">
        <f>SUMIF('DTM DATASET'!B:B,A64,'DTM DATASET'!AQ:AQ)</f>
        <v>8232</v>
      </c>
      <c r="E64" s="2">
        <f>SUMIF('DTM DATASET'!B:B,A64,'DTM DATASET'!AR:AR)</f>
        <v>13388</v>
      </c>
      <c r="F64" s="2">
        <f>SUMIF('DTM DATASET'!B:B,A64,'DTM DATASET'!AS:AS)</f>
        <v>9154</v>
      </c>
      <c r="G64" s="31">
        <f>SUMIF('DTM DATASET'!B:B,A64,'DTM DATASET'!AT:AT)</f>
        <v>5993</v>
      </c>
      <c r="H64" s="31">
        <f t="shared" si="7"/>
        <v>62314</v>
      </c>
    </row>
    <row r="65" spans="1:8" x14ac:dyDescent="0.25">
      <c r="A65" s="1" t="s">
        <v>18</v>
      </c>
      <c r="B65" s="2">
        <f>SUMIF('DTM DATASET'!B:B,A65,'DTM DATASET'!AO:AO)</f>
        <v>19</v>
      </c>
      <c r="C65" s="2">
        <f>SUMIF('DTM DATASET'!B:B,A65,'DTM DATASET'!AP:AP)</f>
        <v>220</v>
      </c>
      <c r="D65" s="2">
        <f>SUMIF('DTM DATASET'!B:B,A65,'DTM DATASET'!AQ:AQ)</f>
        <v>476</v>
      </c>
      <c r="E65" s="2">
        <f>SUMIF('DTM DATASET'!B:B,A65,'DTM DATASET'!AR:AR)</f>
        <v>200</v>
      </c>
      <c r="F65" s="2">
        <f>SUMIF('DTM DATASET'!B:B,A65,'DTM DATASET'!AS:AS)</f>
        <v>50</v>
      </c>
      <c r="G65" s="31">
        <f>SUMIF('DTM DATASET'!B:B,A65,'DTM DATASET'!AT:AT)</f>
        <v>1</v>
      </c>
      <c r="H65" s="31">
        <f t="shared" si="7"/>
        <v>966</v>
      </c>
    </row>
    <row r="66" spans="1:8" x14ac:dyDescent="0.25">
      <c r="A66" s="1" t="s">
        <v>19</v>
      </c>
      <c r="B66" s="2">
        <f>SUMIF('DTM DATASET'!B:B,A66,'DTM DATASET'!AO:AO)</f>
        <v>49</v>
      </c>
      <c r="C66" s="2">
        <f>SUMIF('DTM DATASET'!B:B,A66,'DTM DATASET'!AP:AP)</f>
        <v>240</v>
      </c>
      <c r="D66" s="2">
        <f>SUMIF('DTM DATASET'!B:B,A66,'DTM DATASET'!AQ:AQ)</f>
        <v>294</v>
      </c>
      <c r="E66" s="2">
        <f>SUMIF('DTM DATASET'!B:B,A66,'DTM DATASET'!AR:AR)</f>
        <v>152</v>
      </c>
      <c r="F66" s="2">
        <f>SUMIF('DTM DATASET'!B:B,A66,'DTM DATASET'!AS:AS)</f>
        <v>151</v>
      </c>
      <c r="G66" s="31">
        <f>SUMIF('DTM DATASET'!B:B,A66,'DTM DATASET'!AT:AT)</f>
        <v>1</v>
      </c>
      <c r="H66" s="31">
        <f t="shared" si="7"/>
        <v>887</v>
      </c>
    </row>
    <row r="67" spans="1:8" x14ac:dyDescent="0.25">
      <c r="A67" s="1" t="s">
        <v>20</v>
      </c>
      <c r="B67" s="2">
        <f>SUMIF('DTM DATASET'!B:B,A67,'DTM DATASET'!AO:AO)</f>
        <v>381</v>
      </c>
      <c r="C67" s="2">
        <f>SUMIF('DTM DATASET'!B:B,A67,'DTM DATASET'!AP:AP)</f>
        <v>9468</v>
      </c>
      <c r="D67" s="2">
        <f>SUMIF('DTM DATASET'!B:B,A67,'DTM DATASET'!AQ:AQ)</f>
        <v>2405</v>
      </c>
      <c r="E67" s="2">
        <f>SUMIF('DTM DATASET'!B:B,A67,'DTM DATASET'!AR:AR)</f>
        <v>731</v>
      </c>
      <c r="F67" s="2">
        <f>SUMIF('DTM DATASET'!B:B,A67,'DTM DATASET'!AS:AS)</f>
        <v>130</v>
      </c>
      <c r="G67" s="31">
        <f>SUMIF('DTM DATASET'!B:B,A67,'DTM DATASET'!AT:AT)</f>
        <v>0</v>
      </c>
      <c r="H67" s="31">
        <f t="shared" si="7"/>
        <v>13115</v>
      </c>
    </row>
    <row r="68" spans="1:8" x14ac:dyDescent="0.25">
      <c r="A68" s="1" t="s">
        <v>21</v>
      </c>
      <c r="B68" s="2">
        <f>SUMIF('DTM DATASET'!B:B,A68,'DTM DATASET'!AO:AO)</f>
        <v>357</v>
      </c>
      <c r="C68" s="2">
        <f>SUMIF('DTM DATASET'!B:B,A68,'DTM DATASET'!AP:AP)</f>
        <v>4969</v>
      </c>
      <c r="D68" s="2">
        <f>SUMIF('DTM DATASET'!B:B,A68,'DTM DATASET'!AQ:AQ)</f>
        <v>26067</v>
      </c>
      <c r="E68" s="2">
        <f>SUMIF('DTM DATASET'!B:B,A68,'DTM DATASET'!AR:AR)</f>
        <v>3920</v>
      </c>
      <c r="F68" s="2">
        <f>SUMIF('DTM DATASET'!B:B,A68,'DTM DATASET'!AS:AS)</f>
        <v>12128</v>
      </c>
      <c r="G68" s="31">
        <f>SUMIF('DTM DATASET'!B:B,A68,'DTM DATASET'!AT:AT)</f>
        <v>2339</v>
      </c>
      <c r="H68" s="31">
        <f t="shared" si="7"/>
        <v>49780</v>
      </c>
    </row>
    <row r="69" spans="1:8" x14ac:dyDescent="0.25">
      <c r="A69" s="1" t="s">
        <v>22</v>
      </c>
      <c r="B69" s="2">
        <f>SUMIF('DTM DATASET'!B:B,A69,'DTM DATASET'!AO:AO)</f>
        <v>32</v>
      </c>
      <c r="C69" s="2">
        <f>SUMIF('DTM DATASET'!B:B,A69,'DTM DATASET'!AP:AP)</f>
        <v>1100</v>
      </c>
      <c r="D69" s="2">
        <f>SUMIF('DTM DATASET'!B:B,A69,'DTM DATASET'!AQ:AQ)</f>
        <v>2133</v>
      </c>
      <c r="E69" s="2">
        <f>SUMIF('DTM DATASET'!B:B,A69,'DTM DATASET'!AR:AR)</f>
        <v>557</v>
      </c>
      <c r="F69" s="2">
        <f>SUMIF('DTM DATASET'!B:B,A69,'DTM DATASET'!AS:AS)</f>
        <v>181</v>
      </c>
      <c r="G69" s="31">
        <f>SUMIF('DTM DATASET'!B:B,A69,'DTM DATASET'!AT:AT)</f>
        <v>0</v>
      </c>
      <c r="H69" s="31">
        <f t="shared" si="7"/>
        <v>4003</v>
      </c>
    </row>
    <row r="70" spans="1:8" x14ac:dyDescent="0.25">
      <c r="A70" s="1" t="s">
        <v>23</v>
      </c>
      <c r="B70" s="2">
        <f>SUMIF('DTM DATASET'!B:B,A70,'DTM DATASET'!AO:AO)</f>
        <v>453</v>
      </c>
      <c r="C70" s="2">
        <f>SUMIF('DTM DATASET'!B:B,A70,'DTM DATASET'!AP:AP)</f>
        <v>5930</v>
      </c>
      <c r="D70" s="2">
        <f>SUMIF('DTM DATASET'!B:B,A70,'DTM DATASET'!AQ:AQ)</f>
        <v>7397</v>
      </c>
      <c r="E70" s="2">
        <f>SUMIF('DTM DATASET'!B:B,A70,'DTM DATASET'!AR:AR)</f>
        <v>4672</v>
      </c>
      <c r="F70" s="2">
        <f>SUMIF('DTM DATASET'!B:B,A70,'DTM DATASET'!AS:AS)</f>
        <v>10916</v>
      </c>
      <c r="G70" s="31">
        <f>SUMIF('DTM DATASET'!B:B,A70,'DTM DATASET'!AT:AT)</f>
        <v>16222</v>
      </c>
      <c r="H70" s="31">
        <f t="shared" si="7"/>
        <v>45590</v>
      </c>
    </row>
    <row r="71" spans="1:8" x14ac:dyDescent="0.25">
      <c r="A71" s="1" t="s">
        <v>24</v>
      </c>
      <c r="B71" s="2">
        <f>SUMIF('DTM DATASET'!B:B,A71,'DTM DATASET'!AO:AO)</f>
        <v>4245</v>
      </c>
      <c r="C71" s="2">
        <f>SUMIF('DTM DATASET'!B:B,A71,'DTM DATASET'!AP:AP)</f>
        <v>5218</v>
      </c>
      <c r="D71" s="2">
        <f>SUMIF('DTM DATASET'!B:B,A71,'DTM DATASET'!AQ:AQ)</f>
        <v>3838</v>
      </c>
      <c r="E71" s="2">
        <f>SUMIF('DTM DATASET'!B:B,A71,'DTM DATASET'!AR:AR)</f>
        <v>8438</v>
      </c>
      <c r="F71" s="2">
        <f>SUMIF('DTM DATASET'!B:B,A71,'DTM DATASET'!AS:AS)</f>
        <v>4354</v>
      </c>
      <c r="G71" s="31">
        <f>SUMIF('DTM DATASET'!B:B,A71,'DTM DATASET'!AT:AT)</f>
        <v>836</v>
      </c>
      <c r="H71" s="31">
        <f t="shared" si="7"/>
        <v>26929</v>
      </c>
    </row>
    <row r="72" spans="1:8" x14ac:dyDescent="0.25">
      <c r="A72" s="1" t="s">
        <v>25</v>
      </c>
      <c r="B72" s="2">
        <f>SUMIF('DTM DATASET'!B:B,A72,'DTM DATASET'!AO:AO)</f>
        <v>93</v>
      </c>
      <c r="C72" s="2">
        <f>SUMIF('DTM DATASET'!B:B,A72,'DTM DATASET'!AP:AP)</f>
        <v>388</v>
      </c>
      <c r="D72" s="2">
        <f>SUMIF('DTM DATASET'!B:B,A72,'DTM DATASET'!AQ:AQ)</f>
        <v>606</v>
      </c>
      <c r="E72" s="2">
        <f>SUMIF('DTM DATASET'!B:B,A72,'DTM DATASET'!AR:AR)</f>
        <v>238</v>
      </c>
      <c r="F72" s="2">
        <f>SUMIF('DTM DATASET'!B:B,A72,'DTM DATASET'!AS:AS)</f>
        <v>119</v>
      </c>
      <c r="G72" s="31">
        <f>SUMIF('DTM DATASET'!B:B,A72,'DTM DATASET'!AT:AT)</f>
        <v>0</v>
      </c>
      <c r="H72" s="31">
        <f t="shared" si="7"/>
        <v>1444</v>
      </c>
    </row>
    <row r="73" spans="1:8" x14ac:dyDescent="0.25">
      <c r="A73" s="1" t="s">
        <v>26</v>
      </c>
      <c r="B73" s="2">
        <f>SUMIF('DTM DATASET'!B:B,A73,'DTM DATASET'!AO:AO)</f>
        <v>66</v>
      </c>
      <c r="C73" s="2">
        <f>SUMIF('DTM DATASET'!B:B,A73,'DTM DATASET'!AP:AP)</f>
        <v>2798</v>
      </c>
      <c r="D73" s="2">
        <f>SUMIF('DTM DATASET'!B:B,A73,'DTM DATASET'!AQ:AQ)</f>
        <v>561</v>
      </c>
      <c r="E73" s="2">
        <f>SUMIF('DTM DATASET'!B:B,A73,'DTM DATASET'!AR:AR)</f>
        <v>90</v>
      </c>
      <c r="F73" s="2">
        <f>SUMIF('DTM DATASET'!B:B,A73,'DTM DATASET'!AS:AS)</f>
        <v>490</v>
      </c>
      <c r="G73" s="31">
        <f>SUMIF('DTM DATASET'!B:B,A73,'DTM DATASET'!AT:AT)</f>
        <v>0</v>
      </c>
      <c r="H73" s="31">
        <f t="shared" si="7"/>
        <v>4005</v>
      </c>
    </row>
    <row r="74" spans="1:8" x14ac:dyDescent="0.25">
      <c r="A74" s="6" t="s">
        <v>43</v>
      </c>
      <c r="B74" s="7">
        <f>SUM(B56:B73)</f>
        <v>73338</v>
      </c>
      <c r="C74" s="7">
        <f t="shared" ref="C74:F74" si="8">SUM(C56:C73)</f>
        <v>110768</v>
      </c>
      <c r="D74" s="7">
        <f t="shared" si="8"/>
        <v>126396</v>
      </c>
      <c r="E74" s="7">
        <f t="shared" si="8"/>
        <v>67154</v>
      </c>
      <c r="F74" s="7">
        <f t="shared" si="8"/>
        <v>111030</v>
      </c>
      <c r="G74" s="7">
        <f t="shared" ref="G74" si="9">SUM(G56:G73)</f>
        <v>50286</v>
      </c>
      <c r="H74" s="7">
        <f>SUM(H56:H73)</f>
        <v>538972</v>
      </c>
    </row>
    <row r="75" spans="1:8" ht="18" customHeight="1" x14ac:dyDescent="0.25"/>
  </sheetData>
  <mergeCells count="12">
    <mergeCell ref="A1:B1"/>
    <mergeCell ref="D6:E6"/>
    <mergeCell ref="D8:E8"/>
    <mergeCell ref="B10:L10"/>
    <mergeCell ref="B54:G54"/>
    <mergeCell ref="B32:J32"/>
    <mergeCell ref="D1:E1"/>
    <mergeCell ref="D2:E2"/>
    <mergeCell ref="D3:E3"/>
    <mergeCell ref="D4:E4"/>
    <mergeCell ref="D5:E5"/>
    <mergeCell ref="D7:E7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ROA Victoria</cp:lastModifiedBy>
  <dcterms:created xsi:type="dcterms:W3CDTF">2015-10-27T08:28:00Z</dcterms:created>
  <dcterms:modified xsi:type="dcterms:W3CDTF">2016-10-26T14:34:03Z</dcterms:modified>
</cp:coreProperties>
</file>