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iomint-my.sharepoint.com/personal/izong-naba_iom_int/Documents/Data/CMR/ETT/"/>
    </mc:Choice>
  </mc:AlternateContent>
  <xr:revisionPtr revIDLastSave="37" documentId="13_ncr:1_{6ED1E2BF-53E5-4FD7-ACCC-312F27E6B614}" xr6:coauthVersionLast="45" xr6:coauthVersionMax="45" xr10:uidLastSave="{FDF92A88-3520-4F5B-B5B0-6BF49BD04795}"/>
  <bookViews>
    <workbookView xWindow="28680" yWindow="-120" windowWidth="29040" windowHeight="15840" xr2:uid="{00000000-000D-0000-FFFF-FFFF00000000}"/>
  </bookViews>
  <sheets>
    <sheet name="EVENEMENTS" sheetId="2" r:id="rId1"/>
    <sheet name="MOUVEMENTS INATTENDUS" sheetId="3" r:id="rId2"/>
    <sheet name="ANALYSE_Evènements" sheetId="6" r:id="rId3"/>
    <sheet name="ANALYSE_Mouvements inattendus" sheetId="7" r:id="rId4"/>
  </sheets>
  <definedNames>
    <definedName name="_xlnm._FilterDatabase" localSheetId="2" hidden="1">ANALYSE_Evènements!$B$98:$G$98</definedName>
    <definedName name="_xlnm._FilterDatabase" localSheetId="3" hidden="1">'ANALYSE_Mouvements inattendus'!$B$83:$F$83</definedName>
    <definedName name="_xlnm._FilterDatabase" localSheetId="0" hidden="1">EVENEMENTS!$A$1:$AM$17</definedName>
    <definedName name="_xlnm._FilterDatabase" localSheetId="1" hidden="1">'MOUVEMENTS INATTENDUS'!$A$1:$AK$6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5" i="7" l="1"/>
  <c r="E84" i="7"/>
  <c r="E80" i="7"/>
  <c r="E79" i="7"/>
  <c r="E74" i="7"/>
  <c r="E70" i="7"/>
  <c r="E73" i="7"/>
  <c r="E78" i="7"/>
  <c r="E77" i="7"/>
  <c r="E76" i="7"/>
  <c r="E75" i="7"/>
  <c r="E72" i="7"/>
  <c r="E69" i="7"/>
  <c r="E68" i="7"/>
  <c r="E71" i="7"/>
  <c r="G58" i="7"/>
  <c r="F62" i="7"/>
  <c r="F61" i="7"/>
  <c r="F60" i="7"/>
  <c r="F59" i="7"/>
  <c r="F57" i="7"/>
  <c r="F56" i="7"/>
  <c r="F58" i="7"/>
  <c r="E50" i="7"/>
  <c r="E51" i="7"/>
  <c r="E49" i="7"/>
  <c r="F44" i="7"/>
  <c r="F43" i="7"/>
  <c r="F42" i="7"/>
  <c r="E43" i="7"/>
  <c r="E44" i="7"/>
  <c r="E42" i="7"/>
  <c r="E37" i="7"/>
  <c r="E32" i="7"/>
  <c r="E36" i="7"/>
  <c r="E35" i="7"/>
  <c r="E34" i="7"/>
  <c r="E31" i="7"/>
  <c r="E33" i="7"/>
  <c r="E25" i="7"/>
  <c r="E24" i="7"/>
  <c r="E23" i="7"/>
  <c r="E22" i="7"/>
  <c r="E21" i="7"/>
  <c r="E20" i="7"/>
  <c r="E19" i="7"/>
  <c r="G14" i="7"/>
  <c r="G13" i="7"/>
  <c r="G8" i="7"/>
  <c r="G7" i="7"/>
  <c r="G6" i="7"/>
  <c r="B1" i="7"/>
  <c r="H117" i="6"/>
  <c r="H116" i="6"/>
  <c r="H115" i="6"/>
  <c r="H114" i="6"/>
  <c r="H113" i="6"/>
  <c r="G117" i="6"/>
  <c r="G116" i="6"/>
  <c r="G115" i="6"/>
  <c r="G114" i="6"/>
  <c r="G113" i="6"/>
  <c r="H112" i="6"/>
  <c r="H111" i="6"/>
  <c r="G112" i="6"/>
  <c r="G111" i="6"/>
  <c r="F117" i="6"/>
  <c r="F116" i="6"/>
  <c r="F115" i="6"/>
  <c r="F114" i="6"/>
  <c r="F113" i="6"/>
  <c r="F112" i="6"/>
  <c r="F111" i="6"/>
  <c r="F107" i="6"/>
  <c r="F106" i="6"/>
  <c r="F101" i="6"/>
  <c r="F105" i="6"/>
  <c r="F102" i="6"/>
  <c r="F103" i="6"/>
  <c r="F104" i="6"/>
  <c r="F100" i="6"/>
  <c r="F99" i="6"/>
  <c r="F94" i="6"/>
  <c r="E94" i="6"/>
  <c r="D94" i="6"/>
  <c r="E89" i="6"/>
  <c r="E88" i="6"/>
  <c r="E87" i="6"/>
  <c r="E86" i="6"/>
  <c r="E84" i="6"/>
  <c r="E85" i="6"/>
  <c r="E83" i="6"/>
  <c r="F78" i="6"/>
  <c r="E78" i="6"/>
  <c r="D78" i="6"/>
  <c r="E67" i="6"/>
  <c r="E68" i="6"/>
  <c r="E69" i="6"/>
  <c r="E70" i="6"/>
  <c r="E71" i="6"/>
  <c r="E66" i="6"/>
  <c r="E65" i="6"/>
  <c r="E60" i="6"/>
  <c r="E59" i="6"/>
  <c r="E58" i="6"/>
  <c r="E55" i="6"/>
  <c r="E56" i="6"/>
  <c r="E54" i="6"/>
  <c r="E57" i="6"/>
  <c r="E51" i="6"/>
  <c r="E50" i="6"/>
  <c r="E53" i="6"/>
  <c r="E49" i="6"/>
  <c r="E52" i="6"/>
  <c r="E48" i="6"/>
  <c r="D8" i="6"/>
  <c r="D7" i="6"/>
  <c r="D18" i="6"/>
  <c r="D17" i="6"/>
  <c r="D16" i="6"/>
  <c r="C18" i="6"/>
  <c r="C17" i="6"/>
  <c r="C16" i="6"/>
  <c r="F29" i="6"/>
  <c r="F28" i="6"/>
  <c r="F26" i="6"/>
  <c r="F27" i="6"/>
  <c r="F25" i="6"/>
  <c r="F38" i="6"/>
  <c r="F40" i="6"/>
  <c r="F42" i="6"/>
  <c r="G42" i="6" s="1"/>
  <c r="F39" i="6"/>
  <c r="F41" i="6"/>
  <c r="F35" i="6"/>
  <c r="F37" i="6"/>
  <c r="F36" i="6"/>
  <c r="G36" i="6" s="1"/>
  <c r="F34" i="6"/>
  <c r="G35" i="6" l="1"/>
  <c r="G40" i="6"/>
  <c r="G102" i="6"/>
  <c r="G101" i="6"/>
  <c r="G37" i="6"/>
  <c r="G41" i="6"/>
  <c r="G39" i="6"/>
  <c r="G34" i="6"/>
  <c r="G38" i="6"/>
  <c r="G100" i="6"/>
  <c r="G104" i="6"/>
  <c r="G103" i="6"/>
  <c r="G105" i="6"/>
  <c r="G106" i="6"/>
  <c r="G99" i="6"/>
  <c r="G107" i="6"/>
  <c r="E86" i="7"/>
  <c r="F84" i="7" s="1"/>
  <c r="E52" i="7"/>
  <c r="F50" i="7" s="1"/>
  <c r="E45" i="7"/>
  <c r="G9" i="7"/>
  <c r="F78" i="7" s="1"/>
  <c r="H7" i="7"/>
  <c r="F68" i="7"/>
  <c r="F70" i="7"/>
  <c r="G62" i="7"/>
  <c r="G56" i="7"/>
  <c r="F79" i="7"/>
  <c r="G60" i="7"/>
  <c r="G59" i="7"/>
  <c r="F76" i="7"/>
  <c r="F75" i="7"/>
  <c r="F71" i="7"/>
  <c r="G61" i="7"/>
  <c r="E38" i="7"/>
  <c r="E26" i="7"/>
  <c r="F20" i="7" s="1"/>
  <c r="F86" i="6"/>
  <c r="F48" i="6"/>
  <c r="F56" i="6"/>
  <c r="I117" i="6"/>
  <c r="I116" i="6"/>
  <c r="I115" i="6"/>
  <c r="I114" i="6"/>
  <c r="I113" i="6"/>
  <c r="I112" i="6"/>
  <c r="F89" i="6"/>
  <c r="F87" i="6"/>
  <c r="F88" i="6"/>
  <c r="F53" i="6"/>
  <c r="F50" i="6"/>
  <c r="F83" i="6"/>
  <c r="F85" i="6"/>
  <c r="F84" i="6"/>
  <c r="F60" i="6"/>
  <c r="F52" i="6"/>
  <c r="F59" i="6"/>
  <c r="F51" i="6"/>
  <c r="F57" i="6"/>
  <c r="F54" i="6"/>
  <c r="F55" i="6"/>
  <c r="F49" i="6"/>
  <c r="F58" i="6"/>
  <c r="D9" i="6"/>
  <c r="E7" i="6" s="1"/>
  <c r="E18" i="6"/>
  <c r="E17" i="6"/>
  <c r="E16" i="6"/>
  <c r="D19" i="6"/>
  <c r="F30" i="6"/>
  <c r="G27" i="6" s="1"/>
  <c r="C19" i="6"/>
  <c r="I111" i="6"/>
  <c r="E72" i="6"/>
  <c r="F65" i="6" s="1"/>
  <c r="F85" i="7" l="1"/>
  <c r="F51" i="7"/>
  <c r="F49" i="7"/>
  <c r="F52" i="7" s="1"/>
  <c r="F32" i="7"/>
  <c r="F23" i="7"/>
  <c r="F36" i="7"/>
  <c r="F31" i="7"/>
  <c r="F21" i="7"/>
  <c r="F24" i="7"/>
  <c r="F19" i="7"/>
  <c r="F37" i="7"/>
  <c r="F22" i="7"/>
  <c r="F33" i="7"/>
  <c r="F25" i="7"/>
  <c r="H6" i="7"/>
  <c r="F72" i="7"/>
  <c r="F80" i="7"/>
  <c r="G57" i="7"/>
  <c r="F73" i="7"/>
  <c r="F74" i="7"/>
  <c r="H8" i="7"/>
  <c r="F77" i="7"/>
  <c r="F69" i="7"/>
  <c r="F34" i="7"/>
  <c r="F86" i="7"/>
  <c r="F35" i="7"/>
  <c r="G25" i="6"/>
  <c r="F68" i="6"/>
  <c r="E8" i="6"/>
  <c r="E9" i="6" s="1"/>
  <c r="E19" i="6"/>
  <c r="G28" i="6"/>
  <c r="F67" i="6"/>
  <c r="G26" i="6"/>
  <c r="G29" i="6"/>
  <c r="F69" i="6"/>
  <c r="F70" i="6"/>
  <c r="F66" i="6"/>
  <c r="F71" i="6"/>
  <c r="F26" i="7" l="1"/>
  <c r="F38" i="7"/>
  <c r="H9" i="7"/>
  <c r="F72" i="6"/>
  <c r="G30" i="6"/>
</calcChain>
</file>

<file path=xl/sharedStrings.xml><?xml version="1.0" encoding="utf-8"?>
<sst xmlns="http://schemas.openxmlformats.org/spreadsheetml/2006/main" count="1151" uniqueCount="347">
  <si>
    <t>A1. Date de l’évaluation:</t>
  </si>
  <si>
    <t>A4. Région de l’enquête:</t>
  </si>
  <si>
    <t>A5. Département de l’enquête:</t>
  </si>
  <si>
    <t>A6. Arrondissement de l’enquête:</t>
  </si>
  <si>
    <t>A7. Nom du Village / localité</t>
  </si>
  <si>
    <t>B1. Evénement ou Prévention?</t>
  </si>
  <si>
    <t>C1.1. Quel est le type d'évenement rapporté?</t>
  </si>
  <si>
    <t>C1.1.1. Si autre type, precisez</t>
  </si>
  <si>
    <t>C1.2. Explication succincte de l’évènement (type et raisons) (2 phrases) ?</t>
  </si>
  <si>
    <t>C1.3. Date de l'événement?</t>
  </si>
  <si>
    <t>C1.4. Heure approximative de l'événement?</t>
  </si>
  <si>
    <t>C1.5. Raison(s) de l’évènement ? (Si conflit agro-pastoral en C.1.1) (3 réponses possibles)</t>
  </si>
  <si>
    <t>C1.5.1. Si autre raison, precisez</t>
  </si>
  <si>
    <t>C1.6. Quels sont les acteurs impliqués directement dans cet évènement ? (Plusieurs réponses possibles)</t>
  </si>
  <si>
    <t>C1.6.1. Si Réfugiés, précisez la nationalité</t>
  </si>
  <si>
    <t>C1.6.1.1. Si autre pays, precisez</t>
  </si>
  <si>
    <t>C1.6.2. Si Autorités nationales et/ou locales, précisez ?</t>
  </si>
  <si>
    <t>C1.6.3. Si autre acteur, precisez</t>
  </si>
  <si>
    <t>C1.7. L’évènement est-il résolu?</t>
  </si>
  <si>
    <t>C1.8. Si Oui, qui a résolu ce conflit (Plusieurs réponses possibles)</t>
  </si>
  <si>
    <t>C1.8.1. Si autre comité de gestion des conflits, precisez la localité</t>
  </si>
  <si>
    <t>C1.8.2. Si Autorités nationales et/ou locales, précisez ?</t>
  </si>
  <si>
    <t>C1.8.3. Si Leaders communautaires / Chef coutumier, précisez ?</t>
  </si>
  <si>
    <t>C1.8.4. Si autre, precisez l'acteur.</t>
  </si>
  <si>
    <t>C1.9. Des risques de représailles ou reprise du conflit demeurent-ils ?</t>
  </si>
  <si>
    <t>C1.9.2. Si autre, precisez la mesure d'apaisement</t>
  </si>
  <si>
    <t>C2.1 Y’a-t-il eu des déplacés liés à ce conflit ?</t>
  </si>
  <si>
    <t>C2.2. Si OUI, où sont-ils allés ? (Arrondissement)</t>
  </si>
  <si>
    <t>C2.3. Y’a-t-il eu des pertes en vies humaines ou des blessés suite à cet évènement ?</t>
  </si>
  <si>
    <t>C3.1.Perte ou destruction : Habitat</t>
  </si>
  <si>
    <t>C3.2.Perte ou destruction : Cultures/Fourage/Intrants</t>
  </si>
  <si>
    <t>C3.3.Perte ou destruction : Outils agricoles</t>
  </si>
  <si>
    <t>C3.4.Perte ou destruction : Betails</t>
  </si>
  <si>
    <t>C3.5.Perte ou destruction : Autres structures agricole( puits, etc)</t>
  </si>
  <si>
    <t>D1.1. Type de mouvement ?</t>
  </si>
  <si>
    <t>D1.1.1 Si autre mouvement, spécifiez :</t>
  </si>
  <si>
    <t>D1.2. Combien de personnes accompagnent les troupeaux ?</t>
  </si>
  <si>
    <t>D1.3. Quelle est la taille du troupeau ? (estimatoin du nombre de bêtes)</t>
  </si>
  <si>
    <t>D2.1. Pays de provenance du troupeau</t>
  </si>
  <si>
    <t>D2.1. Autre pays de provenance du troupeau</t>
  </si>
  <si>
    <t>D2.2. Région de provenance du troupeau</t>
  </si>
  <si>
    <t>D2.3. Département de provenance du troupeau</t>
  </si>
  <si>
    <t>D2.4. Arrondissement de provenance du troupeau</t>
  </si>
  <si>
    <t>D3.1. Pays de destination du troupeau</t>
  </si>
  <si>
    <t>D3.1.1. Autre pays de destination du troupeau</t>
  </si>
  <si>
    <t>D3.2. Région de destination du troupeau</t>
  </si>
  <si>
    <t>D3.3. Département de destination du troupeau</t>
  </si>
  <si>
    <t>D3.4. Arrondissement de destination du troupeau</t>
  </si>
  <si>
    <t>D4.1. Quels sont les risques potentiels associés à ce mouvement ? (Plusieurs réponses possibles)</t>
  </si>
  <si>
    <t>D4.1.1. Si autre type de conflit, précisez</t>
  </si>
  <si>
    <t>D4.2. Quelle est la probabilité que ce risque potentiel se concrétise ? (Estimation)</t>
  </si>
  <si>
    <t>D4.3. Quels sont les risques liés au passage de ce mouvement ? (Plusieurs réponses possibles)</t>
  </si>
  <si>
    <t>D4.3.1. Si autres, précisez</t>
  </si>
  <si>
    <t>D4.4.1. Si Réfugiés, précisez la nationalité</t>
  </si>
  <si>
    <t>D4.4.1.1. Si autre pays, precisez</t>
  </si>
  <si>
    <t>D4.4.2. Si Autorités nationales et/ou locales, précisez ?</t>
  </si>
  <si>
    <t>D4.4.1. Si autres, précisez</t>
  </si>
  <si>
    <t>D4.5. Dans quelles localités pensez-vous que ce potentiel évènement se produira ?</t>
  </si>
  <si>
    <t>D4.5.1. Précisez ces localités</t>
  </si>
  <si>
    <t>D4.5.2. Précisez la zone</t>
  </si>
  <si>
    <t>2020-08-25</t>
  </si>
  <si>
    <t>Nord</t>
  </si>
  <si>
    <t>Mayo-Rey</t>
  </si>
  <si>
    <t>Touboro</t>
  </si>
  <si>
    <t>Bogdibo/Bitok</t>
  </si>
  <si>
    <t>Evénement</t>
  </si>
  <si>
    <t>Conflit agro-pastoral</t>
  </si>
  <si>
    <t>Incursion des animaux dans les champs. Ceci est dû au fait que les zones de pâturages ne sont pas délimitées et balisées. Ladite localité est plus agricole que pastorale donc les éleveurs ont du mal à trouver les espaces pour paitre leurs bétails.</t>
  </si>
  <si>
    <t>16h</t>
  </si>
  <si>
    <t>Dégâts sur les cultures Parcours de transhumance inaccessibles (mis en culture, etc.) Problèmes d’accès à l’eau des groupes pastoraux et leur bétail</t>
  </si>
  <si>
    <t>Oui</t>
  </si>
  <si>
    <t>Résolution à l'amiable Autorités locales et/ou nationales</t>
  </si>
  <si>
    <t>A l'issu de descente de terrain par la commission mise sur pied par le sous-préfet,  un PV (procès-verbal ) est élaboré et signé par toutes les parties impliquées  dans la résolution du conflit. Celui est fait en plusieurs copies et chaque participant garde un.</t>
  </si>
  <si>
    <t>Non</t>
  </si>
  <si>
    <t>Dialogue entre les acteurs impliqués Restauration des espaces pastoraux Balisage des routes de transhumance</t>
  </si>
  <si>
    <t>Dans cette localité, les pistes à bétail sont quasi inexistants et il y a manque significative des infrastructures d'élevage. Les éleveurs  en saison pluvieuse ont du mal à faire  paître  leurs animaux. Certes la localité  est dominée  par les agriculteurs mais le manque des couloirs et zones de pâturage créent les conflits  entre  ces acteurs.</t>
  </si>
  <si>
    <t>Bogdibo/Laoudjoukoye</t>
  </si>
  <si>
    <t>L'introduction des animaux dans les champs est à l'origine du conflit agropastoral dans ladite localité. Ceci est dû à la non délimitation des zones de pâturage et aires de repos des animaux.les anciens pistes sont complètement détruits et occupés par les agriculteurs. Ceci ne laisse pas trop de choix aux animaux de pénétrer dans les champs à proximité. Les gardiens  des aires protégés n'hésitent pas à abattre les animaux qui pénètrent dans les ces espaces protégés.</t>
  </si>
  <si>
    <t>2020-08-17</t>
  </si>
  <si>
    <t>14h</t>
  </si>
  <si>
    <t>Dégâts sur les cultures Problèmes d’accès à l’eau des groupes pastoraux et leur bétail Parcours de transhumance inaccessibles (mis en culture, etc.)</t>
  </si>
  <si>
    <t>Autorités locales et/ou nationales</t>
  </si>
  <si>
    <t>La commission conduite par le sous-préfet a effectué une descente sur le site de dégât afin de constater son ampleur et de faire une évaluation consensuelle. Cet exercice est sanctionné d'un PV qui est lu et signé par les membres de ladite commission. Une copie est remise à chacun des membres.</t>
  </si>
  <si>
    <t>Le manque de pistes à bétail couplé au manque d'infrastructures d'élevage (puits pastoraux, abreuvoirs, aires de pâturages...etc) sont les facteurs qui favorisent le conflit agropastoral  dans cette localité. La délimitation anarchique des champs par les riverains accentue cette tension entre les éleveurs et les agriculteurs.</t>
  </si>
  <si>
    <t>2020-08-24</t>
  </si>
  <si>
    <t>Madingring</t>
  </si>
  <si>
    <t>Gor/Djemadjou</t>
  </si>
  <si>
    <t>Les animaux sont illégalement entrés dans les champs des agriculteurs au cours de leur passage. Ils ont ainsi détruit les cultures dans les différents champs où ils sont entrés. Par le passé des couloirs de transhumance existaient mais du fait de non balisage ils ne sont plus praticables.</t>
  </si>
  <si>
    <t>18h</t>
  </si>
  <si>
    <t>Dégâts sur les cultures Non-utilisation des couloirs de transhumances officiels Parcours de transhumance inaccessibles (mis en culture, etc.)</t>
  </si>
  <si>
    <t>Leaders communautaires / chef coutumier</t>
  </si>
  <si>
    <t>Le chef de village après avoir convoqué les différentes parties impliquées, demande réparation au propriétaire du bétail sur la base de l'évaluation formulée par les notables.</t>
  </si>
  <si>
    <t>Dialogue entre les acteurs impliqués Balisage des routes de transhumance Réhabilitation des infrastructures</t>
  </si>
  <si>
    <t>RAS</t>
  </si>
  <si>
    <t>Gor</t>
  </si>
  <si>
    <t>Les animaux sont sortis du piste de transhumance qui ne sont pas balisés et se sont retrouvés dans les champs le long des ces parcours. Ceci a ainsi entraîné  la destruction des cultures en place.</t>
  </si>
  <si>
    <t>09h</t>
  </si>
  <si>
    <t>La commission conduite par le Représentant du sous-préfet a fait une descente du terrain pour evaluer le dégât engendré par le conflit. A l'issu des discussions un procès-verbal a été rédigé et les différents acteurs ont signé ledit document et ont gardé chacun une copie.</t>
  </si>
  <si>
    <t>Dialogue entre les acteurs impliqués Réhabilitation des infrastructures Balisage des routes de transhumance</t>
  </si>
  <si>
    <t>La non matérialisation des pistes à bétail et le manque des infrastructures d'élevage (forage, puit pastoral, parcs...) sont les principaux causes du conflit entre les agriculteurs et les éleveurs dans cette localité.</t>
  </si>
  <si>
    <t>Madingring/Maikirou</t>
  </si>
  <si>
    <t>Les aires de pâturage ont été occupées par les agriculteurs à cause de sa fertilité, ceci a engendré le manque d'espace pour les animaux. Les éleveurs ont ainsi commencé à avoir de problème pour paître leurs bétails.</t>
  </si>
  <si>
    <t>10h</t>
  </si>
  <si>
    <t>Dégâts sur les cultures Autre(s)</t>
  </si>
  <si>
    <t>La fertilité du sol due à la présence des animaux, a poussé les agriculteurs à conquerir ces nouvelles terres.</t>
  </si>
  <si>
    <t>Ne sait pas</t>
  </si>
  <si>
    <t>L'affectation des terres aux agriculteurs s'est faite avec la complicité des chefs traditionnels. Ceci rend difficile l'accès au pâturage pour les éleveurs, entraînant ainsi leur mouvement vers d'autres localités.</t>
  </si>
  <si>
    <t>2020-08-14</t>
  </si>
  <si>
    <t>Est</t>
  </si>
  <si>
    <t>Lom-Et-Djerem</t>
  </si>
  <si>
    <t>Garoua-Boulaï</t>
  </si>
  <si>
    <t>Gbabio</t>
  </si>
  <si>
    <t>Un cultivateur  n'ayant pas respecter la delimitation des zones agro-pastoraux  a vu son champs devasté par un troupeau qui est de passage dans les lieux normalement reserver pour l'agriculture.</t>
  </si>
  <si>
    <t xml:space="preserve">13 heure </t>
  </si>
  <si>
    <t>Dégâts sur les cultures Parcours de transhumance inaccessibles (mis en culture, etc.)</t>
  </si>
  <si>
    <t>D'après les renseignements qui nous ont été Fournis par l'informateur clé ,le conflit a été géré par le chef de village et les different acteurs de manière à eviter une éventuelle reprise de conflit.</t>
  </si>
  <si>
    <t>Mbonga</t>
  </si>
  <si>
    <t>Mouvement inattendu (Prévention)</t>
  </si>
  <si>
    <t>Mouvement précoce ou tardif par rapport au calendrier de transhumance</t>
  </si>
  <si>
    <t>Cameroun</t>
  </si>
  <si>
    <t>Adamaoua</t>
  </si>
  <si>
    <t>Mbere</t>
  </si>
  <si>
    <t>Meiganga</t>
  </si>
  <si>
    <t>Probable</t>
  </si>
  <si>
    <t>Dégâts sur les cultures Non-utilisation des couloirs de transhumances officiels</t>
  </si>
  <si>
    <t>Agriculteurs Bergers Autorités traditionnelles Groupes pastoraux en transhumance</t>
  </si>
  <si>
    <t>Dans plusieurs des localités traversées</t>
  </si>
  <si>
    <t>De Mbonga à Garoua-Boulaï</t>
  </si>
  <si>
    <t>Selon le chef du village, ce genre de mouvement cause souvent des accident de circulation sur la RN1, vu que le troupeau empreinte la route au lieu des couloirs  de transhumance.</t>
  </si>
  <si>
    <t>Conflit agro-pastoral Tensions intercommunautaires</t>
  </si>
  <si>
    <t>Agriculteurs Eleveurs Camerounais Bergers Autorités traditionnelles</t>
  </si>
  <si>
    <t xml:space="preserve">Mboussa à Garoua-Boulaï </t>
  </si>
  <si>
    <t xml:space="preserve">Les passages se font généralement chaque Mardi. Dans ce cas, ce mouvement précoce pourrait causé des dommage aux différentes communautés des villages dans lesquels ils traversent. </t>
  </si>
  <si>
    <t>Mouvement massif</t>
  </si>
  <si>
    <t xml:space="preserve">De Mboussa à Garoua-Boulaï </t>
  </si>
  <si>
    <t xml:space="preserve">Dans la journée du 24 Août, vers 14 heures, quatre troupeaux constitué de 40 tête par troupeau et conduit  par 04 bergers. Ces troupeaux se dirigent vers Garoua-Boulaï pour commercialisation. </t>
  </si>
  <si>
    <t>2020-08-16</t>
  </si>
  <si>
    <t>Groupes pastoraux en transhumance Agriculteurs Autorités traditionnelles Bergers</t>
  </si>
  <si>
    <t>Le passage etait précoce selon le chef de village Mbonga. Ce qui peut créer un conflit dans son village ou le village voisin.</t>
  </si>
  <si>
    <t>2020-08-26</t>
  </si>
  <si>
    <t>Kadey</t>
  </si>
  <si>
    <t>Kette</t>
  </si>
  <si>
    <t>Roma</t>
  </si>
  <si>
    <t>Le champ d'arachide de monsieur Delté a été dévasté  par le troupeau de bœufs de Monsieur Hamadou Abdallah</t>
  </si>
  <si>
    <t>Dégâts sur les cultures</t>
  </si>
  <si>
    <t>Agriculteurs Bergers</t>
  </si>
  <si>
    <t>Résolution à l'amiable</t>
  </si>
  <si>
    <t>Dialogue entre les acteurs impliqués</t>
  </si>
  <si>
    <t>Ngalimama</t>
  </si>
  <si>
    <t>Destruction de champ tabac de  Gaston par les troupeau des bœufs de monsieur Hamadou Bouba</t>
  </si>
  <si>
    <t>15h</t>
  </si>
  <si>
    <t>Dialogue entre les acteurs impliqués Autre(s)</t>
  </si>
  <si>
    <t>L'éleveur a acheté le fils à barbelés pour que le  cultivateur clôture son champ</t>
  </si>
  <si>
    <t>Nabongué</t>
  </si>
  <si>
    <t>Les troupeaux de  monsieur  ousmanou Dantiré ont dévasté le champ de manioc de monsieur weti</t>
  </si>
  <si>
    <t>17H</t>
  </si>
  <si>
    <t>Autorités locales et/ou nationales Résolution à l'amiable</t>
  </si>
  <si>
    <t>Gendarmerie</t>
  </si>
  <si>
    <t>Kolbounga</t>
  </si>
  <si>
    <t>Les chèvres de Zakaria ont dévasté le  champ de manioc de Goliké Emile</t>
  </si>
  <si>
    <t>Conflit autour des parcelles entre les éleveurs et agriculteurs</t>
  </si>
  <si>
    <t>Timangolo</t>
  </si>
  <si>
    <t>Troupeau de monsieur oumarou ont dévasté le champ de  manioc  de monsieur  Egui</t>
  </si>
  <si>
    <t>Les chèvres de monsieur ousmanou ont détruit le champ de manioc de  madame  Aissatou  Idrissa</t>
  </si>
  <si>
    <t>9h</t>
  </si>
  <si>
    <t>Achat des boutures de manioc par monsieur ousmanou à  Aissatou</t>
  </si>
  <si>
    <t>Mama 2</t>
  </si>
  <si>
    <t>Ibrahima Egui ayant des troupeaux de bœufs qui ont dévasté le champ de manioc et  maïs  de Ibrahima Bouba</t>
  </si>
  <si>
    <t>17h</t>
  </si>
  <si>
    <t>Chef traditionnel ( Djaouro)</t>
  </si>
  <si>
    <t>Bengoté</t>
  </si>
  <si>
    <t>Autre type de conflit</t>
  </si>
  <si>
    <t>Conflit au chantier d'or que modia estime que son voisin lui a volé de l'or dans sa piscine</t>
  </si>
  <si>
    <t>Mondia se plaint de son voisin qui a volé son or dans sa piscine</t>
  </si>
  <si>
    <t>22h</t>
  </si>
  <si>
    <t>Autre(s)</t>
  </si>
  <si>
    <t xml:space="preserve">Immigré </t>
  </si>
  <si>
    <t>Mbassi</t>
  </si>
  <si>
    <t xml:space="preserve"> Suite à une dévastation du champs d'un villageois M. Wafo Emmanuel par les bêtes appartenant a Aladji Abacha. Malgré la convocation de Aladji Abacha par le chef de village Mbassi pour trancher l'affaire, ce denier réfuse de se présenter. Face à ce réfus, l'affaire a été référé à la sous préfecture de GAROUA-BOULAÏ.</t>
  </si>
  <si>
    <t xml:space="preserve">11 heure </t>
  </si>
  <si>
    <t>Dégâts sur les cultures Compétition autour des ressources animales</t>
  </si>
  <si>
    <t>Ras</t>
  </si>
  <si>
    <t>La gendarmerie a confisqué les pièces de  monsieur weti. Ces pièces  lui ont été remise après payement des dégats</t>
  </si>
  <si>
    <t>Monsieur weti promet à Zakaria le règlement à sa manière</t>
  </si>
  <si>
    <t>Les éleveurs demandent aux cultivateurs de libérer leurs  terrains sinon ils ne cesseront pas de faire le problème</t>
  </si>
  <si>
    <t>L'éleveur promet au cultivateur de venir cette fois dévasté tout le champ</t>
  </si>
  <si>
    <t>Le voisin de  Mondia lui promet la mort</t>
  </si>
  <si>
    <t>Selon nos sources d'informations (chef de village, informateur clé), ce conflit devrait être gérer au niveau du village, malheureusement le propriétaire des bêtes réfuse de répondre à l'Appel du chef. Alors le chef est obligé de tranferer l'affaire à la sous prefecture de Garoua-Boulaï.</t>
  </si>
  <si>
    <t>Tchad</t>
  </si>
  <si>
    <t>Congo</t>
  </si>
  <si>
    <t>Très probable</t>
  </si>
  <si>
    <t>Bergers Agriculteurs Autorités nationales et/ou locales Forces de maintien de l’ordre</t>
  </si>
  <si>
    <t>Dans une zone spécifique</t>
  </si>
  <si>
    <t xml:space="preserve">Le troupeau  a dévasté un champ de manioc, maïs et tabac à Timangolo. Les bergers ont été  poursuivi par les gendarmes. Mais ils n'ont pas été  rattrapés </t>
  </si>
  <si>
    <t>Mouvement inattendu</t>
  </si>
  <si>
    <t>TOTAL</t>
  </si>
  <si>
    <t>Risques de représailles</t>
  </si>
  <si>
    <t>Les animaux sont sortis des pistes de transhumance qui ne sont pas balisés et se sont retrouvés dans les champs le long des ces parcours. Ceci a ainsi entraîné la destruction des cultures en place.</t>
  </si>
  <si>
    <t>La commission conduite par le Représentant du sous-préfet a fait une descente du terrain pour évaluer le dégât engendré par le conflit. A l'issu des discussions un procès-verbal a été rédigé et les différents acteurs ont signé ledit document et ont gardé chacun une copie.</t>
  </si>
  <si>
    <t>La non matérialisation des pistes à bétail et le manque des infrastructures d'élevage (forage, puit pastoral, parcs...) sont les principales causes du conflit entre les agriculteurs et les éleveurs dans cette localité.</t>
  </si>
  <si>
    <t>La fertilité du sol due à la présence des animaux, a poussé les agriculteurs à conquérir ces nouvelles terres.</t>
  </si>
  <si>
    <t>Un cultivateur  n'ayant pas respecter la délimitation des zones agro-pastoraux  a vu son champs dévasté par un troupeau qui est de passage dans les lieux normalement réserver pour l'agriculture.</t>
  </si>
  <si>
    <t>D'après les renseignements qui nous ont été fournis par l'informateur clé ,le conflit a été géré par le chef de village et les différents acteurs de manière à éviter une éventuelle reprise de conflit.</t>
  </si>
  <si>
    <t>2020-08-27</t>
  </si>
  <si>
    <t>Maïkiro</t>
  </si>
  <si>
    <t>Conflit agropastoral du a la piste de transhumance occupée part les cultures</t>
  </si>
  <si>
    <t>Groupes pastoraux en transhumance Agriculteurs</t>
  </si>
  <si>
    <t>2020-08-29</t>
  </si>
  <si>
    <t>Tibao</t>
  </si>
  <si>
    <t>Conflit entre gestionnaires de parc et éleveurs tchadiens</t>
  </si>
  <si>
    <t>Les gestionnaires du parc de Bouba Djida ont abattu les bœufs ayant pénétrés dans le parc</t>
  </si>
  <si>
    <t>8h</t>
  </si>
  <si>
    <t>Gestionnaires de parcs Autre(s)</t>
  </si>
  <si>
    <t>Eleveurs tchadiens non transhumant mais présent en permanence dans la localité</t>
  </si>
  <si>
    <t>Trouver une autre aire de pâturage aux  bergers tchadiens afin qu'ils s'éloignent du parc de boubadjida</t>
  </si>
  <si>
    <t>Les éleveurs Tchadiens évitent toute réclamation de peur d'être confronter aux autorités locales et au gestionnaire du parc</t>
  </si>
  <si>
    <t>2020-08-28</t>
  </si>
  <si>
    <t>Beker-chantier</t>
  </si>
  <si>
    <t xml:space="preserve">Conflit entre les bergers et les motos taximans au sujet de la route empruntée par les bétails et les motos </t>
  </si>
  <si>
    <t>Autre(s) Conflit autour de l’exploitation des ressources naturelles (bois, etc.)</t>
  </si>
  <si>
    <t>Conflit autour des ressources naturelles : la route</t>
  </si>
  <si>
    <t>Bergers Autre(s)</t>
  </si>
  <si>
    <t>Motos taximans</t>
  </si>
  <si>
    <t>Il faut baliser les pistes afin de séparer les pistes des bétails et des véhicules</t>
  </si>
  <si>
    <t>Molé</t>
  </si>
  <si>
    <t>La destruction des champs d'ignames par les bétails venant du Tchad</t>
  </si>
  <si>
    <t>11h</t>
  </si>
  <si>
    <t>Le champ est situé à côté des pistes de bétails donc le conflit demeure</t>
  </si>
  <si>
    <t>Bengoya ( Roma)</t>
  </si>
  <si>
    <t>Les bétails de Youssoufa ont dévasté le champ de manioc de Djaouro koué</t>
  </si>
  <si>
    <t>Bedobo brousse</t>
  </si>
  <si>
    <t>Destruction des champs de manioc de monsieur Debe Simon par les troupeaux de  bœufs de monsieur  Issa</t>
  </si>
  <si>
    <t xml:space="preserve">Commissariat de police de Kette </t>
  </si>
  <si>
    <t>Le troupeau reste toujours à côté de champ et les risques de destruction demeurent : un conflit s'annonce.</t>
  </si>
  <si>
    <t>Les troupeaux de bœufs de monsieur Youssoufa ont dévasté le champ de manioc de monsieur Binna</t>
  </si>
  <si>
    <t>01h de matin</t>
  </si>
  <si>
    <t>Le propriétaire des bétails lui a donné les fils barbelés et les poteaux pour clôturer désormais son champ</t>
  </si>
  <si>
    <t>2020-08-30</t>
  </si>
  <si>
    <t xml:space="preserve">Gbalakissa </t>
  </si>
  <si>
    <t>Pries en otages des populations par les rebelles et ravisseurs de façon récurrente</t>
  </si>
  <si>
    <t>Les nuits</t>
  </si>
  <si>
    <t>République Centrafricaine</t>
  </si>
  <si>
    <t>Gbiti,Timangolo, Kette et Ouli</t>
  </si>
  <si>
    <t>La localité s'est vidée de ses substances humaines actuellement.</t>
  </si>
  <si>
    <t>Ouro-Idjé</t>
  </si>
  <si>
    <t xml:space="preserve">effondrement des deux ponts sur cette route: l'accès interdit dans cette localité </t>
  </si>
  <si>
    <t>Les deux ponts sur cette route sont brisés  et rendent l'accès difficile dans cette localité</t>
  </si>
  <si>
    <t>Réhabilitation des infrastructures</t>
  </si>
  <si>
    <t>La  nécessité de réhabiliter ces deux ponts serait une solution à ce problème.</t>
  </si>
  <si>
    <t>Attaque armée</t>
  </si>
  <si>
    <t>Déplacés</t>
  </si>
  <si>
    <t>Perte ou destruction de bétails</t>
  </si>
  <si>
    <t>Autorités traditionnelles</t>
  </si>
  <si>
    <t>Forestiers</t>
  </si>
  <si>
    <t>Autorités nationales et/ou locales</t>
  </si>
  <si>
    <t>Groupes pastoraux en transhumance</t>
  </si>
  <si>
    <t>Forces de maintien de l’ordre</t>
  </si>
  <si>
    <t>Réfugiés</t>
  </si>
  <si>
    <t>Conflit autour de l’exploitation des ressources naturelles (bois, etc.)</t>
  </si>
  <si>
    <t>Compétition autour des ressources animales</t>
  </si>
  <si>
    <t xml:space="preserve">Non-utilisation des couloirs de transhumances officiels </t>
  </si>
  <si>
    <t>Parcours de transhumance inaccessibles (mis en culture, etc.)</t>
  </si>
  <si>
    <t>Région_ID</t>
  </si>
  <si>
    <t>Département_ID</t>
  </si>
  <si>
    <t>Arrondissement_ID</t>
  </si>
  <si>
    <t>CMR003</t>
  </si>
  <si>
    <t>CMR006</t>
  </si>
  <si>
    <t>CMR003003</t>
  </si>
  <si>
    <t>CMR006004</t>
  </si>
  <si>
    <t>CMR003004</t>
  </si>
  <si>
    <t>CMR003003004</t>
  </si>
  <si>
    <t>CMR006004004</t>
  </si>
  <si>
    <t>CMR003004006</t>
  </si>
  <si>
    <t>CMR006004003</t>
  </si>
  <si>
    <t>Nombre d'alertes enregistrées au cours de la période</t>
  </si>
  <si>
    <t>Type d'alerte</t>
  </si>
  <si>
    <t>#</t>
  </si>
  <si>
    <t>%</t>
  </si>
  <si>
    <t xml:space="preserve">Evènement </t>
  </si>
  <si>
    <t>Nombre d'alertes enregistrées par Région de couverture</t>
  </si>
  <si>
    <t>Régions</t>
  </si>
  <si>
    <t>Total</t>
  </si>
  <si>
    <t>Type d'évènement rapporté</t>
  </si>
  <si>
    <t>Tensions intercommunautaires</t>
  </si>
  <si>
    <t>Désastre naturel (inondations, fortes pluies, glissement de terrain…)</t>
  </si>
  <si>
    <t>Raison(s) des conflits agro-pastoraux</t>
  </si>
  <si>
    <t>Non-utilisation des couloirs de transhumances officiels</t>
  </si>
  <si>
    <t>Problèmes d’accès à l’eau des groupes pastoraux et leur bétail</t>
  </si>
  <si>
    <t>Mouvement/Passage précoce ou tardif des groupes pastoraux</t>
  </si>
  <si>
    <t>Risque lié au vol de bétail</t>
  </si>
  <si>
    <t xml:space="preserve">Autre(s) </t>
  </si>
  <si>
    <t>Les acteurs impliqués directement dans les évènements</t>
  </si>
  <si>
    <t>Acteurs</t>
  </si>
  <si>
    <t>Gestionnaires de parcs</t>
  </si>
  <si>
    <t>Non applicable (si désastre naturel)</t>
  </si>
  <si>
    <t>Groupes armés non étatiques</t>
  </si>
  <si>
    <t>Eleveurs Camerounais</t>
  </si>
  <si>
    <t>Bergers</t>
  </si>
  <si>
    <t>Agriculteurs</t>
  </si>
  <si>
    <t>Les nationalités des Réfugiés impliqués directement dans les évènements</t>
  </si>
  <si>
    <t>Nationalités des Réfugiés</t>
  </si>
  <si>
    <t>Niger</t>
  </si>
  <si>
    <t>Nigéria</t>
  </si>
  <si>
    <t>Soudan</t>
  </si>
  <si>
    <t>Résolution des évènements et Risques de représailles</t>
  </si>
  <si>
    <t>évènements résolus</t>
  </si>
  <si>
    <t>Les acteurs qui ont resolu les conflits</t>
  </si>
  <si>
    <t>Comité de gestion des conflits actif dans la localité</t>
  </si>
  <si>
    <t>Autre comité de gestion des conflits</t>
  </si>
  <si>
    <t>Organisation pastorale</t>
  </si>
  <si>
    <t>Les mesures qui pourraient contribuer à l’apaisement des acteurs impliqués dans les conflits</t>
  </si>
  <si>
    <t xml:space="preserve">Dialogue </t>
  </si>
  <si>
    <t xml:space="preserve">Balisage routes de transhumance </t>
  </si>
  <si>
    <t>Plantation  culture fourragère</t>
  </si>
  <si>
    <t>Restauration  espaces pastoraux</t>
  </si>
  <si>
    <t>Installation point d’eau</t>
  </si>
  <si>
    <t>Réhabilitation infrastructures</t>
  </si>
  <si>
    <t>AGR</t>
  </si>
  <si>
    <t>Reboisement</t>
  </si>
  <si>
    <t>Conséquences des évènements</t>
  </si>
  <si>
    <t>Perte ou destruction des autres structures agricole ( puits, etc)</t>
  </si>
  <si>
    <t xml:space="preserve">Destruction des outils agricoles </t>
  </si>
  <si>
    <t>Destruction des habitats</t>
  </si>
  <si>
    <t>Pertes en vies humaines ou des blessés</t>
  </si>
  <si>
    <t>Destruction des cultures/fourage/intrants</t>
  </si>
  <si>
    <r>
      <t>P</t>
    </r>
    <r>
      <rPr>
        <b/>
        <sz val="11"/>
        <color theme="1"/>
        <rFont val="Calibri"/>
        <family val="2"/>
      </rPr>
      <t>É</t>
    </r>
    <r>
      <rPr>
        <b/>
        <sz val="11"/>
        <color theme="1"/>
        <rFont val="Calibri"/>
        <family val="2"/>
        <scheme val="minor"/>
      </rPr>
      <t>RIODE DU 1er AU 30 AOUT 2020</t>
    </r>
  </si>
  <si>
    <t>Agriculteurs Eleveurs Camerounais</t>
  </si>
  <si>
    <t>Agriculteurs Eleveurs Camerounais Bergers</t>
  </si>
  <si>
    <t>Eleveurs Camerounais Agriculteurs Bergers</t>
  </si>
  <si>
    <t>Agriculteurs Bergers Réfugiés</t>
  </si>
  <si>
    <t>Agriculteurs Bergers Réfugiés Forces de maintien de l’ordre Groupes armés non étatiques</t>
  </si>
  <si>
    <t>C1.9.1. Si Oui, quelles mesures pourraient contribuer à l’apaisement des acteurs impliqués dans ce conflit ? (Jusqu’à 3 réponses possibles)</t>
  </si>
  <si>
    <t>Commentaires</t>
  </si>
  <si>
    <t>D4.4. Quels sont les acteurs qui pourraient être impliqués dans un potentiel évènement ? (Plusieurs réponses possibles)</t>
  </si>
  <si>
    <t>Types de mouvements</t>
  </si>
  <si>
    <t>Autre mouvement important à rapport</t>
  </si>
  <si>
    <t>Personnes accompagnant les troupeaux et le nombre de troupeaux</t>
  </si>
  <si>
    <t>Personnes qui accompagnent les troupeaux</t>
  </si>
  <si>
    <t>Taille des troupeaux (estimation du nombre de bêtes)</t>
  </si>
  <si>
    <t>Pays de provenance des troupeaux</t>
  </si>
  <si>
    <t>Pays</t>
  </si>
  <si>
    <t>Pays de destination des troupeaux</t>
  </si>
  <si>
    <t>Les risques potentiels associés à ces mouvements</t>
  </si>
  <si>
    <t>Peu probable</t>
  </si>
  <si>
    <t>Les risques liés au passage de ces mouvements</t>
  </si>
  <si>
    <t>Les acteurs qui pourraient être impliqués dans les potentiels évènements</t>
  </si>
  <si>
    <t>Lieux où ces potentiels évènements se produiront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</si>
</sst>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6" formatCode="yyyy\-mm\-dd;@"/>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font>
  </fonts>
  <fills count="6">
    <fill>
      <patternFill patternType="none"/>
    </fill>
    <fill>
      <patternFill patternType="gray125"/>
    </fill>
    <fill>
      <patternFill patternType="solid">
        <fgColor theme="4"/>
        <bgColor theme="4"/>
      </patternFill>
    </fill>
    <fill>
      <patternFill patternType="solid">
        <fgColor rgb="FF92D050"/>
        <bgColor indexed="64"/>
      </patternFill>
    </fill>
    <fill>
      <patternFill patternType="solid">
        <fgColor theme="4" tint="0.39997558519241921"/>
        <bgColor theme="4"/>
      </patternFill>
    </fill>
    <fill>
      <patternFill patternType="solid">
        <fgColor theme="4" tint="0.79998168889431442"/>
        <bgColor theme="4" tint="0.5999938962981048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indexed="64"/>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s>
  <cellStyleXfs count="2">
    <xf numFmtId="0" fontId="0" fillId="0" borderId="0"/>
    <xf numFmtId="9" fontId="2" fillId="0" borderId="0" applyFont="0" applyFill="0" applyBorder="0" applyAlignment="0" applyProtection="0"/>
  </cellStyleXfs>
  <cellXfs count="48">
    <xf numFmtId="0" fontId="0" fillId="0" borderId="0" xfId="0"/>
    <xf numFmtId="0" fontId="0" fillId="0" borderId="1" xfId="0" applyBorder="1" applyAlignment="1">
      <alignment vertical="center" wrapText="1"/>
    </xf>
    <xf numFmtId="0" fontId="0" fillId="0" borderId="0" xfId="0" applyBorder="1" applyAlignment="1">
      <alignment vertical="center"/>
    </xf>
    <xf numFmtId="0" fontId="1" fillId="3" borderId="0" xfId="0" applyFont="1" applyFill="1"/>
    <xf numFmtId="0" fontId="0" fillId="0" borderId="0" xfId="0" applyAlignment="1">
      <alignment vertical="center" wrapText="1"/>
    </xf>
    <xf numFmtId="0" fontId="1" fillId="0" borderId="0" xfId="0" applyFont="1"/>
    <xf numFmtId="0" fontId="1" fillId="0" borderId="0" xfId="0" applyFont="1" applyAlignment="1">
      <alignment vertical="center"/>
    </xf>
    <xf numFmtId="0" fontId="3" fillId="2" borderId="2" xfId="0" applyFont="1" applyFill="1" applyBorder="1" applyAlignment="1">
      <alignment horizontal="center"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0" fillId="5" borderId="2" xfId="0" applyFill="1" applyBorder="1" applyAlignment="1">
      <alignment horizontal="center" vertical="center" wrapText="1"/>
    </xf>
    <xf numFmtId="9" fontId="0" fillId="5" borderId="2" xfId="1" applyFont="1" applyFill="1" applyBorder="1" applyAlignment="1">
      <alignment horizontal="center" vertical="center" wrapText="1"/>
    </xf>
    <xf numFmtId="0" fontId="3" fillId="4" borderId="4" xfId="0" applyFont="1" applyFill="1" applyBorder="1" applyAlignment="1">
      <alignment vertical="center" wrapText="1"/>
    </xf>
    <xf numFmtId="0" fontId="3" fillId="2" borderId="5" xfId="0" applyFont="1" applyFill="1" applyBorder="1" applyAlignment="1">
      <alignment horizontal="center" vertical="center"/>
    </xf>
    <xf numFmtId="9" fontId="3" fillId="2" borderId="5" xfId="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wrapText="1"/>
    </xf>
    <xf numFmtId="0" fontId="3" fillId="4" borderId="2" xfId="0" applyFont="1" applyFill="1" applyBorder="1" applyAlignment="1">
      <alignment horizontal="left" vertical="center"/>
    </xf>
    <xf numFmtId="0" fontId="0" fillId="0" borderId="0" xfId="0" applyAlignment="1">
      <alignment horizontal="center" vertical="center" wrapText="1"/>
    </xf>
    <xf numFmtId="0" fontId="3" fillId="4" borderId="6" xfId="0" applyFont="1" applyFill="1" applyBorder="1" applyAlignment="1">
      <alignment vertical="center"/>
    </xf>
    <xf numFmtId="0" fontId="0" fillId="5" borderId="4" xfId="0" applyFill="1" applyBorder="1" applyAlignment="1">
      <alignment horizontal="center" vertical="center" wrapText="1"/>
    </xf>
    <xf numFmtId="9" fontId="0" fillId="0" borderId="0" xfId="1" applyFont="1" applyAlignment="1">
      <alignment vertical="center" wrapText="1"/>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9" fontId="3" fillId="2" borderId="10" xfId="1" applyFont="1" applyFill="1" applyBorder="1" applyAlignment="1">
      <alignment horizontal="center" vertical="center" wrapText="1"/>
    </xf>
    <xf numFmtId="9" fontId="3" fillId="2" borderId="1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9" fontId="3" fillId="0" borderId="0" xfId="0" applyNumberFormat="1" applyFont="1" applyAlignment="1">
      <alignment horizontal="center" vertical="center" wrapText="1"/>
    </xf>
    <xf numFmtId="0" fontId="3" fillId="2" borderId="3" xfId="0" applyFont="1" applyFill="1" applyBorder="1" applyAlignment="1">
      <alignment vertical="center"/>
    </xf>
    <xf numFmtId="0" fontId="3" fillId="2" borderId="6" xfId="0" applyFont="1" applyFill="1" applyBorder="1" applyAlignment="1">
      <alignment vertical="center"/>
    </xf>
    <xf numFmtId="0" fontId="3" fillId="2" borderId="4" xfId="0" applyFont="1" applyFill="1" applyBorder="1" applyAlignment="1">
      <alignment vertical="center"/>
    </xf>
    <xf numFmtId="0" fontId="1" fillId="5" borderId="2" xfId="0" applyFont="1" applyFill="1" applyBorder="1" applyAlignment="1">
      <alignment horizontal="center" vertical="center" wrapText="1"/>
    </xf>
    <xf numFmtId="164" fontId="0" fillId="5" borderId="4" xfId="0" applyNumberFormat="1" applyFill="1" applyBorder="1" applyAlignment="1">
      <alignment horizontal="center" vertical="center" wrapText="1"/>
    </xf>
    <xf numFmtId="0" fontId="1"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2" borderId="2" xfId="0" applyFont="1" applyFill="1" applyBorder="1" applyAlignment="1">
      <alignment horizontal="left" vertical="center"/>
    </xf>
    <xf numFmtId="0" fontId="1" fillId="0" borderId="1" xfId="0" applyFont="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166" fontId="1" fillId="0" borderId="0" xfId="0" applyNumberFormat="1" applyFont="1" applyFill="1" applyBorder="1" applyAlignment="1">
      <alignment vertical="center"/>
    </xf>
    <xf numFmtId="166" fontId="0" fillId="0" borderId="0" xfId="0" applyNumberFormat="1" applyBorder="1" applyAlignment="1">
      <alignment vertical="center"/>
    </xf>
  </cellXfs>
  <cellStyles count="2">
    <cellStyle name="Normal" xfId="0" builtinId="0"/>
    <cellStyle name="Percent" xfId="1" builtinId="5"/>
  </cellStyles>
  <dxfs count="90">
    <dxf>
      <numFmt numFmtId="166" formatCode="yyyy\-mm\-dd;@"/>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rder>
    </dxf>
    <dxf>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border outline="0">
        <top style="thin">
          <color indexed="64"/>
        </top>
      </border>
    </dxf>
    <dxf>
      <border outline="0">
        <top style="thin">
          <color indexed="64"/>
        </top>
      </border>
    </dxf>
    <dxf>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Gill Sans MT" panose="020B0502020104020203" pitchFamily="34" charset="0"/>
                <a:ea typeface="+mn-ea"/>
                <a:cs typeface="+mn-cs"/>
              </a:defRPr>
            </a:pPr>
            <a:r>
              <a:rPr lang="fr-FR"/>
              <a:t>Type d'alerte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Gill Sans MT" panose="020B0502020104020203" pitchFamily="34" charset="0"/>
              <a:ea typeface="+mn-ea"/>
              <a:cs typeface="+mn-cs"/>
            </a:defRPr>
          </a:pPr>
          <a:endParaRPr lang="en-US"/>
        </a:p>
      </c:txPr>
    </c:title>
    <c:autoTitleDeleted val="0"/>
    <c:plotArea>
      <c:layout>
        <c:manualLayout>
          <c:layoutTarget val="inner"/>
          <c:xMode val="edge"/>
          <c:yMode val="edge"/>
          <c:x val="0.18470202485950518"/>
          <c:y val="0.15313125195014959"/>
          <c:w val="0.62559133937086697"/>
          <c:h val="0.72839830772901637"/>
        </c:manualLayout>
      </c:layout>
      <c:doughnutChart>
        <c:varyColors val="1"/>
        <c:ser>
          <c:idx val="0"/>
          <c:order val="0"/>
          <c:tx>
            <c:strRef>
              <c:f>ANALYSE_Evènements!$B$7:$B$8</c:f>
              <c:strCache>
                <c:ptCount val="2"/>
                <c:pt idx="0">
                  <c:v>Evènement </c:v>
                </c:pt>
                <c:pt idx="1">
                  <c:v>Mouvement inattendu</c:v>
                </c:pt>
              </c:strCache>
            </c:strRef>
          </c:tx>
          <c:spPr>
            <a:solidFill>
              <a:srgbClr val="92D050"/>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971-414E-961F-9C9AE6ECD8D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971-414E-961F-9C9AE6ECD8D2}"/>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ANALYSE_Evènements!$B$7:$B$8</c:f>
              <c:strCache>
                <c:ptCount val="2"/>
                <c:pt idx="0">
                  <c:v>Evènement </c:v>
                </c:pt>
                <c:pt idx="1">
                  <c:v>Mouvement inattendu</c:v>
                </c:pt>
              </c:strCache>
            </c:strRef>
          </c:cat>
          <c:val>
            <c:numRef>
              <c:f>ANALYSE_Evènements!$E$7:$E$8</c:f>
              <c:numCache>
                <c:formatCode>0%</c:formatCode>
                <c:ptCount val="2"/>
                <c:pt idx="0">
                  <c:v>0.84848484848484851</c:v>
                </c:pt>
                <c:pt idx="1">
                  <c:v>0.15151515151515152</c:v>
                </c:pt>
              </c:numCache>
            </c:numRef>
          </c:val>
          <c:extLst>
            <c:ext xmlns:c16="http://schemas.microsoft.com/office/drawing/2014/chart" uri="{C3380CC4-5D6E-409C-BE32-E72D297353CC}">
              <c16:uniqueId val="{00000004-C971-414E-961F-9C9AE6ECD8D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0.16746966054078755"/>
          <c:y val="0.89252087807205915"/>
          <c:w val="0.66506067891842491"/>
          <c:h val="6.2024576473395376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Gill Sans MT" panose="020B0502020104020203"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Gill Sans MT" panose="020B0502020104020203" pitchFamily="34" charset="0"/>
                <a:ea typeface="+mn-ea"/>
                <a:cs typeface="+mn-cs"/>
              </a:defRPr>
            </a:pPr>
            <a:r>
              <a:rPr lang="fr-FR"/>
              <a:t>Répartition des alertes par région</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Gill Sans MT" panose="020B0502020104020203" pitchFamily="34" charset="0"/>
              <a:ea typeface="+mn-ea"/>
              <a:cs typeface="+mn-cs"/>
            </a:defRPr>
          </a:pPr>
          <a:endParaRPr lang="en-US"/>
        </a:p>
      </c:txPr>
    </c:title>
    <c:autoTitleDeleted val="0"/>
    <c:plotArea>
      <c:layout>
        <c:manualLayout>
          <c:layoutTarget val="inner"/>
          <c:xMode val="edge"/>
          <c:yMode val="edge"/>
          <c:x val="7.0599061472924773E-2"/>
          <c:y val="0.2326412606630554"/>
          <c:w val="0.88052466519966577"/>
          <c:h val="0.45410216176367629"/>
        </c:manualLayout>
      </c:layout>
      <c:barChart>
        <c:barDir val="col"/>
        <c:grouping val="stacked"/>
        <c:varyColors val="0"/>
        <c:ser>
          <c:idx val="0"/>
          <c:order val="0"/>
          <c:tx>
            <c:strRef>
              <c:f>ANALYSE_Evènements!$C$15</c:f>
              <c:strCache>
                <c:ptCount val="1"/>
                <c:pt idx="0">
                  <c:v>Evènement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ANALYSE_Evènements!$B$16:$B$18</c:f>
              <c:strCache>
                <c:ptCount val="3"/>
                <c:pt idx="0">
                  <c:v>Est</c:v>
                </c:pt>
                <c:pt idx="1">
                  <c:v>Nord</c:v>
                </c:pt>
                <c:pt idx="2">
                  <c:v>Adamaoua</c:v>
                </c:pt>
              </c:strCache>
            </c:strRef>
          </c:cat>
          <c:val>
            <c:numRef>
              <c:f>ANALYSE_Evènements!$C$16:$C$18</c:f>
              <c:numCache>
                <c:formatCode>General</c:formatCode>
                <c:ptCount val="3"/>
                <c:pt idx="0">
                  <c:v>19</c:v>
                </c:pt>
                <c:pt idx="1">
                  <c:v>9</c:v>
                </c:pt>
                <c:pt idx="2">
                  <c:v>0</c:v>
                </c:pt>
              </c:numCache>
            </c:numRef>
          </c:val>
          <c:extLst>
            <c:ext xmlns:c16="http://schemas.microsoft.com/office/drawing/2014/chart" uri="{C3380CC4-5D6E-409C-BE32-E72D297353CC}">
              <c16:uniqueId val="{00000000-4E22-481F-B502-C9AA9685F81F}"/>
            </c:ext>
          </c:extLst>
        </c:ser>
        <c:ser>
          <c:idx val="1"/>
          <c:order val="1"/>
          <c:tx>
            <c:strRef>
              <c:f>ANALYSE_Evènements!$D$15</c:f>
              <c:strCache>
                <c:ptCount val="1"/>
                <c:pt idx="0">
                  <c:v>Mouvement inattendu</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ANALYSE_Evènements!$B$16:$B$18</c:f>
              <c:strCache>
                <c:ptCount val="3"/>
                <c:pt idx="0">
                  <c:v>Est</c:v>
                </c:pt>
                <c:pt idx="1">
                  <c:v>Nord</c:v>
                </c:pt>
                <c:pt idx="2">
                  <c:v>Adamaoua</c:v>
                </c:pt>
              </c:strCache>
            </c:strRef>
          </c:cat>
          <c:val>
            <c:numRef>
              <c:f>ANALYSE_Evènements!$D$16:$D$18</c:f>
              <c:numCache>
                <c:formatCode>General</c:formatCode>
                <c:ptCount val="3"/>
                <c:pt idx="0">
                  <c:v>5</c:v>
                </c:pt>
                <c:pt idx="1">
                  <c:v>0</c:v>
                </c:pt>
                <c:pt idx="2">
                  <c:v>0</c:v>
                </c:pt>
              </c:numCache>
            </c:numRef>
          </c:val>
          <c:extLst>
            <c:ext xmlns:c16="http://schemas.microsoft.com/office/drawing/2014/chart" uri="{C3380CC4-5D6E-409C-BE32-E72D297353CC}">
              <c16:uniqueId val="{00000001-4E22-481F-B502-C9AA9685F81F}"/>
            </c:ext>
          </c:extLst>
        </c:ser>
        <c:dLbls>
          <c:showLegendKey val="0"/>
          <c:showVal val="0"/>
          <c:showCatName val="0"/>
          <c:showSerName val="0"/>
          <c:showPercent val="0"/>
          <c:showBubbleSize val="0"/>
        </c:dLbls>
        <c:gapWidth val="219"/>
        <c:overlap val="100"/>
        <c:axId val="1047231120"/>
        <c:axId val="1024486576"/>
      </c:barChart>
      <c:catAx>
        <c:axId val="104723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1024486576"/>
        <c:crosses val="autoZero"/>
        <c:auto val="1"/>
        <c:lblAlgn val="ctr"/>
        <c:lblOffset val="100"/>
        <c:noMultiLvlLbl val="0"/>
      </c:catAx>
      <c:valAx>
        <c:axId val="1024486576"/>
        <c:scaling>
          <c:orientation val="minMax"/>
        </c:scaling>
        <c:delete val="1"/>
        <c:axPos val="l"/>
        <c:numFmt formatCode="General" sourceLinked="1"/>
        <c:majorTickMark val="none"/>
        <c:minorTickMark val="none"/>
        <c:tickLblPos val="nextTo"/>
        <c:crossAx val="104723112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Gill Sans MT" panose="020B0502020104020203"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Gill Sans MT" panose="020B0502020104020203" pitchFamily="34" charset="0"/>
                <a:ea typeface="+mn-ea"/>
                <a:cs typeface="+mn-cs"/>
              </a:defRPr>
            </a:pPr>
            <a:r>
              <a:rPr lang="fr-FR"/>
              <a:t>Conflit résolu</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Gill Sans MT" panose="020B0502020104020203" pitchFamily="34" charset="0"/>
              <a:ea typeface="+mn-ea"/>
              <a:cs typeface="+mn-cs"/>
            </a:defRPr>
          </a:pPr>
          <a:endParaRPr lang="en-US"/>
        </a:p>
      </c:txPr>
    </c:title>
    <c:autoTitleDeleted val="0"/>
    <c:plotArea>
      <c:layout>
        <c:manualLayout>
          <c:layoutTarget val="inner"/>
          <c:xMode val="edge"/>
          <c:yMode val="edge"/>
          <c:x val="0.29581361637477432"/>
          <c:y val="0.15921115770095598"/>
          <c:w val="0.420442111812182"/>
          <c:h val="0.69452219593585152"/>
        </c:manualLayout>
      </c:layout>
      <c:doughnutChart>
        <c:varyColors val="1"/>
        <c:ser>
          <c:idx val="0"/>
          <c:order val="0"/>
          <c:explosion val="3"/>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E5-4F81-8BEA-0DCBFB0C2FC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E5-4F81-8BEA-0DCBFB0C2FC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5E5-4F81-8BEA-0DCBFB0C2FC1}"/>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ANALYSE_Evènements!$D$77:$F$77</c:f>
              <c:strCache>
                <c:ptCount val="3"/>
                <c:pt idx="0">
                  <c:v>Oui</c:v>
                </c:pt>
                <c:pt idx="1">
                  <c:v>Non</c:v>
                </c:pt>
                <c:pt idx="2">
                  <c:v>Ne sait pas</c:v>
                </c:pt>
              </c:strCache>
            </c:strRef>
          </c:cat>
          <c:val>
            <c:numRef>
              <c:f>ANALYSE_Evènements!$D$78:$F$78</c:f>
              <c:numCache>
                <c:formatCode>General</c:formatCode>
                <c:ptCount val="3"/>
                <c:pt idx="0">
                  <c:v>17</c:v>
                </c:pt>
                <c:pt idx="1">
                  <c:v>8</c:v>
                </c:pt>
                <c:pt idx="2">
                  <c:v>3</c:v>
                </c:pt>
              </c:numCache>
            </c:numRef>
          </c:val>
          <c:extLst>
            <c:ext xmlns:c16="http://schemas.microsoft.com/office/drawing/2014/chart" uri="{C3380CC4-5D6E-409C-BE32-E72D297353CC}">
              <c16:uniqueId val="{00000006-45E5-4F81-8BEA-0DCBFB0C2FC1}"/>
            </c:ext>
          </c:extLst>
        </c:ser>
        <c:dLbls>
          <c:showLegendKey val="0"/>
          <c:showVal val="0"/>
          <c:showCatName val="0"/>
          <c:showSerName val="0"/>
          <c:showPercent val="0"/>
          <c:showBubbleSize val="0"/>
          <c:showLeaderLines val="1"/>
        </c:dLbls>
        <c:firstSliceAng val="0"/>
        <c:holeSize val="59"/>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Gill Sans MT" panose="020B0502020104020203"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Gill Sans MT" panose="020B0502020104020203" pitchFamily="34" charset="0"/>
                <a:ea typeface="+mn-ea"/>
                <a:cs typeface="+mn-cs"/>
              </a:defRPr>
            </a:pPr>
            <a:r>
              <a:rPr lang="fr-FR"/>
              <a:t>Risques de représailles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Gill Sans MT" panose="020B0502020104020203" pitchFamily="34" charset="0"/>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61-4A5E-8E90-0E6FFF4388F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61-4A5E-8E90-0E6FFF4388FB}"/>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ANALYSE_Evènements!$D$93:$E$93</c:f>
              <c:strCache>
                <c:ptCount val="2"/>
                <c:pt idx="0">
                  <c:v>Oui</c:v>
                </c:pt>
                <c:pt idx="1">
                  <c:v>Non</c:v>
                </c:pt>
              </c:strCache>
            </c:strRef>
          </c:cat>
          <c:val>
            <c:numRef>
              <c:f>ANALYSE_Evènements!$D$94:$E$94</c:f>
              <c:numCache>
                <c:formatCode>General</c:formatCode>
                <c:ptCount val="2"/>
                <c:pt idx="0">
                  <c:v>14</c:v>
                </c:pt>
                <c:pt idx="1">
                  <c:v>14</c:v>
                </c:pt>
              </c:numCache>
            </c:numRef>
          </c:val>
          <c:extLst>
            <c:ext xmlns:c16="http://schemas.microsoft.com/office/drawing/2014/chart" uri="{C3380CC4-5D6E-409C-BE32-E72D297353CC}">
              <c16:uniqueId val="{00000004-A561-4A5E-8E90-0E6FFF4388FB}"/>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Gill Sans MT" panose="020B0502020104020203"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38811452860769"/>
          <c:y val="0.10875909661276371"/>
          <c:w val="0.62900976414782273"/>
          <c:h val="0.78664835076784767"/>
        </c:manualLayout>
      </c:layout>
      <c:pieChart>
        <c:varyColors val="1"/>
        <c:ser>
          <c:idx val="0"/>
          <c:order val="0"/>
          <c:explosion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F9-43FD-90E6-D8256643DF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DF9-43FD-90E6-D8256643DF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DF9-43FD-90E6-D8256643DF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DF9-43FD-90E6-D8256643DF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DF9-43FD-90E6-D8256643DF6B}"/>
              </c:ext>
            </c:extLst>
          </c:dPt>
          <c:dLbls>
            <c:dLbl>
              <c:idx val="1"/>
              <c:layout>
                <c:manualLayout>
                  <c:x val="-9.4927625630783732E-2"/>
                  <c:y val="1.695090223566017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F9-43FD-90E6-D8256643DF6B}"/>
                </c:ext>
              </c:extLst>
            </c:dLbl>
            <c:dLbl>
              <c:idx val="2"/>
              <c:layout>
                <c:manualLayout>
                  <c:x val="9.9203575002398875E-2"/>
                  <c:y val="2.484832922703900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F9-43FD-90E6-D8256643DF6B}"/>
                </c:ext>
              </c:extLst>
            </c:dLbl>
            <c:dLbl>
              <c:idx val="3"/>
              <c:delete val="1"/>
              <c:extLst>
                <c:ext xmlns:c15="http://schemas.microsoft.com/office/drawing/2012/chart" uri="{CE6537A1-D6FC-4f65-9D91-7224C49458BB}"/>
                <c:ext xmlns:c16="http://schemas.microsoft.com/office/drawing/2014/chart" uri="{C3380CC4-5D6E-409C-BE32-E72D297353CC}">
                  <c16:uniqueId val="{00000007-1DF9-43FD-90E6-D8256643DF6B}"/>
                </c:ext>
              </c:extLst>
            </c:dLbl>
            <c:dLbl>
              <c:idx val="4"/>
              <c:delete val="1"/>
              <c:extLst>
                <c:ext xmlns:c15="http://schemas.microsoft.com/office/drawing/2012/chart" uri="{CE6537A1-D6FC-4f65-9D91-7224C49458BB}"/>
                <c:ext xmlns:c16="http://schemas.microsoft.com/office/drawing/2014/chart" uri="{C3380CC4-5D6E-409C-BE32-E72D297353CC}">
                  <c16:uniqueId val="{00000009-1DF9-43FD-90E6-D8256643DF6B}"/>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ill Sans MT" panose="020B0502020104020203"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ANALYSE_Evènements!$B$25:$E$29</c:f>
              <c:strCache>
                <c:ptCount val="5"/>
                <c:pt idx="0">
                  <c:v>Conflit agro-pastoral</c:v>
                </c:pt>
                <c:pt idx="1">
                  <c:v>Autre type de conflit</c:v>
                </c:pt>
                <c:pt idx="2">
                  <c:v>Attaque armée</c:v>
                </c:pt>
                <c:pt idx="3">
                  <c:v>Tensions intercommunautaires</c:v>
                </c:pt>
                <c:pt idx="4">
                  <c:v>Désastre naturel (inondations, fortes pluies, glissement de terrain…)</c:v>
                </c:pt>
              </c:strCache>
            </c:strRef>
          </c:cat>
          <c:val>
            <c:numRef>
              <c:f>ANALYSE_Evènements!$F$25:$F$29</c:f>
              <c:numCache>
                <c:formatCode>General</c:formatCode>
                <c:ptCount val="5"/>
                <c:pt idx="0">
                  <c:v>24</c:v>
                </c:pt>
                <c:pt idx="1">
                  <c:v>3</c:v>
                </c:pt>
                <c:pt idx="2">
                  <c:v>1</c:v>
                </c:pt>
                <c:pt idx="3">
                  <c:v>0</c:v>
                </c:pt>
                <c:pt idx="4">
                  <c:v>0</c:v>
                </c:pt>
              </c:numCache>
            </c:numRef>
          </c:val>
          <c:extLst>
            <c:ext xmlns:c16="http://schemas.microsoft.com/office/drawing/2014/chart" uri="{C3380CC4-5D6E-409C-BE32-E72D297353CC}">
              <c16:uniqueId val="{0000000A-1DF9-43FD-90E6-D8256643DF6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Gill Sans MT" panose="020B0502020104020203"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ANALYSE_Evènements!$B$113:$B$117</c:f>
              <c:strCache>
                <c:ptCount val="5"/>
                <c:pt idx="0">
                  <c:v>Destruction des habitats</c:v>
                </c:pt>
                <c:pt idx="1">
                  <c:v>Pertes en vies humaines ou des blessés</c:v>
                </c:pt>
                <c:pt idx="2">
                  <c:v>Déplacés</c:v>
                </c:pt>
                <c:pt idx="3">
                  <c:v>Perte ou destruction de bétails</c:v>
                </c:pt>
                <c:pt idx="4">
                  <c:v>Destruction des cultures/fourage/intrants</c:v>
                </c:pt>
              </c:strCache>
            </c:strRef>
          </c:cat>
          <c:val>
            <c:numRef>
              <c:f>ANALYSE_Evènements!$F$113:$F$117</c:f>
              <c:numCache>
                <c:formatCode>General</c:formatCode>
                <c:ptCount val="5"/>
                <c:pt idx="0">
                  <c:v>1</c:v>
                </c:pt>
                <c:pt idx="1">
                  <c:v>1</c:v>
                </c:pt>
                <c:pt idx="2">
                  <c:v>2</c:v>
                </c:pt>
                <c:pt idx="3">
                  <c:v>2</c:v>
                </c:pt>
                <c:pt idx="4">
                  <c:v>23</c:v>
                </c:pt>
              </c:numCache>
            </c:numRef>
          </c:val>
          <c:extLst>
            <c:ext xmlns:c16="http://schemas.microsoft.com/office/drawing/2014/chart" uri="{C3380CC4-5D6E-409C-BE32-E72D297353CC}">
              <c16:uniqueId val="{00000000-3177-491F-931E-9F7691D20765}"/>
            </c:ext>
          </c:extLst>
        </c:ser>
        <c:dLbls>
          <c:showLegendKey val="0"/>
          <c:showVal val="0"/>
          <c:showCatName val="0"/>
          <c:showSerName val="0"/>
          <c:showPercent val="0"/>
          <c:showBubbleSize val="0"/>
        </c:dLbls>
        <c:gapWidth val="182"/>
        <c:axId val="580968448"/>
        <c:axId val="638734176"/>
      </c:barChart>
      <c:catAx>
        <c:axId val="580968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638734176"/>
        <c:crosses val="autoZero"/>
        <c:auto val="1"/>
        <c:lblAlgn val="ctr"/>
        <c:lblOffset val="100"/>
        <c:noMultiLvlLbl val="0"/>
      </c:catAx>
      <c:valAx>
        <c:axId val="638734176"/>
        <c:scaling>
          <c:orientation val="minMax"/>
        </c:scaling>
        <c:delete val="1"/>
        <c:axPos val="b"/>
        <c:numFmt formatCode="General" sourceLinked="1"/>
        <c:majorTickMark val="none"/>
        <c:minorTickMark val="none"/>
        <c:tickLblPos val="nextTo"/>
        <c:crossAx val="58096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Gill Sans MT" panose="020B0502020104020203"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426-4164-95B9-CCDDFFDB3159}"/>
                </c:ext>
              </c:extLst>
            </c:dLbl>
            <c:dLbl>
              <c:idx val="1"/>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Text" lastClr="000000">
                            <a:lumMod val="75000"/>
                            <a:lumOff val="25000"/>
                          </a:sysClr>
                        </a:solidFill>
                        <a:latin typeface="Gill Sans MT" panose="020B0502020104020203" pitchFamily="34" charset="0"/>
                        <a:ea typeface="+mn-ea"/>
                        <a:cs typeface="+mn-cs"/>
                      </a:defRPr>
                    </a:pPr>
                    <a:r>
                      <a:rPr lang="en-US" sz="800" b="0" i="0" u="none" strike="noStrike" kern="1200" baseline="0">
                        <a:solidFill>
                          <a:sysClr val="windowText" lastClr="000000">
                            <a:lumMod val="75000"/>
                            <a:lumOff val="25000"/>
                          </a:sysClr>
                        </a:solidFill>
                        <a:latin typeface="Gill Sans MT" panose="020B0502020104020203" pitchFamily="34" charset="0"/>
                      </a:rPr>
                      <a:t>&lt;1%</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Text" lastClr="000000">
                          <a:lumMod val="75000"/>
                          <a:lumOff val="25000"/>
                        </a:sys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426-4164-95B9-CCDDFFDB3159}"/>
                </c:ext>
              </c:extLst>
            </c:dLbl>
            <c:dLbl>
              <c:idx val="2"/>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426-4164-95B9-CCDDFFDB31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ANALYSE_Evènements!$B$52:$B$60</c:f>
              <c:strCache>
                <c:ptCount val="9"/>
                <c:pt idx="0">
                  <c:v>Gestionnaires de parcs</c:v>
                </c:pt>
                <c:pt idx="1">
                  <c:v>Forces de maintien de l’ordre</c:v>
                </c:pt>
                <c:pt idx="2">
                  <c:v>Groupes armés non étatiques</c:v>
                </c:pt>
                <c:pt idx="3">
                  <c:v>Groupes pastoraux en transhumance</c:v>
                </c:pt>
                <c:pt idx="4">
                  <c:v>Réfugiés</c:v>
                </c:pt>
                <c:pt idx="5">
                  <c:v>Autre(s)</c:v>
                </c:pt>
                <c:pt idx="6">
                  <c:v>Eleveurs Camerounais</c:v>
                </c:pt>
                <c:pt idx="7">
                  <c:v>Bergers</c:v>
                </c:pt>
                <c:pt idx="8">
                  <c:v>Agriculteurs</c:v>
                </c:pt>
              </c:strCache>
            </c:strRef>
          </c:cat>
          <c:val>
            <c:numRef>
              <c:f>ANALYSE_Evènements!$F$52:$F$60</c:f>
              <c:numCache>
                <c:formatCode>0%</c:formatCode>
                <c:ptCount val="9"/>
                <c:pt idx="0">
                  <c:v>3.5714285714285712E-2</c:v>
                </c:pt>
                <c:pt idx="1">
                  <c:v>3.5714285714285712E-2</c:v>
                </c:pt>
                <c:pt idx="2">
                  <c:v>3.5714285714285712E-2</c:v>
                </c:pt>
                <c:pt idx="3">
                  <c:v>3.5714285714285712E-2</c:v>
                </c:pt>
                <c:pt idx="4">
                  <c:v>7.1428571428571425E-2</c:v>
                </c:pt>
                <c:pt idx="5">
                  <c:v>0.10714285714285714</c:v>
                </c:pt>
                <c:pt idx="6">
                  <c:v>0.35714285714285715</c:v>
                </c:pt>
                <c:pt idx="7">
                  <c:v>0.6428571428571429</c:v>
                </c:pt>
                <c:pt idx="8">
                  <c:v>0.8928571428571429</c:v>
                </c:pt>
              </c:numCache>
            </c:numRef>
          </c:val>
          <c:extLst>
            <c:ext xmlns:c16="http://schemas.microsoft.com/office/drawing/2014/chart" uri="{C3380CC4-5D6E-409C-BE32-E72D297353CC}">
              <c16:uniqueId val="{00000003-E426-4164-95B9-CCDDFFDB3159}"/>
            </c:ext>
          </c:extLst>
        </c:ser>
        <c:dLbls>
          <c:showLegendKey val="0"/>
          <c:showVal val="0"/>
          <c:showCatName val="0"/>
          <c:showSerName val="0"/>
          <c:showPercent val="0"/>
          <c:showBubbleSize val="0"/>
        </c:dLbls>
        <c:gapWidth val="65"/>
        <c:axId val="697023360"/>
        <c:axId val="657475936"/>
      </c:barChart>
      <c:catAx>
        <c:axId val="697023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657475936"/>
        <c:crosses val="autoZero"/>
        <c:auto val="1"/>
        <c:lblAlgn val="ctr"/>
        <c:lblOffset val="100"/>
        <c:noMultiLvlLbl val="0"/>
      </c:catAx>
      <c:valAx>
        <c:axId val="657475936"/>
        <c:scaling>
          <c:orientation val="minMax"/>
        </c:scaling>
        <c:delete val="1"/>
        <c:axPos val="b"/>
        <c:numFmt formatCode="0%" sourceLinked="1"/>
        <c:majorTickMark val="none"/>
        <c:minorTickMark val="none"/>
        <c:tickLblPos val="nextTo"/>
        <c:crossAx val="697023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Gill Sans MT" panose="020B0502020104020203"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ANALYSE_Evènements!$B$99:$B$106</c:f>
              <c:strCache>
                <c:ptCount val="8"/>
                <c:pt idx="0">
                  <c:v>Dialogue </c:v>
                </c:pt>
                <c:pt idx="1">
                  <c:v>Balisage routes de transhumance </c:v>
                </c:pt>
                <c:pt idx="2">
                  <c:v>Réhabilitation infrastructures</c:v>
                </c:pt>
                <c:pt idx="3">
                  <c:v>Autre(s)</c:v>
                </c:pt>
                <c:pt idx="4">
                  <c:v>Restauration  espaces pastoraux</c:v>
                </c:pt>
                <c:pt idx="5">
                  <c:v>Plantation  culture fourragère</c:v>
                </c:pt>
                <c:pt idx="6">
                  <c:v>Installation point d’eau</c:v>
                </c:pt>
                <c:pt idx="7">
                  <c:v>AGR</c:v>
                </c:pt>
              </c:strCache>
            </c:strRef>
          </c:cat>
          <c:val>
            <c:numRef>
              <c:f>ANALYSE_Evènements!$G$99:$G$106</c:f>
              <c:numCache>
                <c:formatCode>0%</c:formatCode>
                <c:ptCount val="8"/>
                <c:pt idx="0">
                  <c:v>0.9285714285714286</c:v>
                </c:pt>
                <c:pt idx="1">
                  <c:v>0.35714285714285715</c:v>
                </c:pt>
                <c:pt idx="2">
                  <c:v>0.2857142857142857</c:v>
                </c:pt>
                <c:pt idx="3">
                  <c:v>0.21428571428571427</c:v>
                </c:pt>
                <c:pt idx="4">
                  <c:v>0.14285714285714285</c:v>
                </c:pt>
                <c:pt idx="5">
                  <c:v>0</c:v>
                </c:pt>
                <c:pt idx="6">
                  <c:v>0</c:v>
                </c:pt>
                <c:pt idx="7">
                  <c:v>0</c:v>
                </c:pt>
              </c:numCache>
            </c:numRef>
          </c:val>
          <c:extLst>
            <c:ext xmlns:c16="http://schemas.microsoft.com/office/drawing/2014/chart" uri="{C3380CC4-5D6E-409C-BE32-E72D297353CC}">
              <c16:uniqueId val="{00000000-B36F-4ACB-89B2-C758C577A0FD}"/>
            </c:ext>
          </c:extLst>
        </c:ser>
        <c:dLbls>
          <c:showLegendKey val="0"/>
          <c:showVal val="0"/>
          <c:showCatName val="0"/>
          <c:showSerName val="0"/>
          <c:showPercent val="0"/>
          <c:showBubbleSize val="0"/>
        </c:dLbls>
        <c:gapWidth val="182"/>
        <c:axId val="1716566608"/>
        <c:axId val="973321136"/>
      </c:barChart>
      <c:catAx>
        <c:axId val="1716566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973321136"/>
        <c:crosses val="autoZero"/>
        <c:auto val="1"/>
        <c:lblAlgn val="ctr"/>
        <c:lblOffset val="100"/>
        <c:noMultiLvlLbl val="0"/>
      </c:catAx>
      <c:valAx>
        <c:axId val="973321136"/>
        <c:scaling>
          <c:orientation val="minMax"/>
        </c:scaling>
        <c:delete val="1"/>
        <c:axPos val="t"/>
        <c:numFmt formatCode="0%" sourceLinked="1"/>
        <c:majorTickMark val="none"/>
        <c:minorTickMark val="none"/>
        <c:tickLblPos val="nextTo"/>
        <c:crossAx val="171656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Gill Sans MT" panose="020B0502020104020203"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479913809900401"/>
          <c:y val="7.1128354348528933E-2"/>
          <c:w val="0.26242501346720304"/>
          <c:h val="0.58288388054306017"/>
        </c:manualLayout>
      </c:layout>
      <c:pieChart>
        <c:varyColors val="1"/>
        <c:ser>
          <c:idx val="0"/>
          <c:order val="0"/>
          <c:tx>
            <c:strRef>
              <c:f>'ANALYSE_Mouvements inattendus'!$B$6:$B$8</c:f>
              <c:strCache>
                <c:ptCount val="3"/>
                <c:pt idx="0">
                  <c:v>Mouvement précoce ou tardif par rapport au calendrier de transhumance</c:v>
                </c:pt>
                <c:pt idx="1">
                  <c:v>Mouvement massif</c:v>
                </c:pt>
                <c:pt idx="2">
                  <c:v>Autre mouvement important à rapport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B4-4F00-A090-C5863BCBA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B4-4F00-A090-C5863BCBA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B4-4F00-A090-C5863BCBA8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'ANALYSE_Mouvements inattendus'!$B$6:$B$8</c:f>
              <c:strCache>
                <c:ptCount val="3"/>
                <c:pt idx="0">
                  <c:v>Mouvement précoce ou tardif par rapport au calendrier de transhumance</c:v>
                </c:pt>
                <c:pt idx="1">
                  <c:v>Mouvement massif</c:v>
                </c:pt>
                <c:pt idx="2">
                  <c:v>Autre mouvement important à rapport</c:v>
                </c:pt>
              </c:strCache>
            </c:strRef>
          </c:cat>
          <c:val>
            <c:numRef>
              <c:f>'ANALYSE_Mouvements inattendus'!$G$6:$G$8</c:f>
              <c:numCache>
                <c:formatCode>General</c:formatCode>
                <c:ptCount val="3"/>
                <c:pt idx="0">
                  <c:v>4</c:v>
                </c:pt>
                <c:pt idx="1">
                  <c:v>1</c:v>
                </c:pt>
                <c:pt idx="2">
                  <c:v>0</c:v>
                </c:pt>
              </c:numCache>
            </c:numRef>
          </c:val>
          <c:extLst>
            <c:ext xmlns:c16="http://schemas.microsoft.com/office/drawing/2014/chart" uri="{C3380CC4-5D6E-409C-BE32-E72D297353CC}">
              <c16:uniqueId val="{00000006-FBB4-4F00-A090-C5863BCBA871}"/>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Gill Sans MT" panose="020B05020201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281354</xdr:colOff>
      <xdr:row>2</xdr:row>
      <xdr:rowOff>53340</xdr:rowOff>
    </xdr:from>
    <xdr:to>
      <xdr:col>7</xdr:col>
      <xdr:colOff>198120</xdr:colOff>
      <xdr:row>11</xdr:row>
      <xdr:rowOff>114300</xdr:rowOff>
    </xdr:to>
    <xdr:graphicFrame macro="">
      <xdr:nvGraphicFramePr>
        <xdr:cNvPr id="2" name="Graphique 1">
          <a:extLst>
            <a:ext uri="{FF2B5EF4-FFF2-40B4-BE49-F238E27FC236}">
              <a16:creationId xmlns:a16="http://schemas.microsoft.com/office/drawing/2014/main" id="{43971B9D-C5B3-4D10-A12B-3AAF95D2A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221762</xdr:colOff>
      <xdr:row>12</xdr:row>
      <xdr:rowOff>52923</xdr:rowOff>
    </xdr:from>
    <xdr:to>
      <xdr:col>7</xdr:col>
      <xdr:colOff>609599</xdr:colOff>
      <xdr:row>21</xdr:row>
      <xdr:rowOff>91440</xdr:rowOff>
    </xdr:to>
    <xdr:graphicFrame macro="">
      <xdr:nvGraphicFramePr>
        <xdr:cNvPr id="3" name="Graphique 2">
          <a:extLst>
            <a:ext uri="{FF2B5EF4-FFF2-40B4-BE49-F238E27FC236}">
              <a16:creationId xmlns:a16="http://schemas.microsoft.com/office/drawing/2014/main" id="{BFF684DB-FC71-4F64-B9D9-41A0A84A2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188422</xdr:colOff>
      <xdr:row>72</xdr:row>
      <xdr:rowOff>176877</xdr:rowOff>
    </xdr:from>
    <xdr:to>
      <xdr:col>9</xdr:col>
      <xdr:colOff>259080</xdr:colOff>
      <xdr:row>81</xdr:row>
      <xdr:rowOff>152400</xdr:rowOff>
    </xdr:to>
    <xdr:graphicFrame macro="">
      <xdr:nvGraphicFramePr>
        <xdr:cNvPr id="4" name="Graphique 3">
          <a:extLst>
            <a:ext uri="{FF2B5EF4-FFF2-40B4-BE49-F238E27FC236}">
              <a16:creationId xmlns:a16="http://schemas.microsoft.com/office/drawing/2014/main" id="{856E5B1E-CE0F-424D-847A-A34FCD34EE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1244370</xdr:colOff>
      <xdr:row>74</xdr:row>
      <xdr:rowOff>107835</xdr:rowOff>
    </xdr:from>
    <xdr:to>
      <xdr:col>6</xdr:col>
      <xdr:colOff>3238500</xdr:colOff>
      <xdr:row>82</xdr:row>
      <xdr:rowOff>53340</xdr:rowOff>
    </xdr:to>
    <xdr:graphicFrame macro="">
      <xdr:nvGraphicFramePr>
        <xdr:cNvPr id="5" name="Graphique 4">
          <a:extLst>
            <a:ext uri="{FF2B5EF4-FFF2-40B4-BE49-F238E27FC236}">
              <a16:creationId xmlns:a16="http://schemas.microsoft.com/office/drawing/2014/main" id="{F0971EC3-3204-4754-AE9C-FB966A808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842874</xdr:colOff>
      <xdr:row>22</xdr:row>
      <xdr:rowOff>21821</xdr:rowOff>
    </xdr:from>
    <xdr:to>
      <xdr:col>11</xdr:col>
      <xdr:colOff>83820</xdr:colOff>
      <xdr:row>36</xdr:row>
      <xdr:rowOff>144780</xdr:rowOff>
    </xdr:to>
    <xdr:graphicFrame macro="">
      <xdr:nvGraphicFramePr>
        <xdr:cNvPr id="6" name="Graphique 6">
          <a:extLst>
            <a:ext uri="{FF2B5EF4-FFF2-40B4-BE49-F238E27FC236}">
              <a16:creationId xmlns:a16="http://schemas.microsoft.com/office/drawing/2014/main" id="{752F3BEC-20A0-4822-8F3A-EDF1BB823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564861</xdr:colOff>
      <xdr:row>107</xdr:row>
      <xdr:rowOff>104024</xdr:rowOff>
    </xdr:from>
    <xdr:to>
      <xdr:col>14</xdr:col>
      <xdr:colOff>762000</xdr:colOff>
      <xdr:row>118</xdr:row>
      <xdr:rowOff>18588</xdr:rowOff>
    </xdr:to>
    <xdr:graphicFrame macro="">
      <xdr:nvGraphicFramePr>
        <xdr:cNvPr id="7" name="Graphique 7">
          <a:extLst>
            <a:ext uri="{FF2B5EF4-FFF2-40B4-BE49-F238E27FC236}">
              <a16:creationId xmlns:a16="http://schemas.microsoft.com/office/drawing/2014/main" id="{F217035D-D9FF-4ADC-B92C-B396F8EE1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769620</xdr:colOff>
      <xdr:row>44</xdr:row>
      <xdr:rowOff>83820</xdr:rowOff>
    </xdr:from>
    <xdr:to>
      <xdr:col>10</xdr:col>
      <xdr:colOff>672353</xdr:colOff>
      <xdr:row>61</xdr:row>
      <xdr:rowOff>68580</xdr:rowOff>
    </xdr:to>
    <xdr:graphicFrame macro="">
      <xdr:nvGraphicFramePr>
        <xdr:cNvPr id="8" name="Graphique 8">
          <a:extLst>
            <a:ext uri="{FF2B5EF4-FFF2-40B4-BE49-F238E27FC236}">
              <a16:creationId xmlns:a16="http://schemas.microsoft.com/office/drawing/2014/main" id="{AEEF1D20-894D-47C4-95C4-6E001D680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448234</xdr:colOff>
      <xdr:row>96</xdr:row>
      <xdr:rowOff>98051</xdr:rowOff>
    </xdr:from>
    <xdr:to>
      <xdr:col>11</xdr:col>
      <xdr:colOff>542083</xdr:colOff>
      <xdr:row>107</xdr:row>
      <xdr:rowOff>68916</xdr:rowOff>
    </xdr:to>
    <xdr:graphicFrame macro="">
      <xdr:nvGraphicFramePr>
        <xdr:cNvPr id="9" name="Graphique 5">
          <a:extLst>
            <a:ext uri="{FF2B5EF4-FFF2-40B4-BE49-F238E27FC236}">
              <a16:creationId xmlns:a16="http://schemas.microsoft.com/office/drawing/2014/main" id="{AC8A4206-7842-4F85-977F-0414056AF3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2</xdr:row>
      <xdr:rowOff>133349</xdr:rowOff>
    </xdr:from>
    <xdr:to>
      <xdr:col>13</xdr:col>
      <xdr:colOff>533400</xdr:colOff>
      <xdr:row>12</xdr:row>
      <xdr:rowOff>85724</xdr:rowOff>
    </xdr:to>
    <xdr:graphicFrame macro="">
      <xdr:nvGraphicFramePr>
        <xdr:cNvPr id="2" name="Graphique 1">
          <a:extLst>
            <a:ext uri="{FF2B5EF4-FFF2-40B4-BE49-F238E27FC236}">
              <a16:creationId xmlns:a16="http://schemas.microsoft.com/office/drawing/2014/main" id="{DFEBE499-D972-456F-8BCF-B3B504280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6983B3-9671-4C53-AD52-898748657C59}" name="Table1" displayName="Table1" ref="A1:AM29" totalsRowShown="0" headerRowDxfId="85" dataDxfId="83" headerRowBorderDxfId="84" tableBorderDxfId="82" totalsRowBorderDxfId="81">
  <autoFilter ref="A1:AM29" xr:uid="{AED4F096-486B-4805-993A-7989ECDB86E9}"/>
  <tableColumns count="39">
    <tableColumn id="2" xr3:uid="{04589F30-063C-4343-B143-CE883FFC4442}" name="A1. Date de l’évaluation:" dataDxfId="80"/>
    <tableColumn id="3" xr3:uid="{FC2417A0-7DF0-4310-8627-A8DBA8D85D43}" name="A4. Région de l’enquête:" dataDxfId="79"/>
    <tableColumn id="38" xr3:uid="{7292BBFC-EC16-4D19-97BD-579DCAC48BFF}" name="Région_ID" dataDxfId="78"/>
    <tableColumn id="4" xr3:uid="{51BA60E5-002F-4278-9AE8-F1C5E338669F}" name="A5. Département de l’enquête:" dataDxfId="77"/>
    <tableColumn id="39" xr3:uid="{137DB718-8DCF-4F01-90F4-7E16F7F4B70A}" name="Département_ID" dataDxfId="76"/>
    <tableColumn id="5" xr3:uid="{B595ACB9-7615-4136-92DA-41721B2B08B9}" name="A6. Arrondissement de l’enquête:" dataDxfId="75"/>
    <tableColumn id="40" xr3:uid="{A22D7E18-D297-443A-8130-14F9C5962947}" name="Arrondissement_ID" dataDxfId="74"/>
    <tableColumn id="6" xr3:uid="{0272E4FB-5A8E-49FE-AC58-D622B88CB338}" name="A7. Nom du Village / localité" dataDxfId="73"/>
    <tableColumn id="7" xr3:uid="{7A49CBBB-B403-494E-BC80-AD122916A49F}" name="B1. Evénement ou Prévention?" dataDxfId="72"/>
    <tableColumn id="8" xr3:uid="{B15EE729-B40F-413F-8873-58B26C5A9778}" name="C1.1. Quel est le type d'évenement rapporté?" dataDxfId="71"/>
    <tableColumn id="9" xr3:uid="{F441FE63-500B-44F9-911E-88E2E3AFEE25}" name="C1.1.1. Si autre type, precisez" dataDxfId="70"/>
    <tableColumn id="10" xr3:uid="{B9EC23A1-40B7-41F5-B066-23ECBF208FDA}" name="C1.2. Explication succincte de l’évènement (type et raisons) (2 phrases) ?" dataDxfId="69"/>
    <tableColumn id="11" xr3:uid="{40333ED8-6995-4EB8-AB2A-4F8C79ADADCC}" name="C1.3. Date de l'événement?" dataDxfId="0"/>
    <tableColumn id="12" xr3:uid="{84EB2767-5E97-48AF-A05C-C667A90D54DF}" name="C1.4. Heure approximative de l'événement?" dataDxfId="68"/>
    <tableColumn id="13" xr3:uid="{42B46831-A0DE-41A1-822C-A9B40F8155F9}" name="C1.5. Raison(s) de l’évènement ? (Si conflit agro-pastoral en C.1.1) (3 réponses possibles)" dataDxfId="67"/>
    <tableColumn id="14" xr3:uid="{CBE02E86-3DF3-48C0-8AFE-4CA3F8D54581}" name="C1.5.1. Si autre raison, precisez" dataDxfId="66"/>
    <tableColumn id="15" xr3:uid="{CA6CE1F4-4E72-45EF-8447-0AE1C88332D8}" name="C1.6. Quels sont les acteurs impliqués directement dans cet évènement ? (Plusieurs réponses possibles)" dataDxfId="65"/>
    <tableColumn id="16" xr3:uid="{B472D489-ABD0-4D6B-A627-96A68A7A3FFF}" name="C1.6.1. Si Réfugiés, précisez la nationalité" dataDxfId="64"/>
    <tableColumn id="17" xr3:uid="{24902DCD-AC43-4CBC-90A1-C5D3F352CD79}" name="C1.6.1.1. Si autre pays, precisez" dataDxfId="63"/>
    <tableColumn id="18" xr3:uid="{ED104FDA-B3A3-4209-8F88-99BF6A7C4829}" name="C1.6.2. Si Autorités nationales et/ou locales, précisez ?" dataDxfId="62"/>
    <tableColumn id="19" xr3:uid="{D8AABB4A-AB7B-4378-B7DB-210D9E229551}" name="C1.6.3. Si autre acteur, precisez" dataDxfId="61"/>
    <tableColumn id="20" xr3:uid="{1858F554-7030-4160-95CD-B34A63F087A5}" name="C1.7. L’évènement est-il résolu?" dataDxfId="60"/>
    <tableColumn id="21" xr3:uid="{65BEEBCD-5840-4447-9312-C95BAD0BEA63}" name="C1.8. Si Oui, qui a résolu ce conflit (Plusieurs réponses possibles)" dataDxfId="59"/>
    <tableColumn id="22" xr3:uid="{6450B27F-3F5E-4711-B10B-E2C8AA941960}" name="C1.8.1. Si autre comité de gestion des conflits, precisez la localité" dataDxfId="58"/>
    <tableColumn id="23" xr3:uid="{01CC5D2F-4A27-4373-B8C8-C87506104CE3}" name="C1.8.2. Si Autorités nationales et/ou locales, précisez ?" dataDxfId="57"/>
    <tableColumn id="24" xr3:uid="{E9B0D1EA-2EDD-45B1-B674-D29B45497C1C}" name="C1.8.3. Si Leaders communautaires / Chef coutumier, précisez ?" dataDxfId="56"/>
    <tableColumn id="25" xr3:uid="{93681278-32B1-4906-ADDD-EEB1C4BB0555}" name="C1.8.4. Si autre, precisez l'acteur." dataDxfId="55"/>
    <tableColumn id="26" xr3:uid="{B355D174-90DE-417A-8C3A-8E3504F1AFF9}" name="C1.9. Des risques de représailles ou reprise du conflit demeurent-ils ?" dataDxfId="54"/>
    <tableColumn id="27" xr3:uid="{2F0C533F-CEE6-4EB7-B55A-F0B2235E527A}" name="C1.9.1. Si Oui, quelles mesures pourraient contribuer à l’apaisement des acteurs impliqués dans ce conflit ? (Jusqu’à 3 réponses possibles)" dataDxfId="53"/>
    <tableColumn id="28" xr3:uid="{2BB185BF-B7E7-4F6D-A240-2CABE05F1D12}" name="C1.9.2. Si autre, precisez la mesure d'apaisement" dataDxfId="52"/>
    <tableColumn id="29" xr3:uid="{4AE9BE2C-EB8F-4DD6-81B6-5F3234E78DF1}" name="C2.1 Y’a-t-il eu des déplacés liés à ce conflit ?" dataDxfId="51"/>
    <tableColumn id="30" xr3:uid="{6492E2AE-FA00-4BC0-8DD2-37188B5F1B54}" name="C2.2. Si OUI, où sont-ils allés ? (Arrondissement)" dataDxfId="50"/>
    <tableColumn id="31" xr3:uid="{30A5C9F2-46B1-45F2-BB20-C08006C8C601}" name="C2.3. Y’a-t-il eu des pertes en vies humaines ou des blessés suite à cet évènement ?" dataDxfId="49"/>
    <tableColumn id="32" xr3:uid="{646F0EB1-CD01-4B46-9DAB-696849E8248F}" name="C3.1.Perte ou destruction : Habitat" dataDxfId="48"/>
    <tableColumn id="33" xr3:uid="{71EE1547-96E2-47EA-8AB2-D5164EFC812A}" name="C3.2.Perte ou destruction : Cultures/Fourage/Intrants" dataDxfId="47"/>
    <tableColumn id="34" xr3:uid="{F4CD0729-1886-4AEA-B118-D256AB3657DD}" name="C3.3.Perte ou destruction : Outils agricoles" dataDxfId="46"/>
    <tableColumn id="35" xr3:uid="{E5F8D6D8-DE73-4AE4-B833-4F528DD52E43}" name="C3.4.Perte ou destruction : Betails" dataDxfId="45"/>
    <tableColumn id="36" xr3:uid="{8513803D-04CF-4520-824C-A7E8E55C809B}" name="C3.5.Perte ou destruction : Autres structures agricole( puits, etc)" dataDxfId="44"/>
    <tableColumn id="37" xr3:uid="{2DFDBF62-491F-4783-81A3-C401B742EDAF}" name="Commentaires" dataDxfId="4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3E519E5-23D5-40D3-AE79-507E83EB6524}" name="Table4" displayName="Table4" ref="A1:AK6" totalsRowShown="0" headerRowDxfId="42" dataDxfId="40" headerRowBorderDxfId="41" tableBorderDxfId="39" totalsRowBorderDxfId="38">
  <autoFilter ref="A1:AK6" xr:uid="{56443D1D-638A-4E08-8643-CAF187DFB30F}"/>
  <tableColumns count="37">
    <tableColumn id="2" xr3:uid="{F4D2C6B4-B643-47CB-933F-B731578B9C99}" name="A1. Date de l’évaluation:" dataDxfId="37"/>
    <tableColumn id="3" xr3:uid="{E9737C75-7CCA-419B-AE7E-627063054A54}" name="A4. Région de l’enquête:" dataDxfId="36"/>
    <tableColumn id="36" xr3:uid="{09EE3DF0-D844-407F-98F3-F9511EE56299}" name="Région_ID" dataDxfId="35"/>
    <tableColumn id="4" xr3:uid="{8C6F94DD-C97C-4656-904B-E7E46256D35B}" name="A5. Département de l’enquête:" dataDxfId="34"/>
    <tableColumn id="37" xr3:uid="{9FC75CAA-110F-4B0B-8B4B-8623AEE1F565}" name="Département_ID" dataDxfId="33"/>
    <tableColumn id="5" xr3:uid="{0A3962DA-E0A7-48F2-B0EB-E5D91F761831}" name="A6. Arrondissement de l’enquête:" dataDxfId="32"/>
    <tableColumn id="38" xr3:uid="{3CF4B4A7-8A78-4329-B49B-90EBDA07F1E4}" name="Arrondissement_ID" dataDxfId="31"/>
    <tableColumn id="6" xr3:uid="{5D6798DD-309D-4DB3-9843-1B016B89186A}" name="A7. Nom du Village / localité" dataDxfId="30"/>
    <tableColumn id="7" xr3:uid="{833879E7-4CC6-4A33-9F91-BF07B64216D4}" name="B1. Evénement ou Prévention?" dataDxfId="29"/>
    <tableColumn id="8" xr3:uid="{A63D7048-D926-4A68-9AC1-73FFE51624C5}" name="D1.1. Type de mouvement ?" dataDxfId="28"/>
    <tableColumn id="9" xr3:uid="{8B73C0B3-CB44-4E19-BB18-91A5715BF537}" name="D1.1.1 Si autre mouvement, spécifiez :" dataDxfId="27"/>
    <tableColumn id="10" xr3:uid="{6243F745-9FE1-4582-A2CB-042E92DEDC50}" name="D1.2. Combien de personnes accompagnent les troupeaux ?" dataDxfId="26"/>
    <tableColumn id="11" xr3:uid="{92A901BD-1BCA-4E42-832B-4EA889189E61}" name="D1.3. Quelle est la taille du troupeau ? (estimatoin du nombre de bêtes)" dataDxfId="25"/>
    <tableColumn id="12" xr3:uid="{67F83B11-9974-43A8-85D9-4796F8D8E08D}" name="D2.1. Pays de provenance du troupeau" dataDxfId="24"/>
    <tableColumn id="13" xr3:uid="{D7C30FF1-591D-4EAF-AE0B-3A73FAC396F3}" name="D2.1. Autre pays de provenance du troupeau" dataDxfId="23"/>
    <tableColumn id="14" xr3:uid="{0D3C2D6E-2473-4A66-94FC-7EED17326421}" name="D2.2. Région de provenance du troupeau" dataDxfId="22"/>
    <tableColumn id="15" xr3:uid="{12DA9D8E-82AE-4314-BE46-8E697A63A523}" name="D2.3. Département de provenance du troupeau" dataDxfId="21"/>
    <tableColumn id="16" xr3:uid="{F3A2EAA3-E243-425B-9164-AA72F610BE6A}" name="D2.4. Arrondissement de provenance du troupeau" dataDxfId="20"/>
    <tableColumn id="17" xr3:uid="{B2BCD053-2E78-4C95-938E-B8980FADB395}" name="D3.1. Pays de destination du troupeau" dataDxfId="19"/>
    <tableColumn id="18" xr3:uid="{9EF999B0-C578-43A6-B94E-F8169DB92C38}" name="D3.1.1. Autre pays de destination du troupeau" dataDxfId="18"/>
    <tableColumn id="19" xr3:uid="{4842EC25-5B77-4296-9DF5-5B041111CCCF}" name="D3.2. Région de destination du troupeau" dataDxfId="17"/>
    <tableColumn id="20" xr3:uid="{34A9CDC4-D68D-4854-B062-3307AE9B28D3}" name="D3.3. Département de destination du troupeau" dataDxfId="16"/>
    <tableColumn id="21" xr3:uid="{EEACF05C-3686-44B3-933C-26BA37CF6BD7}" name="D3.4. Arrondissement de destination du troupeau" dataDxfId="15"/>
    <tableColumn id="22" xr3:uid="{3E21F38E-7545-451F-91E5-A3BB0970BE84}" name="D4.1. Quels sont les risques potentiels associés à ce mouvement ? (Plusieurs réponses possibles)" dataDxfId="14"/>
    <tableColumn id="23" xr3:uid="{DE47868C-C27C-4743-B31F-E370FD3B50FD}" name="D4.1.1. Si autre type de conflit, précisez" dataDxfId="13"/>
    <tableColumn id="24" xr3:uid="{56AF9F49-07FD-49AE-B969-1FF4DF0CDAFB}" name="D4.2. Quelle est la probabilité que ce risque potentiel se concrétise ? (Estimation)" dataDxfId="12"/>
    <tableColumn id="25" xr3:uid="{C5A18052-C0DE-45F1-9322-D9EE259C109D}" name="D4.3. Quels sont les risques liés au passage de ce mouvement ? (Plusieurs réponses possibles)" dataDxfId="11"/>
    <tableColumn id="26" xr3:uid="{07D546EC-8FCD-4EDD-916A-A9CAC4385723}" name="D4.3.1. Si autres, précisez" dataDxfId="10"/>
    <tableColumn id="27" xr3:uid="{066770DB-20FB-4AD6-BC85-E7FB0B0339BF}" name="D4.4. Quels sont les acteurs qui pourraient être impliqués dans un potentiel évènement ? (Plusieurs réponses possibles)" dataDxfId="9"/>
    <tableColumn id="28" xr3:uid="{A9CD019E-1781-4D9B-934E-05E107642717}" name="D4.4.1. Si Réfugiés, précisez la nationalité" dataDxfId="8"/>
    <tableColumn id="29" xr3:uid="{F687705A-A2CC-4579-A62F-12D555837D65}" name="D4.4.1.1. Si autre pays, precisez" dataDxfId="7"/>
    <tableColumn id="30" xr3:uid="{59874B27-E612-4671-9FB4-5CACDA0FD6AD}" name="D4.4.2. Si Autorités nationales et/ou locales, précisez ?" dataDxfId="6"/>
    <tableColumn id="31" xr3:uid="{FFAF1846-91BE-4B8E-A1B7-533DB92A31D7}" name="D4.4.1. Si autres, précisez" dataDxfId="5"/>
    <tableColumn id="32" xr3:uid="{C342295A-133C-4438-ACB9-90981202694D}" name="D4.5. Dans quelles localités pensez-vous que ce potentiel évènement se produira ?" dataDxfId="4"/>
    <tableColumn id="33" xr3:uid="{31A2F1B7-E08E-4976-9D7E-4EF78071EBB6}" name="D4.5.1. Précisez ces localités" dataDxfId="3"/>
    <tableColumn id="34" xr3:uid="{C51816C3-4444-4C53-A935-0596B0B2509B}" name="D4.5.2. Précisez la zone" dataDxfId="2"/>
    <tableColumn id="35" xr3:uid="{ADF9D481-E8F7-473A-8EBC-23831B89F2CD}" name="Commentaires"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F773C-2B21-4193-A53A-FA7AE8738B73}">
  <sheetPr>
    <tabColor theme="0"/>
  </sheetPr>
  <dimension ref="A1:AM29"/>
  <sheetViews>
    <sheetView tabSelected="1" topLeftCell="L1" zoomScale="80" zoomScaleNormal="80" zoomScaleSheetLayoutView="100" workbookViewId="0">
      <pane ySplit="1" topLeftCell="A2" activePane="bottomLeft" state="frozen"/>
      <selection pane="bottomLeft" activeCell="L28" sqref="L28"/>
    </sheetView>
  </sheetViews>
  <sheetFormatPr defaultColWidth="14.140625" defaultRowHeight="40.15" customHeight="1" x14ac:dyDescent="0.25"/>
  <cols>
    <col min="1" max="1" width="26.42578125" style="2" bestFit="1" customWidth="1"/>
    <col min="2" max="2" width="26" style="2" bestFit="1" customWidth="1"/>
    <col min="3" max="3" width="13.140625" style="2" bestFit="1" customWidth="1"/>
    <col min="4" max="4" width="32" style="2" bestFit="1" customWidth="1"/>
    <col min="5" max="5" width="19.140625" style="2" bestFit="1" customWidth="1"/>
    <col min="6" max="6" width="34.140625" style="2" bestFit="1" customWidth="1"/>
    <col min="7" max="7" width="21.28515625" style="2" bestFit="1" customWidth="1"/>
    <col min="8" max="8" width="30" style="2" bestFit="1" customWidth="1"/>
    <col min="9" max="9" width="32" style="2" bestFit="1" customWidth="1"/>
    <col min="10" max="10" width="45.28515625" style="2" bestFit="1" customWidth="1"/>
    <col min="11" max="11" width="92.28515625" style="2" bestFit="1" customWidth="1"/>
    <col min="12" max="12" width="255.7109375" style="2" bestFit="1" customWidth="1"/>
    <col min="13" max="13" width="29.140625" style="2" bestFit="1" customWidth="1"/>
    <col min="14" max="14" width="44.28515625" style="2" bestFit="1" customWidth="1"/>
    <col min="15" max="15" width="151.5703125" style="2" bestFit="1" customWidth="1"/>
    <col min="16" max="16" width="111" style="2" bestFit="1" customWidth="1"/>
    <col min="17" max="17" width="98.7109375" style="2" bestFit="1" customWidth="1"/>
    <col min="18" max="18" width="41.7109375" style="2" bestFit="1" customWidth="1"/>
    <col min="19" max="19" width="32.42578125" style="2" bestFit="1" customWidth="1"/>
    <col min="20" max="20" width="53.7109375" style="2" bestFit="1" customWidth="1"/>
    <col min="21" max="21" width="84.85546875" style="2" bestFit="1" customWidth="1"/>
    <col min="22" max="22" width="33" style="2" bestFit="1" customWidth="1"/>
    <col min="23" max="23" width="62.7109375" style="2" bestFit="1" customWidth="1"/>
    <col min="24" max="24" width="63.42578125" style="2" bestFit="1" customWidth="1"/>
    <col min="25" max="25" width="255.7109375" style="2" bestFit="1" customWidth="1"/>
    <col min="26" max="26" width="180" style="2" bestFit="1" customWidth="1"/>
    <col min="27" max="27" width="33.85546875" style="2" bestFit="1" customWidth="1"/>
    <col min="28" max="28" width="67.140625" style="2" bestFit="1" customWidth="1"/>
    <col min="29" max="29" width="129.85546875" style="2" bestFit="1" customWidth="1"/>
    <col min="30" max="30" width="106" style="2" bestFit="1" customWidth="1"/>
    <col min="31" max="31" width="45.28515625" style="2" bestFit="1" customWidth="1"/>
    <col min="32" max="32" width="48" style="2" bestFit="1" customWidth="1"/>
    <col min="33" max="33" width="80.7109375" style="2" bestFit="1" customWidth="1"/>
    <col min="34" max="34" width="35.140625" style="2" bestFit="1" customWidth="1"/>
    <col min="35" max="35" width="52" style="2" bestFit="1" customWidth="1"/>
    <col min="36" max="36" width="42.28515625" style="2" bestFit="1" customWidth="1"/>
    <col min="37" max="37" width="34.42578125" style="2" bestFit="1" customWidth="1"/>
    <col min="38" max="38" width="62.140625" style="2" bestFit="1" customWidth="1"/>
    <col min="39" max="39" width="255.7109375" style="2" bestFit="1" customWidth="1"/>
    <col min="40" max="16384" width="14.140625" style="2"/>
  </cols>
  <sheetData>
    <row r="1" spans="1:39" s="36" customFormat="1" ht="40.15" customHeight="1" x14ac:dyDescent="0.25">
      <c r="A1" s="35" t="s">
        <v>0</v>
      </c>
      <c r="B1" s="35" t="s">
        <v>1</v>
      </c>
      <c r="C1" s="35" t="s">
        <v>262</v>
      </c>
      <c r="D1" s="35" t="s">
        <v>2</v>
      </c>
      <c r="E1" s="35" t="s">
        <v>263</v>
      </c>
      <c r="F1" s="35" t="s">
        <v>3</v>
      </c>
      <c r="G1" s="35" t="s">
        <v>264</v>
      </c>
      <c r="H1" s="35" t="s">
        <v>4</v>
      </c>
      <c r="I1" s="35" t="s">
        <v>5</v>
      </c>
      <c r="J1" s="35" t="s">
        <v>6</v>
      </c>
      <c r="K1" s="35" t="s">
        <v>7</v>
      </c>
      <c r="L1" s="35" t="s">
        <v>8</v>
      </c>
      <c r="M1" s="46" t="s">
        <v>9</v>
      </c>
      <c r="N1" s="35" t="s">
        <v>10</v>
      </c>
      <c r="O1" s="35" t="s">
        <v>11</v>
      </c>
      <c r="P1" s="35" t="s">
        <v>12</v>
      </c>
      <c r="Q1" s="35" t="s">
        <v>13</v>
      </c>
      <c r="R1" s="35" t="s">
        <v>14</v>
      </c>
      <c r="S1" s="35" t="s">
        <v>15</v>
      </c>
      <c r="T1" s="35" t="s">
        <v>16</v>
      </c>
      <c r="U1" s="35" t="s">
        <v>17</v>
      </c>
      <c r="V1" s="35" t="s">
        <v>18</v>
      </c>
      <c r="W1" s="35" t="s">
        <v>19</v>
      </c>
      <c r="X1" s="35" t="s">
        <v>20</v>
      </c>
      <c r="Y1" s="35" t="s">
        <v>21</v>
      </c>
      <c r="Z1" s="35" t="s">
        <v>22</v>
      </c>
      <c r="AA1" s="35" t="s">
        <v>23</v>
      </c>
      <c r="AB1" s="35" t="s">
        <v>24</v>
      </c>
      <c r="AC1" s="35" t="s">
        <v>331</v>
      </c>
      <c r="AD1" s="35" t="s">
        <v>25</v>
      </c>
      <c r="AE1" s="35" t="s">
        <v>26</v>
      </c>
      <c r="AF1" s="35" t="s">
        <v>27</v>
      </c>
      <c r="AG1" s="35" t="s">
        <v>28</v>
      </c>
      <c r="AH1" s="35" t="s">
        <v>29</v>
      </c>
      <c r="AI1" s="35" t="s">
        <v>30</v>
      </c>
      <c r="AJ1" s="35" t="s">
        <v>31</v>
      </c>
      <c r="AK1" s="35" t="s">
        <v>32</v>
      </c>
      <c r="AL1" s="35" t="s">
        <v>33</v>
      </c>
      <c r="AM1" s="35" t="s">
        <v>332</v>
      </c>
    </row>
    <row r="2" spans="1:39" ht="27" customHeight="1" x14ac:dyDescent="0.25">
      <c r="A2" s="2" t="s">
        <v>216</v>
      </c>
      <c r="B2" s="2" t="s">
        <v>108</v>
      </c>
      <c r="C2" s="2" t="s">
        <v>265</v>
      </c>
      <c r="D2" s="2" t="s">
        <v>140</v>
      </c>
      <c r="E2" s="2" t="s">
        <v>267</v>
      </c>
      <c r="F2" s="2" t="s">
        <v>141</v>
      </c>
      <c r="G2" s="2" t="s">
        <v>270</v>
      </c>
      <c r="H2" s="2" t="s">
        <v>217</v>
      </c>
      <c r="I2" s="2" t="s">
        <v>65</v>
      </c>
      <c r="J2" s="2" t="s">
        <v>66</v>
      </c>
      <c r="L2" s="2" t="s">
        <v>218</v>
      </c>
      <c r="M2" s="47">
        <v>44070</v>
      </c>
      <c r="N2" s="2" t="s">
        <v>174</v>
      </c>
      <c r="O2" s="2" t="s">
        <v>219</v>
      </c>
      <c r="P2" s="2" t="s">
        <v>220</v>
      </c>
      <c r="Q2" s="2" t="s">
        <v>221</v>
      </c>
      <c r="U2" s="2" t="s">
        <v>222</v>
      </c>
      <c r="V2" s="2" t="s">
        <v>70</v>
      </c>
      <c r="W2" s="2" t="s">
        <v>146</v>
      </c>
      <c r="AB2" s="2" t="s">
        <v>73</v>
      </c>
      <c r="AE2" s="2" t="s">
        <v>73</v>
      </c>
      <c r="AG2" s="2" t="s">
        <v>73</v>
      </c>
      <c r="AH2" s="2" t="s">
        <v>73</v>
      </c>
      <c r="AI2" s="2" t="s">
        <v>73</v>
      </c>
      <c r="AJ2" s="2" t="s">
        <v>73</v>
      </c>
      <c r="AK2" s="2" t="s">
        <v>73</v>
      </c>
      <c r="AL2" s="2" t="s">
        <v>73</v>
      </c>
      <c r="AM2" s="2" t="s">
        <v>223</v>
      </c>
    </row>
    <row r="3" spans="1:39" ht="27" customHeight="1" x14ac:dyDescent="0.25">
      <c r="A3" s="2" t="s">
        <v>139</v>
      </c>
      <c r="B3" s="2" t="s">
        <v>108</v>
      </c>
      <c r="C3" s="2" t="s">
        <v>265</v>
      </c>
      <c r="D3" s="2" t="s">
        <v>140</v>
      </c>
      <c r="E3" s="2" t="s">
        <v>267</v>
      </c>
      <c r="F3" s="2" t="s">
        <v>141</v>
      </c>
      <c r="G3" s="2" t="s">
        <v>270</v>
      </c>
      <c r="H3" s="2" t="s">
        <v>142</v>
      </c>
      <c r="I3" s="2" t="s">
        <v>65</v>
      </c>
      <c r="J3" s="2" t="s">
        <v>66</v>
      </c>
      <c r="L3" s="2" t="s">
        <v>143</v>
      </c>
      <c r="M3" s="47">
        <v>44069</v>
      </c>
      <c r="N3" s="2" t="s">
        <v>102</v>
      </c>
      <c r="O3" s="2" t="s">
        <v>144</v>
      </c>
      <c r="Q3" s="2" t="s">
        <v>145</v>
      </c>
      <c r="V3" s="2" t="s">
        <v>70</v>
      </c>
      <c r="W3" s="2" t="s">
        <v>146</v>
      </c>
      <c r="AB3" s="2" t="s">
        <v>70</v>
      </c>
      <c r="AC3" s="2" t="s">
        <v>147</v>
      </c>
      <c r="AE3" s="2" t="s">
        <v>73</v>
      </c>
      <c r="AG3" s="2" t="s">
        <v>73</v>
      </c>
      <c r="AH3" s="2" t="s">
        <v>73</v>
      </c>
      <c r="AI3" s="2" t="s">
        <v>70</v>
      </c>
      <c r="AJ3" s="2" t="s">
        <v>73</v>
      </c>
      <c r="AK3" s="2" t="s">
        <v>73</v>
      </c>
      <c r="AL3" s="2" t="s">
        <v>73</v>
      </c>
      <c r="AM3" s="2" t="s">
        <v>181</v>
      </c>
    </row>
    <row r="4" spans="1:39" ht="27" customHeight="1" x14ac:dyDescent="0.25">
      <c r="A4" s="2" t="s">
        <v>139</v>
      </c>
      <c r="B4" s="2" t="s">
        <v>108</v>
      </c>
      <c r="C4" s="2" t="s">
        <v>265</v>
      </c>
      <c r="D4" s="2" t="s">
        <v>140</v>
      </c>
      <c r="E4" s="2" t="s">
        <v>267</v>
      </c>
      <c r="F4" s="2" t="s">
        <v>141</v>
      </c>
      <c r="G4" s="2" t="s">
        <v>270</v>
      </c>
      <c r="H4" s="2" t="s">
        <v>148</v>
      </c>
      <c r="I4" s="2" t="s">
        <v>65</v>
      </c>
      <c r="J4" s="2" t="s">
        <v>66</v>
      </c>
      <c r="L4" s="2" t="s">
        <v>149</v>
      </c>
      <c r="M4" s="47">
        <v>44060</v>
      </c>
      <c r="N4" s="2" t="s">
        <v>150</v>
      </c>
      <c r="O4" s="2" t="s">
        <v>144</v>
      </c>
      <c r="Q4" s="2" t="s">
        <v>145</v>
      </c>
      <c r="V4" s="2" t="s">
        <v>70</v>
      </c>
      <c r="W4" s="2" t="s">
        <v>146</v>
      </c>
      <c r="AB4" s="2" t="s">
        <v>70</v>
      </c>
      <c r="AC4" s="2" t="s">
        <v>151</v>
      </c>
      <c r="AD4" s="2" t="s">
        <v>152</v>
      </c>
      <c r="AE4" s="2" t="s">
        <v>73</v>
      </c>
      <c r="AG4" s="2" t="s">
        <v>73</v>
      </c>
      <c r="AH4" s="2" t="s">
        <v>73</v>
      </c>
      <c r="AI4" s="2" t="s">
        <v>70</v>
      </c>
      <c r="AJ4" s="2" t="s">
        <v>73</v>
      </c>
      <c r="AK4" s="2" t="s">
        <v>73</v>
      </c>
      <c r="AL4" s="2" t="s">
        <v>73</v>
      </c>
      <c r="AM4" s="2" t="s">
        <v>181</v>
      </c>
    </row>
    <row r="5" spans="1:39" ht="27" customHeight="1" x14ac:dyDescent="0.25">
      <c r="A5" s="2" t="s">
        <v>139</v>
      </c>
      <c r="B5" s="2" t="s">
        <v>108</v>
      </c>
      <c r="C5" s="2" t="s">
        <v>265</v>
      </c>
      <c r="D5" s="2" t="s">
        <v>140</v>
      </c>
      <c r="E5" s="2" t="s">
        <v>267</v>
      </c>
      <c r="F5" s="2" t="s">
        <v>141</v>
      </c>
      <c r="G5" s="2" t="s">
        <v>270</v>
      </c>
      <c r="H5" s="2" t="s">
        <v>153</v>
      </c>
      <c r="I5" s="2" t="s">
        <v>65</v>
      </c>
      <c r="J5" s="2" t="s">
        <v>66</v>
      </c>
      <c r="L5" s="2" t="s">
        <v>154</v>
      </c>
      <c r="M5" s="47">
        <v>44059</v>
      </c>
      <c r="N5" s="2" t="s">
        <v>155</v>
      </c>
      <c r="O5" s="2" t="s">
        <v>144</v>
      </c>
      <c r="Q5" s="2" t="s">
        <v>145</v>
      </c>
      <c r="V5" s="2" t="s">
        <v>70</v>
      </c>
      <c r="W5" s="2" t="s">
        <v>156</v>
      </c>
      <c r="Y5" s="2" t="s">
        <v>157</v>
      </c>
      <c r="AB5" s="2" t="s">
        <v>70</v>
      </c>
      <c r="AC5" s="2" t="s">
        <v>147</v>
      </c>
      <c r="AE5" s="2" t="s">
        <v>73</v>
      </c>
      <c r="AG5" s="2" t="s">
        <v>73</v>
      </c>
      <c r="AH5" s="2" t="s">
        <v>73</v>
      </c>
      <c r="AI5" s="2" t="s">
        <v>70</v>
      </c>
      <c r="AJ5" s="2" t="s">
        <v>73</v>
      </c>
      <c r="AK5" s="2" t="s">
        <v>73</v>
      </c>
      <c r="AL5" s="2" t="s">
        <v>73</v>
      </c>
      <c r="AM5" s="2" t="s">
        <v>182</v>
      </c>
    </row>
    <row r="6" spans="1:39" ht="27" customHeight="1" x14ac:dyDescent="0.25">
      <c r="A6" s="2" t="s">
        <v>139</v>
      </c>
      <c r="B6" s="2" t="s">
        <v>108</v>
      </c>
      <c r="C6" s="2" t="s">
        <v>265</v>
      </c>
      <c r="D6" s="2" t="s">
        <v>140</v>
      </c>
      <c r="E6" s="2" t="s">
        <v>267</v>
      </c>
      <c r="F6" s="2" t="s">
        <v>141</v>
      </c>
      <c r="G6" s="2" t="s">
        <v>270</v>
      </c>
      <c r="H6" s="2" t="s">
        <v>158</v>
      </c>
      <c r="I6" s="2" t="s">
        <v>65</v>
      </c>
      <c r="J6" s="2" t="s">
        <v>66</v>
      </c>
      <c r="L6" s="2" t="s">
        <v>159</v>
      </c>
      <c r="M6" s="47">
        <v>44063</v>
      </c>
      <c r="N6" s="2" t="s">
        <v>150</v>
      </c>
      <c r="O6" s="2" t="s">
        <v>144</v>
      </c>
      <c r="Q6" s="2" t="s">
        <v>145</v>
      </c>
      <c r="V6" s="2" t="s">
        <v>73</v>
      </c>
      <c r="AB6" s="2" t="s">
        <v>73</v>
      </c>
      <c r="AE6" s="2" t="s">
        <v>73</v>
      </c>
      <c r="AG6" s="2" t="s">
        <v>73</v>
      </c>
      <c r="AH6" s="2" t="s">
        <v>73</v>
      </c>
      <c r="AI6" s="2" t="s">
        <v>70</v>
      </c>
      <c r="AJ6" s="2" t="s">
        <v>73</v>
      </c>
      <c r="AK6" s="2" t="s">
        <v>73</v>
      </c>
      <c r="AL6" s="2" t="s">
        <v>73</v>
      </c>
      <c r="AM6" s="2" t="s">
        <v>183</v>
      </c>
    </row>
    <row r="7" spans="1:39" ht="27" customHeight="1" x14ac:dyDescent="0.25">
      <c r="A7" s="2" t="s">
        <v>139</v>
      </c>
      <c r="B7" s="2" t="s">
        <v>108</v>
      </c>
      <c r="C7" s="2" t="s">
        <v>265</v>
      </c>
      <c r="D7" s="2" t="s">
        <v>140</v>
      </c>
      <c r="E7" s="2" t="s">
        <v>267</v>
      </c>
      <c r="F7" s="2" t="s">
        <v>141</v>
      </c>
      <c r="G7" s="2" t="s">
        <v>270</v>
      </c>
      <c r="H7" s="2" t="s">
        <v>161</v>
      </c>
      <c r="I7" s="2" t="s">
        <v>65</v>
      </c>
      <c r="J7" s="2" t="s">
        <v>66</v>
      </c>
      <c r="L7" s="2" t="s">
        <v>162</v>
      </c>
      <c r="M7" s="47">
        <v>44054</v>
      </c>
      <c r="N7" s="2" t="s">
        <v>102</v>
      </c>
      <c r="O7" s="2" t="s">
        <v>144</v>
      </c>
      <c r="Q7" s="2" t="s">
        <v>145</v>
      </c>
      <c r="V7" s="2" t="s">
        <v>70</v>
      </c>
      <c r="W7" s="2" t="s">
        <v>146</v>
      </c>
      <c r="AB7" s="2" t="s">
        <v>70</v>
      </c>
      <c r="AC7" s="2" t="s">
        <v>147</v>
      </c>
      <c r="AE7" s="2" t="s">
        <v>73</v>
      </c>
      <c r="AG7" s="2" t="s">
        <v>73</v>
      </c>
      <c r="AH7" s="2" t="s">
        <v>73</v>
      </c>
      <c r="AI7" s="2" t="s">
        <v>70</v>
      </c>
      <c r="AJ7" s="2" t="s">
        <v>73</v>
      </c>
      <c r="AK7" s="2" t="s">
        <v>73</v>
      </c>
      <c r="AL7" s="2" t="s">
        <v>73</v>
      </c>
      <c r="AM7" s="2" t="s">
        <v>181</v>
      </c>
    </row>
    <row r="8" spans="1:39" ht="27" customHeight="1" x14ac:dyDescent="0.25">
      <c r="A8" s="2" t="s">
        <v>139</v>
      </c>
      <c r="B8" s="2" t="s">
        <v>108</v>
      </c>
      <c r="C8" s="2" t="s">
        <v>265</v>
      </c>
      <c r="D8" s="2" t="s">
        <v>140</v>
      </c>
      <c r="E8" s="2" t="s">
        <v>267</v>
      </c>
      <c r="F8" s="2" t="s">
        <v>141</v>
      </c>
      <c r="G8" s="2" t="s">
        <v>270</v>
      </c>
      <c r="H8" s="2" t="s">
        <v>153</v>
      </c>
      <c r="I8" s="2" t="s">
        <v>65</v>
      </c>
      <c r="J8" s="2" t="s">
        <v>66</v>
      </c>
      <c r="L8" s="2" t="s">
        <v>163</v>
      </c>
      <c r="M8" s="47">
        <v>44059</v>
      </c>
      <c r="N8" s="2" t="s">
        <v>164</v>
      </c>
      <c r="O8" s="2" t="s">
        <v>144</v>
      </c>
      <c r="Q8" s="2" t="s">
        <v>145</v>
      </c>
      <c r="V8" s="2" t="s">
        <v>70</v>
      </c>
      <c r="W8" s="2" t="s">
        <v>146</v>
      </c>
      <c r="AB8" s="2" t="s">
        <v>70</v>
      </c>
      <c r="AC8" s="2" t="s">
        <v>151</v>
      </c>
      <c r="AD8" s="2" t="s">
        <v>165</v>
      </c>
      <c r="AE8" s="2" t="s">
        <v>73</v>
      </c>
      <c r="AG8" s="2" t="s">
        <v>73</v>
      </c>
      <c r="AH8" s="2" t="s">
        <v>73</v>
      </c>
      <c r="AI8" s="2" t="s">
        <v>70</v>
      </c>
      <c r="AJ8" s="2" t="s">
        <v>73</v>
      </c>
      <c r="AK8" s="2" t="s">
        <v>73</v>
      </c>
      <c r="AL8" s="2" t="s">
        <v>73</v>
      </c>
      <c r="AM8" s="2" t="s">
        <v>181</v>
      </c>
    </row>
    <row r="9" spans="1:39" ht="27" customHeight="1" x14ac:dyDescent="0.25">
      <c r="A9" s="2" t="s">
        <v>139</v>
      </c>
      <c r="B9" s="2" t="s">
        <v>108</v>
      </c>
      <c r="C9" s="2" t="s">
        <v>265</v>
      </c>
      <c r="D9" s="2" t="s">
        <v>140</v>
      </c>
      <c r="E9" s="2" t="s">
        <v>267</v>
      </c>
      <c r="F9" s="2" t="s">
        <v>141</v>
      </c>
      <c r="G9" s="2" t="s">
        <v>270</v>
      </c>
      <c r="H9" s="2" t="s">
        <v>166</v>
      </c>
      <c r="I9" s="2" t="s">
        <v>65</v>
      </c>
      <c r="J9" s="2" t="s">
        <v>66</v>
      </c>
      <c r="L9" s="2" t="s">
        <v>167</v>
      </c>
      <c r="M9" s="47">
        <v>44058</v>
      </c>
      <c r="N9" s="2" t="s">
        <v>168</v>
      </c>
      <c r="O9" s="2" t="s">
        <v>144</v>
      </c>
      <c r="Q9" s="2" t="s">
        <v>145</v>
      </c>
      <c r="V9" s="2" t="s">
        <v>70</v>
      </c>
      <c r="W9" s="2" t="s">
        <v>71</v>
      </c>
      <c r="Y9" s="2" t="s">
        <v>169</v>
      </c>
      <c r="AB9" s="2" t="s">
        <v>73</v>
      </c>
      <c r="AE9" s="2" t="s">
        <v>73</v>
      </c>
      <c r="AG9" s="2" t="s">
        <v>73</v>
      </c>
      <c r="AH9" s="2" t="s">
        <v>73</v>
      </c>
      <c r="AI9" s="2" t="s">
        <v>70</v>
      </c>
      <c r="AJ9" s="2" t="s">
        <v>73</v>
      </c>
      <c r="AK9" s="2" t="s">
        <v>73</v>
      </c>
      <c r="AL9" s="2" t="s">
        <v>73</v>
      </c>
      <c r="AM9" s="2" t="s">
        <v>185</v>
      </c>
    </row>
    <row r="10" spans="1:39" ht="27" customHeight="1" x14ac:dyDescent="0.25">
      <c r="A10" s="2" t="s">
        <v>216</v>
      </c>
      <c r="B10" s="2" t="s">
        <v>108</v>
      </c>
      <c r="C10" s="2" t="s">
        <v>265</v>
      </c>
      <c r="D10" s="2" t="s">
        <v>140</v>
      </c>
      <c r="E10" s="2" t="s">
        <v>267</v>
      </c>
      <c r="F10" s="2" t="s">
        <v>141</v>
      </c>
      <c r="G10" s="2" t="s">
        <v>270</v>
      </c>
      <c r="H10" s="2" t="s">
        <v>224</v>
      </c>
      <c r="I10" s="2" t="s">
        <v>65</v>
      </c>
      <c r="J10" s="2" t="s">
        <v>66</v>
      </c>
      <c r="L10" s="2" t="s">
        <v>225</v>
      </c>
      <c r="M10" s="47">
        <v>44057</v>
      </c>
      <c r="N10" s="2" t="s">
        <v>226</v>
      </c>
      <c r="O10" s="2" t="s">
        <v>144</v>
      </c>
      <c r="Q10" s="2" t="s">
        <v>145</v>
      </c>
      <c r="V10" s="2" t="s">
        <v>70</v>
      </c>
      <c r="W10" s="2" t="s">
        <v>146</v>
      </c>
      <c r="AB10" s="2" t="s">
        <v>73</v>
      </c>
      <c r="AE10" s="2" t="s">
        <v>73</v>
      </c>
      <c r="AG10" s="2" t="s">
        <v>73</v>
      </c>
      <c r="AH10" s="2" t="s">
        <v>73</v>
      </c>
      <c r="AI10" s="2" t="s">
        <v>70</v>
      </c>
      <c r="AJ10" s="2" t="s">
        <v>73</v>
      </c>
      <c r="AK10" s="2" t="s">
        <v>73</v>
      </c>
      <c r="AL10" s="2" t="s">
        <v>73</v>
      </c>
      <c r="AM10" s="2" t="s">
        <v>227</v>
      </c>
    </row>
    <row r="11" spans="1:39" ht="27" customHeight="1" x14ac:dyDescent="0.25">
      <c r="A11" s="2" t="s">
        <v>216</v>
      </c>
      <c r="B11" s="2" t="s">
        <v>108</v>
      </c>
      <c r="C11" s="2" t="s">
        <v>265</v>
      </c>
      <c r="D11" s="2" t="s">
        <v>140</v>
      </c>
      <c r="E11" s="2" t="s">
        <v>267</v>
      </c>
      <c r="F11" s="2" t="s">
        <v>141</v>
      </c>
      <c r="G11" s="2" t="s">
        <v>270</v>
      </c>
      <c r="H11" s="2" t="s">
        <v>228</v>
      </c>
      <c r="I11" s="2" t="s">
        <v>65</v>
      </c>
      <c r="J11" s="2" t="s">
        <v>66</v>
      </c>
      <c r="L11" s="2" t="s">
        <v>229</v>
      </c>
      <c r="M11" s="47">
        <v>44060</v>
      </c>
      <c r="N11" s="2" t="s">
        <v>79</v>
      </c>
      <c r="O11" s="2" t="s">
        <v>144</v>
      </c>
      <c r="Q11" s="2" t="s">
        <v>145</v>
      </c>
      <c r="V11" s="2" t="s">
        <v>70</v>
      </c>
      <c r="W11" s="2" t="s">
        <v>146</v>
      </c>
      <c r="AB11" s="2" t="s">
        <v>70</v>
      </c>
      <c r="AC11" s="2" t="s">
        <v>147</v>
      </c>
      <c r="AE11" s="2" t="s">
        <v>70</v>
      </c>
      <c r="AF11" s="2" t="s">
        <v>141</v>
      </c>
      <c r="AG11" s="2" t="s">
        <v>73</v>
      </c>
      <c r="AH11" s="2" t="s">
        <v>73</v>
      </c>
      <c r="AI11" s="2" t="s">
        <v>70</v>
      </c>
      <c r="AJ11" s="2" t="s">
        <v>73</v>
      </c>
      <c r="AK11" s="2" t="s">
        <v>73</v>
      </c>
      <c r="AL11" s="2" t="s">
        <v>73</v>
      </c>
      <c r="AM11" s="2" t="s">
        <v>181</v>
      </c>
    </row>
    <row r="12" spans="1:39" ht="27" customHeight="1" x14ac:dyDescent="0.25">
      <c r="A12" s="2" t="s">
        <v>216</v>
      </c>
      <c r="B12" s="2" t="s">
        <v>108</v>
      </c>
      <c r="C12" s="2" t="s">
        <v>265</v>
      </c>
      <c r="D12" s="2" t="s">
        <v>140</v>
      </c>
      <c r="E12" s="2" t="s">
        <v>267</v>
      </c>
      <c r="F12" s="2" t="s">
        <v>141</v>
      </c>
      <c r="G12" s="2" t="s">
        <v>270</v>
      </c>
      <c r="H12" s="2" t="s">
        <v>230</v>
      </c>
      <c r="I12" s="2" t="s">
        <v>65</v>
      </c>
      <c r="J12" s="2" t="s">
        <v>66</v>
      </c>
      <c r="L12" s="2" t="s">
        <v>231</v>
      </c>
      <c r="M12" s="47">
        <v>44069</v>
      </c>
      <c r="N12" s="2" t="s">
        <v>174</v>
      </c>
      <c r="O12" s="2" t="s">
        <v>144</v>
      </c>
      <c r="Q12" s="2" t="s">
        <v>145</v>
      </c>
      <c r="V12" s="2" t="s">
        <v>70</v>
      </c>
      <c r="W12" s="2" t="s">
        <v>71</v>
      </c>
      <c r="Y12" s="2" t="s">
        <v>232</v>
      </c>
      <c r="AB12" s="2" t="s">
        <v>73</v>
      </c>
      <c r="AE12" s="2" t="s">
        <v>73</v>
      </c>
      <c r="AG12" s="2" t="s">
        <v>73</v>
      </c>
      <c r="AH12" s="2" t="s">
        <v>73</v>
      </c>
      <c r="AI12" s="2" t="s">
        <v>70</v>
      </c>
      <c r="AJ12" s="2" t="s">
        <v>73</v>
      </c>
      <c r="AK12" s="2" t="s">
        <v>73</v>
      </c>
      <c r="AL12" s="2" t="s">
        <v>73</v>
      </c>
      <c r="AM12" s="2" t="s">
        <v>233</v>
      </c>
    </row>
    <row r="13" spans="1:39" ht="27" customHeight="1" x14ac:dyDescent="0.25">
      <c r="A13" s="2" t="s">
        <v>216</v>
      </c>
      <c r="B13" s="2" t="s">
        <v>108</v>
      </c>
      <c r="C13" s="2" t="s">
        <v>265</v>
      </c>
      <c r="D13" s="2" t="s">
        <v>140</v>
      </c>
      <c r="E13" s="2" t="s">
        <v>267</v>
      </c>
      <c r="F13" s="2" t="s">
        <v>141</v>
      </c>
      <c r="G13" s="2" t="s">
        <v>270</v>
      </c>
      <c r="H13" s="2" t="s">
        <v>142</v>
      </c>
      <c r="I13" s="2" t="s">
        <v>65</v>
      </c>
      <c r="J13" s="2" t="s">
        <v>66</v>
      </c>
      <c r="L13" s="2" t="s">
        <v>234</v>
      </c>
      <c r="M13" s="47">
        <v>44066</v>
      </c>
      <c r="N13" s="2" t="s">
        <v>235</v>
      </c>
      <c r="O13" s="2" t="s">
        <v>144</v>
      </c>
      <c r="Q13" s="2" t="s">
        <v>145</v>
      </c>
      <c r="V13" s="2" t="s">
        <v>70</v>
      </c>
      <c r="W13" s="2" t="s">
        <v>146</v>
      </c>
      <c r="AB13" s="2" t="s">
        <v>73</v>
      </c>
      <c r="AE13" s="2" t="s">
        <v>73</v>
      </c>
      <c r="AG13" s="2" t="s">
        <v>73</v>
      </c>
      <c r="AH13" s="2" t="s">
        <v>73</v>
      </c>
      <c r="AI13" s="2" t="s">
        <v>70</v>
      </c>
      <c r="AJ13" s="2" t="s">
        <v>70</v>
      </c>
      <c r="AK13" s="2" t="s">
        <v>73</v>
      </c>
      <c r="AL13" s="2" t="s">
        <v>70</v>
      </c>
      <c r="AM13" s="2" t="s">
        <v>236</v>
      </c>
    </row>
    <row r="14" spans="1:39" ht="27" customHeight="1" x14ac:dyDescent="0.25">
      <c r="A14" s="2" t="s">
        <v>60</v>
      </c>
      <c r="B14" s="2" t="s">
        <v>61</v>
      </c>
      <c r="C14" s="2" t="s">
        <v>266</v>
      </c>
      <c r="D14" s="2" t="s">
        <v>62</v>
      </c>
      <c r="E14" s="2" t="s">
        <v>268</v>
      </c>
      <c r="F14" s="2" t="s">
        <v>85</v>
      </c>
      <c r="G14" s="2" t="s">
        <v>271</v>
      </c>
      <c r="H14" s="2" t="s">
        <v>100</v>
      </c>
      <c r="I14" s="2" t="s">
        <v>65</v>
      </c>
      <c r="J14" s="2" t="s">
        <v>66</v>
      </c>
      <c r="L14" s="2" t="s">
        <v>101</v>
      </c>
      <c r="M14" s="47">
        <v>44058</v>
      </c>
      <c r="N14" s="2" t="s">
        <v>102</v>
      </c>
      <c r="O14" s="2" t="s">
        <v>103</v>
      </c>
      <c r="P14" s="2" t="s">
        <v>104</v>
      </c>
      <c r="Q14" s="2" t="s">
        <v>326</v>
      </c>
      <c r="V14" s="2" t="s">
        <v>73</v>
      </c>
      <c r="AB14" s="2" t="s">
        <v>73</v>
      </c>
      <c r="AE14" s="2" t="s">
        <v>73</v>
      </c>
      <c r="AG14" s="2" t="s">
        <v>73</v>
      </c>
      <c r="AH14" s="2" t="s">
        <v>73</v>
      </c>
      <c r="AI14" s="2" t="s">
        <v>70</v>
      </c>
      <c r="AJ14" s="2" t="s">
        <v>105</v>
      </c>
      <c r="AK14" s="2" t="s">
        <v>73</v>
      </c>
      <c r="AL14" s="2" t="s">
        <v>105</v>
      </c>
      <c r="AM14" s="2" t="s">
        <v>106</v>
      </c>
    </row>
    <row r="15" spans="1:39" ht="27" customHeight="1" x14ac:dyDescent="0.25">
      <c r="A15" s="2" t="s">
        <v>60</v>
      </c>
      <c r="B15" s="2" t="s">
        <v>61</v>
      </c>
      <c r="C15" s="2" t="s">
        <v>266</v>
      </c>
      <c r="D15" s="2" t="s">
        <v>62</v>
      </c>
      <c r="E15" s="2" t="s">
        <v>268</v>
      </c>
      <c r="F15" s="2" t="s">
        <v>85</v>
      </c>
      <c r="G15" s="2" t="s">
        <v>271</v>
      </c>
      <c r="H15" s="2" t="s">
        <v>100</v>
      </c>
      <c r="I15" s="2" t="s">
        <v>65</v>
      </c>
      <c r="J15" s="2" t="s">
        <v>66</v>
      </c>
      <c r="L15" s="2" t="s">
        <v>101</v>
      </c>
      <c r="M15" s="47">
        <v>44058</v>
      </c>
      <c r="N15" s="2" t="s">
        <v>102</v>
      </c>
      <c r="O15" s="2" t="s">
        <v>103</v>
      </c>
      <c r="P15" s="2" t="s">
        <v>200</v>
      </c>
      <c r="Q15" s="2" t="s">
        <v>326</v>
      </c>
      <c r="V15" s="2" t="s">
        <v>73</v>
      </c>
      <c r="AB15" s="2" t="s">
        <v>73</v>
      </c>
      <c r="AE15" s="2" t="s">
        <v>73</v>
      </c>
      <c r="AG15" s="2" t="s">
        <v>73</v>
      </c>
      <c r="AH15" s="2" t="s">
        <v>73</v>
      </c>
      <c r="AI15" s="2" t="s">
        <v>70</v>
      </c>
      <c r="AJ15" s="2" t="s">
        <v>105</v>
      </c>
      <c r="AK15" s="2" t="s">
        <v>73</v>
      </c>
      <c r="AL15" s="2" t="s">
        <v>105</v>
      </c>
      <c r="AM15" s="2" t="s">
        <v>106</v>
      </c>
    </row>
    <row r="16" spans="1:39" ht="27" customHeight="1" x14ac:dyDescent="0.25">
      <c r="A16" s="2" t="s">
        <v>60</v>
      </c>
      <c r="B16" s="2" t="s">
        <v>108</v>
      </c>
      <c r="C16" s="2" t="s">
        <v>265</v>
      </c>
      <c r="D16" s="2" t="s">
        <v>109</v>
      </c>
      <c r="E16" s="2" t="s">
        <v>269</v>
      </c>
      <c r="F16" s="2" t="s">
        <v>110</v>
      </c>
      <c r="G16" s="2" t="s">
        <v>272</v>
      </c>
      <c r="H16" s="2" t="s">
        <v>177</v>
      </c>
      <c r="I16" s="2" t="s">
        <v>65</v>
      </c>
      <c r="J16" s="2" t="s">
        <v>66</v>
      </c>
      <c r="L16" s="2" t="s">
        <v>178</v>
      </c>
      <c r="M16" s="47">
        <v>44047</v>
      </c>
      <c r="N16" s="2" t="s">
        <v>179</v>
      </c>
      <c r="O16" s="2" t="s">
        <v>180</v>
      </c>
      <c r="Q16" s="2" t="s">
        <v>327</v>
      </c>
      <c r="V16" s="2" t="s">
        <v>73</v>
      </c>
      <c r="AB16" s="2" t="s">
        <v>70</v>
      </c>
      <c r="AC16" s="2" t="s">
        <v>147</v>
      </c>
      <c r="AE16" s="2" t="s">
        <v>73</v>
      </c>
      <c r="AG16" s="2" t="s">
        <v>73</v>
      </c>
      <c r="AH16" s="2" t="s">
        <v>73</v>
      </c>
      <c r="AI16" s="2" t="s">
        <v>70</v>
      </c>
      <c r="AJ16" s="2" t="s">
        <v>73</v>
      </c>
      <c r="AK16" s="2" t="s">
        <v>73</v>
      </c>
      <c r="AL16" s="2" t="s">
        <v>73</v>
      </c>
      <c r="AM16" s="2" t="s">
        <v>187</v>
      </c>
    </row>
    <row r="17" spans="1:39" ht="27" customHeight="1" x14ac:dyDescent="0.25">
      <c r="A17" s="2" t="s">
        <v>84</v>
      </c>
      <c r="B17" s="2" t="s">
        <v>61</v>
      </c>
      <c r="C17" s="2" t="s">
        <v>266</v>
      </c>
      <c r="D17" s="2" t="s">
        <v>62</v>
      </c>
      <c r="E17" s="2" t="s">
        <v>268</v>
      </c>
      <c r="F17" s="2" t="s">
        <v>85</v>
      </c>
      <c r="G17" s="2" t="s">
        <v>271</v>
      </c>
      <c r="H17" s="2" t="s">
        <v>86</v>
      </c>
      <c r="I17" s="2" t="s">
        <v>65</v>
      </c>
      <c r="J17" s="2" t="s">
        <v>66</v>
      </c>
      <c r="L17" s="2" t="s">
        <v>87</v>
      </c>
      <c r="M17" s="47">
        <v>44049</v>
      </c>
      <c r="N17" s="2" t="s">
        <v>88</v>
      </c>
      <c r="O17" s="2" t="s">
        <v>89</v>
      </c>
      <c r="Q17" s="2" t="s">
        <v>326</v>
      </c>
      <c r="V17" s="2" t="s">
        <v>70</v>
      </c>
      <c r="W17" s="2" t="s">
        <v>90</v>
      </c>
      <c r="Z17" s="2" t="s">
        <v>91</v>
      </c>
      <c r="AB17" s="2" t="s">
        <v>70</v>
      </c>
      <c r="AC17" s="2" t="s">
        <v>92</v>
      </c>
      <c r="AE17" s="2" t="s">
        <v>73</v>
      </c>
      <c r="AG17" s="2" t="s">
        <v>73</v>
      </c>
      <c r="AH17" s="2" t="s">
        <v>73</v>
      </c>
      <c r="AI17" s="2" t="s">
        <v>70</v>
      </c>
      <c r="AJ17" s="2" t="s">
        <v>73</v>
      </c>
      <c r="AK17" s="2" t="s">
        <v>73</v>
      </c>
      <c r="AL17" s="2" t="s">
        <v>73</v>
      </c>
      <c r="AM17" s="2" t="s">
        <v>93</v>
      </c>
    </row>
    <row r="18" spans="1:39" ht="27" customHeight="1" x14ac:dyDescent="0.25">
      <c r="A18" s="2" t="s">
        <v>60</v>
      </c>
      <c r="B18" s="2" t="s">
        <v>61</v>
      </c>
      <c r="C18" s="2" t="s">
        <v>266</v>
      </c>
      <c r="D18" s="2" t="s">
        <v>62</v>
      </c>
      <c r="E18" s="2" t="s">
        <v>268</v>
      </c>
      <c r="F18" s="2" t="s">
        <v>85</v>
      </c>
      <c r="G18" s="2" t="s">
        <v>271</v>
      </c>
      <c r="H18" s="2" t="s">
        <v>94</v>
      </c>
      <c r="I18" s="2" t="s">
        <v>65</v>
      </c>
      <c r="J18" s="2" t="s">
        <v>66</v>
      </c>
      <c r="L18" s="2" t="s">
        <v>95</v>
      </c>
      <c r="M18" s="47">
        <v>44061</v>
      </c>
      <c r="N18" s="2" t="s">
        <v>96</v>
      </c>
      <c r="O18" s="2" t="s">
        <v>89</v>
      </c>
      <c r="Q18" s="2" t="s">
        <v>326</v>
      </c>
      <c r="V18" s="2" t="s">
        <v>70</v>
      </c>
      <c r="W18" s="2" t="s">
        <v>81</v>
      </c>
      <c r="Y18" s="2" t="s">
        <v>97</v>
      </c>
      <c r="AB18" s="2" t="s">
        <v>70</v>
      </c>
      <c r="AC18" s="2" t="s">
        <v>98</v>
      </c>
      <c r="AE18" s="2" t="s">
        <v>73</v>
      </c>
      <c r="AG18" s="2" t="s">
        <v>73</v>
      </c>
      <c r="AH18" s="2" t="s">
        <v>73</v>
      </c>
      <c r="AI18" s="2" t="s">
        <v>70</v>
      </c>
      <c r="AJ18" s="2" t="s">
        <v>73</v>
      </c>
      <c r="AK18" s="2" t="s">
        <v>73</v>
      </c>
      <c r="AL18" s="2" t="s">
        <v>73</v>
      </c>
      <c r="AM18" s="2" t="s">
        <v>99</v>
      </c>
    </row>
    <row r="19" spans="1:39" ht="27" customHeight="1" x14ac:dyDescent="0.25">
      <c r="A19" s="2" t="s">
        <v>60</v>
      </c>
      <c r="B19" s="2" t="s">
        <v>61</v>
      </c>
      <c r="C19" s="2" t="s">
        <v>266</v>
      </c>
      <c r="D19" s="2" t="s">
        <v>62</v>
      </c>
      <c r="E19" s="2" t="s">
        <v>268</v>
      </c>
      <c r="F19" s="2" t="s">
        <v>85</v>
      </c>
      <c r="G19" s="2" t="s">
        <v>271</v>
      </c>
      <c r="H19" s="2" t="s">
        <v>94</v>
      </c>
      <c r="I19" s="2" t="s">
        <v>65</v>
      </c>
      <c r="J19" s="2" t="s">
        <v>66</v>
      </c>
      <c r="L19" s="2" t="s">
        <v>197</v>
      </c>
      <c r="M19" s="47">
        <v>44061</v>
      </c>
      <c r="N19" s="2" t="s">
        <v>96</v>
      </c>
      <c r="O19" s="2" t="s">
        <v>89</v>
      </c>
      <c r="Q19" s="2" t="s">
        <v>326</v>
      </c>
      <c r="V19" s="2" t="s">
        <v>70</v>
      </c>
      <c r="W19" s="2" t="s">
        <v>81</v>
      </c>
      <c r="Y19" s="2" t="s">
        <v>198</v>
      </c>
      <c r="AB19" s="2" t="s">
        <v>70</v>
      </c>
      <c r="AC19" s="2" t="s">
        <v>98</v>
      </c>
      <c r="AE19" s="2" t="s">
        <v>73</v>
      </c>
      <c r="AG19" s="2" t="s">
        <v>73</v>
      </c>
      <c r="AH19" s="2" t="s">
        <v>73</v>
      </c>
      <c r="AI19" s="2" t="s">
        <v>70</v>
      </c>
      <c r="AJ19" s="2" t="s">
        <v>73</v>
      </c>
      <c r="AK19" s="2" t="s">
        <v>73</v>
      </c>
      <c r="AL19" s="2" t="s">
        <v>73</v>
      </c>
      <c r="AM19" s="2" t="s">
        <v>199</v>
      </c>
    </row>
    <row r="20" spans="1:39" ht="27" customHeight="1" x14ac:dyDescent="0.25">
      <c r="A20" s="2" t="s">
        <v>107</v>
      </c>
      <c r="B20" s="2" t="s">
        <v>108</v>
      </c>
      <c r="C20" s="2" t="s">
        <v>265</v>
      </c>
      <c r="D20" s="2" t="s">
        <v>109</v>
      </c>
      <c r="E20" s="2" t="s">
        <v>269</v>
      </c>
      <c r="F20" s="2" t="s">
        <v>110</v>
      </c>
      <c r="G20" s="2" t="s">
        <v>272</v>
      </c>
      <c r="H20" s="2" t="s">
        <v>111</v>
      </c>
      <c r="I20" s="2" t="s">
        <v>65</v>
      </c>
      <c r="J20" s="2" t="s">
        <v>66</v>
      </c>
      <c r="L20" s="2" t="s">
        <v>112</v>
      </c>
      <c r="M20" s="47">
        <v>44050</v>
      </c>
      <c r="N20" s="2" t="s">
        <v>113</v>
      </c>
      <c r="O20" s="2" t="s">
        <v>114</v>
      </c>
      <c r="Q20" s="2" t="s">
        <v>328</v>
      </c>
      <c r="V20" s="2" t="s">
        <v>105</v>
      </c>
      <c r="AB20" s="2" t="s">
        <v>73</v>
      </c>
      <c r="AE20" s="2" t="s">
        <v>73</v>
      </c>
      <c r="AG20" s="2" t="s">
        <v>73</v>
      </c>
      <c r="AH20" s="2" t="s">
        <v>73</v>
      </c>
      <c r="AI20" s="2" t="s">
        <v>70</v>
      </c>
      <c r="AJ20" s="2" t="s">
        <v>73</v>
      </c>
      <c r="AK20" s="2" t="s">
        <v>73</v>
      </c>
      <c r="AL20" s="2" t="s">
        <v>73</v>
      </c>
      <c r="AM20" s="2" t="s">
        <v>115</v>
      </c>
    </row>
    <row r="21" spans="1:39" ht="27" customHeight="1" x14ac:dyDescent="0.25">
      <c r="A21" s="2" t="s">
        <v>107</v>
      </c>
      <c r="B21" s="2" t="s">
        <v>108</v>
      </c>
      <c r="C21" s="2" t="s">
        <v>265</v>
      </c>
      <c r="D21" s="2" t="s">
        <v>109</v>
      </c>
      <c r="E21" s="2" t="s">
        <v>269</v>
      </c>
      <c r="F21" s="2" t="s">
        <v>110</v>
      </c>
      <c r="G21" s="2" t="s">
        <v>272</v>
      </c>
      <c r="H21" s="2" t="s">
        <v>111</v>
      </c>
      <c r="I21" s="2" t="s">
        <v>65</v>
      </c>
      <c r="J21" s="2" t="s">
        <v>66</v>
      </c>
      <c r="L21" s="2" t="s">
        <v>201</v>
      </c>
      <c r="M21" s="47">
        <v>44050</v>
      </c>
      <c r="N21" s="2" t="s">
        <v>113</v>
      </c>
      <c r="O21" s="2" t="s">
        <v>114</v>
      </c>
      <c r="Q21" s="2" t="s">
        <v>328</v>
      </c>
      <c r="V21" s="2" t="s">
        <v>105</v>
      </c>
      <c r="AB21" s="2" t="s">
        <v>73</v>
      </c>
      <c r="AE21" s="2" t="s">
        <v>73</v>
      </c>
      <c r="AG21" s="2" t="s">
        <v>73</v>
      </c>
      <c r="AH21" s="2" t="s">
        <v>73</v>
      </c>
      <c r="AI21" s="2" t="s">
        <v>70</v>
      </c>
      <c r="AJ21" s="2" t="s">
        <v>73</v>
      </c>
      <c r="AK21" s="2" t="s">
        <v>73</v>
      </c>
      <c r="AL21" s="2" t="s">
        <v>73</v>
      </c>
      <c r="AM21" s="2" t="s">
        <v>202</v>
      </c>
    </row>
    <row r="22" spans="1:39" ht="27" customHeight="1" x14ac:dyDescent="0.25">
      <c r="A22" s="2" t="s">
        <v>203</v>
      </c>
      <c r="B22" s="2" t="s">
        <v>61</v>
      </c>
      <c r="C22" s="2" t="s">
        <v>266</v>
      </c>
      <c r="D22" s="2" t="s">
        <v>62</v>
      </c>
      <c r="E22" s="2" t="s">
        <v>268</v>
      </c>
      <c r="F22" s="2" t="s">
        <v>85</v>
      </c>
      <c r="G22" s="2" t="s">
        <v>271</v>
      </c>
      <c r="H22" s="2" t="s">
        <v>204</v>
      </c>
      <c r="I22" s="2" t="s">
        <v>65</v>
      </c>
      <c r="J22" s="2" t="s">
        <v>66</v>
      </c>
      <c r="L22" s="2" t="s">
        <v>205</v>
      </c>
      <c r="M22" s="47">
        <v>44050</v>
      </c>
      <c r="N22" s="2" t="s">
        <v>168</v>
      </c>
      <c r="O22" s="2" t="s">
        <v>114</v>
      </c>
      <c r="Q22" s="2" t="s">
        <v>206</v>
      </c>
      <c r="V22" s="2" t="s">
        <v>73</v>
      </c>
      <c r="AB22" s="2" t="s">
        <v>73</v>
      </c>
      <c r="AE22" s="2" t="s">
        <v>73</v>
      </c>
      <c r="AG22" s="2" t="s">
        <v>73</v>
      </c>
      <c r="AH22" s="2" t="s">
        <v>73</v>
      </c>
      <c r="AI22" s="2" t="s">
        <v>70</v>
      </c>
      <c r="AJ22" s="2" t="s">
        <v>73</v>
      </c>
      <c r="AK22" s="2" t="s">
        <v>73</v>
      </c>
      <c r="AL22" s="2" t="s">
        <v>73</v>
      </c>
    </row>
    <row r="23" spans="1:39" ht="27" customHeight="1" x14ac:dyDescent="0.25">
      <c r="A23" s="2" t="s">
        <v>60</v>
      </c>
      <c r="B23" s="2" t="s">
        <v>61</v>
      </c>
      <c r="C23" s="2" t="s">
        <v>266</v>
      </c>
      <c r="D23" s="2" t="s">
        <v>62</v>
      </c>
      <c r="E23" s="2" t="s">
        <v>268</v>
      </c>
      <c r="F23" s="2" t="s">
        <v>63</v>
      </c>
      <c r="G23" s="2" t="s">
        <v>273</v>
      </c>
      <c r="H23" s="2" t="s">
        <v>64</v>
      </c>
      <c r="I23" s="2" t="s">
        <v>65</v>
      </c>
      <c r="J23" s="2" t="s">
        <v>66</v>
      </c>
      <c r="L23" s="2" t="s">
        <v>67</v>
      </c>
      <c r="M23" s="47">
        <v>44053</v>
      </c>
      <c r="N23" s="2" t="s">
        <v>68</v>
      </c>
      <c r="O23" s="2" t="s">
        <v>69</v>
      </c>
      <c r="Q23" s="2" t="s">
        <v>326</v>
      </c>
      <c r="V23" s="2" t="s">
        <v>70</v>
      </c>
      <c r="W23" s="2" t="s">
        <v>71</v>
      </c>
      <c r="Y23" s="2" t="s">
        <v>72</v>
      </c>
      <c r="AB23" s="2" t="s">
        <v>70</v>
      </c>
      <c r="AC23" s="2" t="s">
        <v>74</v>
      </c>
      <c r="AE23" s="2" t="s">
        <v>73</v>
      </c>
      <c r="AG23" s="2" t="s">
        <v>73</v>
      </c>
      <c r="AH23" s="2" t="s">
        <v>73</v>
      </c>
      <c r="AI23" s="2" t="s">
        <v>70</v>
      </c>
      <c r="AJ23" s="2" t="s">
        <v>73</v>
      </c>
      <c r="AK23" s="2" t="s">
        <v>73</v>
      </c>
      <c r="AL23" s="2" t="s">
        <v>73</v>
      </c>
      <c r="AM23" s="2" t="s">
        <v>75</v>
      </c>
    </row>
    <row r="24" spans="1:39" ht="27" customHeight="1" x14ac:dyDescent="0.25">
      <c r="A24" s="2" t="s">
        <v>139</v>
      </c>
      <c r="B24" s="2" t="s">
        <v>108</v>
      </c>
      <c r="C24" s="2" t="s">
        <v>265</v>
      </c>
      <c r="D24" s="2" t="s">
        <v>140</v>
      </c>
      <c r="E24" s="2" t="s">
        <v>267</v>
      </c>
      <c r="F24" s="2" t="s">
        <v>141</v>
      </c>
      <c r="G24" s="2" t="s">
        <v>270</v>
      </c>
      <c r="H24" s="2" t="s">
        <v>142</v>
      </c>
      <c r="I24" s="2" t="s">
        <v>65</v>
      </c>
      <c r="J24" s="2" t="s">
        <v>66</v>
      </c>
      <c r="L24" s="2" t="s">
        <v>160</v>
      </c>
      <c r="M24" s="47">
        <v>44065</v>
      </c>
      <c r="N24" s="2" t="s">
        <v>102</v>
      </c>
      <c r="O24" s="2" t="s">
        <v>80</v>
      </c>
      <c r="Q24" s="2" t="s">
        <v>145</v>
      </c>
      <c r="V24" s="2" t="s">
        <v>73</v>
      </c>
      <c r="AB24" s="2" t="s">
        <v>73</v>
      </c>
      <c r="AE24" s="2" t="s">
        <v>73</v>
      </c>
      <c r="AG24" s="2" t="s">
        <v>73</v>
      </c>
      <c r="AH24" s="2" t="s">
        <v>73</v>
      </c>
      <c r="AI24" s="2" t="s">
        <v>70</v>
      </c>
      <c r="AJ24" s="2" t="s">
        <v>73</v>
      </c>
      <c r="AK24" s="2" t="s">
        <v>73</v>
      </c>
      <c r="AL24" s="2" t="s">
        <v>73</v>
      </c>
      <c r="AM24" s="2" t="s">
        <v>184</v>
      </c>
    </row>
    <row r="25" spans="1:39" ht="27" customHeight="1" x14ac:dyDescent="0.25">
      <c r="A25" s="2" t="s">
        <v>60</v>
      </c>
      <c r="B25" s="2" t="s">
        <v>61</v>
      </c>
      <c r="C25" s="2" t="s">
        <v>266</v>
      </c>
      <c r="D25" s="2" t="s">
        <v>62</v>
      </c>
      <c r="E25" s="2" t="s">
        <v>268</v>
      </c>
      <c r="F25" s="2" t="s">
        <v>63</v>
      </c>
      <c r="G25" s="2" t="s">
        <v>273</v>
      </c>
      <c r="H25" s="2" t="s">
        <v>76</v>
      </c>
      <c r="I25" s="2" t="s">
        <v>65</v>
      </c>
      <c r="J25" s="2" t="s">
        <v>66</v>
      </c>
      <c r="L25" s="2" t="s">
        <v>77</v>
      </c>
      <c r="M25" s="47">
        <v>44060</v>
      </c>
      <c r="N25" s="2" t="s">
        <v>79</v>
      </c>
      <c r="O25" s="2" t="s">
        <v>80</v>
      </c>
      <c r="Q25" s="2" t="s">
        <v>326</v>
      </c>
      <c r="V25" s="2" t="s">
        <v>70</v>
      </c>
      <c r="W25" s="2" t="s">
        <v>81</v>
      </c>
      <c r="Y25" s="2" t="s">
        <v>82</v>
      </c>
      <c r="AB25" s="2" t="s">
        <v>70</v>
      </c>
      <c r="AC25" s="2" t="s">
        <v>74</v>
      </c>
      <c r="AE25" s="2" t="s">
        <v>73</v>
      </c>
      <c r="AG25" s="2" t="s">
        <v>73</v>
      </c>
      <c r="AH25" s="2" t="s">
        <v>73</v>
      </c>
      <c r="AI25" s="2" t="s">
        <v>70</v>
      </c>
      <c r="AJ25" s="2" t="s">
        <v>73</v>
      </c>
      <c r="AK25" s="2" t="s">
        <v>73</v>
      </c>
      <c r="AL25" s="2" t="s">
        <v>73</v>
      </c>
      <c r="AM25" s="2" t="s">
        <v>83</v>
      </c>
    </row>
    <row r="26" spans="1:39" ht="27" customHeight="1" x14ac:dyDescent="0.25">
      <c r="A26" s="2" t="s">
        <v>139</v>
      </c>
      <c r="B26" s="2" t="s">
        <v>108</v>
      </c>
      <c r="C26" s="2" t="s">
        <v>265</v>
      </c>
      <c r="D26" s="2" t="s">
        <v>140</v>
      </c>
      <c r="E26" s="2" t="s">
        <v>267</v>
      </c>
      <c r="F26" s="2" t="s">
        <v>141</v>
      </c>
      <c r="G26" s="2" t="s">
        <v>270</v>
      </c>
      <c r="H26" s="2" t="s">
        <v>170</v>
      </c>
      <c r="I26" s="2" t="s">
        <v>65</v>
      </c>
      <c r="J26" s="2" t="s">
        <v>171</v>
      </c>
      <c r="K26" s="2" t="s">
        <v>172</v>
      </c>
      <c r="L26" s="2" t="s">
        <v>173</v>
      </c>
      <c r="M26" s="47">
        <v>44047</v>
      </c>
      <c r="N26" s="2" t="s">
        <v>174</v>
      </c>
      <c r="Q26" s="2" t="s">
        <v>175</v>
      </c>
      <c r="U26" s="2" t="s">
        <v>176</v>
      </c>
      <c r="V26" s="2" t="s">
        <v>70</v>
      </c>
      <c r="W26" s="2" t="s">
        <v>71</v>
      </c>
      <c r="Y26" s="2" t="s">
        <v>157</v>
      </c>
      <c r="AB26" s="2" t="s">
        <v>73</v>
      </c>
      <c r="AE26" s="2" t="s">
        <v>73</v>
      </c>
      <c r="AG26" s="2" t="s">
        <v>73</v>
      </c>
      <c r="AH26" s="2" t="s">
        <v>73</v>
      </c>
      <c r="AI26" s="2" t="s">
        <v>73</v>
      </c>
      <c r="AJ26" s="2" t="s">
        <v>73</v>
      </c>
      <c r="AK26" s="2" t="s">
        <v>73</v>
      </c>
      <c r="AL26" s="2" t="s">
        <v>73</v>
      </c>
      <c r="AM26" s="2" t="s">
        <v>186</v>
      </c>
    </row>
    <row r="27" spans="1:39" ht="27" customHeight="1" x14ac:dyDescent="0.25">
      <c r="A27" s="2" t="s">
        <v>207</v>
      </c>
      <c r="B27" s="2" t="s">
        <v>61</v>
      </c>
      <c r="C27" s="2" t="s">
        <v>266</v>
      </c>
      <c r="D27" s="2" t="s">
        <v>62</v>
      </c>
      <c r="E27" s="2" t="s">
        <v>268</v>
      </c>
      <c r="F27" s="2" t="s">
        <v>85</v>
      </c>
      <c r="G27" s="2" t="s">
        <v>271</v>
      </c>
      <c r="H27" s="2" t="s">
        <v>208</v>
      </c>
      <c r="I27" s="2" t="s">
        <v>65</v>
      </c>
      <c r="J27" s="2" t="s">
        <v>171</v>
      </c>
      <c r="K27" s="2" t="s">
        <v>209</v>
      </c>
      <c r="L27" s="2" t="s">
        <v>210</v>
      </c>
      <c r="M27" s="47">
        <v>44072</v>
      </c>
      <c r="N27" s="2" t="s">
        <v>211</v>
      </c>
      <c r="Q27" s="2" t="s">
        <v>212</v>
      </c>
      <c r="U27" s="2" t="s">
        <v>213</v>
      </c>
      <c r="V27" s="2" t="s">
        <v>105</v>
      </c>
      <c r="AB27" s="2" t="s">
        <v>70</v>
      </c>
      <c r="AC27" s="2" t="s">
        <v>151</v>
      </c>
      <c r="AD27" s="2" t="s">
        <v>214</v>
      </c>
      <c r="AE27" s="2" t="s">
        <v>73</v>
      </c>
      <c r="AG27" s="2" t="s">
        <v>73</v>
      </c>
      <c r="AH27" s="2" t="s">
        <v>73</v>
      </c>
      <c r="AI27" s="2" t="s">
        <v>73</v>
      </c>
      <c r="AJ27" s="2" t="s">
        <v>73</v>
      </c>
      <c r="AK27" s="2" t="s">
        <v>70</v>
      </c>
      <c r="AL27" s="2" t="s">
        <v>73</v>
      </c>
      <c r="AM27" s="2" t="s">
        <v>215</v>
      </c>
    </row>
    <row r="28" spans="1:39" ht="27" customHeight="1" x14ac:dyDescent="0.25">
      <c r="A28" s="2" t="s">
        <v>237</v>
      </c>
      <c r="B28" s="2" t="s">
        <v>108</v>
      </c>
      <c r="C28" s="2" t="s">
        <v>265</v>
      </c>
      <c r="D28" s="2" t="s">
        <v>140</v>
      </c>
      <c r="E28" s="2" t="s">
        <v>267</v>
      </c>
      <c r="F28" s="2" t="s">
        <v>141</v>
      </c>
      <c r="G28" s="2" t="s">
        <v>270</v>
      </c>
      <c r="H28" s="2" t="s">
        <v>238</v>
      </c>
      <c r="I28" s="2" t="s">
        <v>65</v>
      </c>
      <c r="J28" s="2" t="s">
        <v>249</v>
      </c>
      <c r="L28" s="2" t="s">
        <v>239</v>
      </c>
      <c r="M28" s="47">
        <v>44053</v>
      </c>
      <c r="N28" s="2" t="s">
        <v>240</v>
      </c>
      <c r="Q28" s="2" t="s">
        <v>330</v>
      </c>
      <c r="R28" s="2" t="s">
        <v>241</v>
      </c>
      <c r="V28" s="2" t="s">
        <v>73</v>
      </c>
      <c r="AB28" s="2" t="s">
        <v>73</v>
      </c>
      <c r="AE28" s="2" t="s">
        <v>70</v>
      </c>
      <c r="AF28" s="2" t="s">
        <v>242</v>
      </c>
      <c r="AG28" s="2" t="s">
        <v>70</v>
      </c>
      <c r="AH28" s="2" t="s">
        <v>70</v>
      </c>
      <c r="AI28" s="2" t="s">
        <v>73</v>
      </c>
      <c r="AJ28" s="2" t="s">
        <v>73</v>
      </c>
      <c r="AK28" s="2" t="s">
        <v>70</v>
      </c>
      <c r="AL28" s="2" t="s">
        <v>73</v>
      </c>
      <c r="AM28" s="2" t="s">
        <v>243</v>
      </c>
    </row>
    <row r="29" spans="1:39" ht="27" customHeight="1" x14ac:dyDescent="0.25">
      <c r="A29" s="2" t="s">
        <v>237</v>
      </c>
      <c r="B29" s="2" t="s">
        <v>108</v>
      </c>
      <c r="C29" s="2" t="s">
        <v>265</v>
      </c>
      <c r="D29" s="2" t="s">
        <v>140</v>
      </c>
      <c r="E29" s="2" t="s">
        <v>267</v>
      </c>
      <c r="F29" s="2" t="s">
        <v>141</v>
      </c>
      <c r="G29" s="2" t="s">
        <v>270</v>
      </c>
      <c r="H29" s="2" t="s">
        <v>244</v>
      </c>
      <c r="I29" s="2" t="s">
        <v>65</v>
      </c>
      <c r="J29" s="2" t="s">
        <v>171</v>
      </c>
      <c r="K29" s="2" t="s">
        <v>245</v>
      </c>
      <c r="L29" s="2" t="s">
        <v>246</v>
      </c>
      <c r="M29" s="47">
        <v>44059</v>
      </c>
      <c r="N29" s="2" t="s">
        <v>79</v>
      </c>
      <c r="Q29" s="2" t="s">
        <v>329</v>
      </c>
      <c r="R29" s="2" t="s">
        <v>241</v>
      </c>
      <c r="V29" s="2" t="s">
        <v>73</v>
      </c>
      <c r="AB29" s="2" t="s">
        <v>70</v>
      </c>
      <c r="AC29" s="2" t="s">
        <v>247</v>
      </c>
      <c r="AE29" s="2" t="s">
        <v>105</v>
      </c>
      <c r="AG29" s="2" t="s">
        <v>73</v>
      </c>
      <c r="AH29" s="2" t="s">
        <v>73</v>
      </c>
      <c r="AI29" s="2" t="s">
        <v>73</v>
      </c>
      <c r="AJ29" s="2" t="s">
        <v>73</v>
      </c>
      <c r="AK29" s="2" t="s">
        <v>73</v>
      </c>
      <c r="AL29" s="2" t="s">
        <v>73</v>
      </c>
      <c r="AM29" s="2" t="s">
        <v>248</v>
      </c>
    </row>
  </sheetData>
  <conditionalFormatting sqref="V1:V1048576">
    <cfRule type="containsText" dxfId="89" priority="3" operator="containsText" text="non">
      <formula>NOT(ISERROR(SEARCH("non",V1)))</formula>
    </cfRule>
    <cfRule type="containsText" dxfId="88" priority="4" operator="containsText" text="oui">
      <formula>NOT(ISERROR(SEARCH("oui",V1)))</formula>
    </cfRule>
  </conditionalFormatting>
  <conditionalFormatting sqref="AB1:AB1048576">
    <cfRule type="cellIs" dxfId="87" priority="2" operator="equal">
      <formula>"oui"</formula>
    </cfRule>
  </conditionalFormatting>
  <conditionalFormatting sqref="AE1:AE1048576 AG1:AL1048576">
    <cfRule type="containsText" dxfId="86" priority="1" operator="containsText" text="oui">
      <formula>NOT(ISERROR(SEARCH("oui",AE1)))</formula>
    </cfRule>
  </conditionalFormatting>
  <pageMargins left="0.7" right="0.7" top="0.75" bottom="0.75" header="0.3" footer="0.3"/>
  <pageSetup scale="1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4295D-DE86-473E-8E74-C5A30721305E}">
  <sheetPr>
    <tabColor theme="0"/>
  </sheetPr>
  <dimension ref="A1:AK6"/>
  <sheetViews>
    <sheetView zoomScale="80" zoomScaleNormal="80" workbookViewId="0">
      <pane ySplit="1" topLeftCell="A2" activePane="bottomLeft" state="frozen"/>
      <selection pane="bottomLeft"/>
    </sheetView>
  </sheetViews>
  <sheetFormatPr defaultColWidth="11.28515625" defaultRowHeight="40.9" customHeight="1" x14ac:dyDescent="0.25"/>
  <cols>
    <col min="1" max="1" width="26.42578125" style="2" bestFit="1" customWidth="1"/>
    <col min="2" max="2" width="26" style="2" bestFit="1" customWidth="1"/>
    <col min="3" max="3" width="13.140625" style="2" bestFit="1" customWidth="1"/>
    <col min="4" max="4" width="32" style="2" bestFit="1" customWidth="1"/>
    <col min="5" max="5" width="19.140625" style="2" bestFit="1" customWidth="1"/>
    <col min="6" max="6" width="34.140625" style="2" bestFit="1" customWidth="1"/>
    <col min="7" max="7" width="21.28515625" style="2" bestFit="1" customWidth="1"/>
    <col min="8" max="8" width="30" style="2" bestFit="1" customWidth="1"/>
    <col min="9" max="9" width="36" style="2" bestFit="1" customWidth="1"/>
    <col min="10" max="10" width="74.5703125" style="2" bestFit="1" customWidth="1"/>
    <col min="11" max="11" width="39.140625" style="2" bestFit="1" customWidth="1"/>
    <col min="12" max="12" width="58.42578125" style="2" bestFit="1" customWidth="1"/>
    <col min="13" max="13" width="69.5703125" style="2" bestFit="1" customWidth="1"/>
    <col min="14" max="14" width="38.7109375" style="2" bestFit="1" customWidth="1"/>
    <col min="15" max="15" width="44.42578125" style="2" bestFit="1" customWidth="1"/>
    <col min="16" max="16" width="40.85546875" style="2" bestFit="1" customWidth="1"/>
    <col min="17" max="17" width="46.7109375" style="2" bestFit="1" customWidth="1"/>
    <col min="18" max="18" width="49.140625" style="2" bestFit="1" customWidth="1"/>
    <col min="19" max="19" width="38.42578125" style="2" bestFit="1" customWidth="1"/>
    <col min="20" max="20" width="45.7109375" style="2" bestFit="1" customWidth="1"/>
    <col min="21" max="21" width="40.5703125" style="2" bestFit="1" customWidth="1"/>
    <col min="22" max="22" width="46.42578125" style="2" bestFit="1" customWidth="1"/>
    <col min="23" max="23" width="48.7109375" style="2" bestFit="1" customWidth="1"/>
    <col min="24" max="24" width="92.28515625" style="2" bestFit="1" customWidth="1"/>
    <col min="25" max="25" width="40.140625" style="2" bestFit="1" customWidth="1"/>
    <col min="26" max="26" width="78.42578125" style="2" bestFit="1" customWidth="1"/>
    <col min="27" max="27" width="144.5703125" style="2" bestFit="1" customWidth="1"/>
    <col min="28" max="28" width="27.28515625" style="2" bestFit="1" customWidth="1"/>
    <col min="29" max="29" width="113.140625" style="2" bestFit="1" customWidth="1"/>
    <col min="30" max="30" width="42.140625" style="2" bestFit="1" customWidth="1"/>
    <col min="31" max="31" width="32.85546875" style="2" bestFit="1" customWidth="1"/>
    <col min="32" max="32" width="54.140625" style="2" bestFit="1" customWidth="1"/>
    <col min="33" max="33" width="27.28515625" style="2" bestFit="1" customWidth="1"/>
    <col min="34" max="34" width="79.5703125" style="2" bestFit="1" customWidth="1"/>
    <col min="35" max="35" width="31" style="2" bestFit="1" customWidth="1"/>
    <col min="36" max="36" width="25.140625" style="2" bestFit="1" customWidth="1"/>
    <col min="37" max="37" width="195.7109375" style="2" bestFit="1" customWidth="1"/>
    <col min="38" max="16384" width="11.28515625" style="2"/>
  </cols>
  <sheetData>
    <row r="1" spans="1:37" s="36" customFormat="1" ht="40.9" customHeight="1" x14ac:dyDescent="0.25">
      <c r="A1" s="35" t="s">
        <v>0</v>
      </c>
      <c r="B1" s="35" t="s">
        <v>1</v>
      </c>
      <c r="C1" s="35" t="s">
        <v>262</v>
      </c>
      <c r="D1" s="35" t="s">
        <v>2</v>
      </c>
      <c r="E1" s="35" t="s">
        <v>263</v>
      </c>
      <c r="F1" s="35" t="s">
        <v>3</v>
      </c>
      <c r="G1" s="35" t="s">
        <v>264</v>
      </c>
      <c r="H1" s="35" t="s">
        <v>4</v>
      </c>
      <c r="I1" s="35" t="s">
        <v>5</v>
      </c>
      <c r="J1" s="35" t="s">
        <v>34</v>
      </c>
      <c r="K1" s="35" t="s">
        <v>35</v>
      </c>
      <c r="L1" s="35" t="s">
        <v>36</v>
      </c>
      <c r="M1" s="35" t="s">
        <v>37</v>
      </c>
      <c r="N1" s="35" t="s">
        <v>38</v>
      </c>
      <c r="O1" s="35" t="s">
        <v>39</v>
      </c>
      <c r="P1" s="35" t="s">
        <v>40</v>
      </c>
      <c r="Q1" s="35" t="s">
        <v>41</v>
      </c>
      <c r="R1" s="35" t="s">
        <v>42</v>
      </c>
      <c r="S1" s="35" t="s">
        <v>43</v>
      </c>
      <c r="T1" s="35" t="s">
        <v>44</v>
      </c>
      <c r="U1" s="35" t="s">
        <v>45</v>
      </c>
      <c r="V1" s="35" t="s">
        <v>46</v>
      </c>
      <c r="W1" s="35" t="s">
        <v>47</v>
      </c>
      <c r="X1" s="35" t="s">
        <v>48</v>
      </c>
      <c r="Y1" s="35" t="s">
        <v>49</v>
      </c>
      <c r="Z1" s="35" t="s">
        <v>50</v>
      </c>
      <c r="AA1" s="35" t="s">
        <v>51</v>
      </c>
      <c r="AB1" s="35" t="s">
        <v>52</v>
      </c>
      <c r="AC1" s="35" t="s">
        <v>333</v>
      </c>
      <c r="AD1" s="35" t="s">
        <v>53</v>
      </c>
      <c r="AE1" s="35" t="s">
        <v>54</v>
      </c>
      <c r="AF1" s="35" t="s">
        <v>55</v>
      </c>
      <c r="AG1" s="35" t="s">
        <v>56</v>
      </c>
      <c r="AH1" s="35" t="s">
        <v>57</v>
      </c>
      <c r="AI1" s="35" t="s">
        <v>58</v>
      </c>
      <c r="AJ1" s="35" t="s">
        <v>59</v>
      </c>
      <c r="AK1" s="35" t="s">
        <v>332</v>
      </c>
    </row>
    <row r="2" spans="1:37" ht="27" customHeight="1" x14ac:dyDescent="0.25">
      <c r="A2" s="2" t="s">
        <v>139</v>
      </c>
      <c r="B2" s="2" t="s">
        <v>108</v>
      </c>
      <c r="C2" s="2" t="s">
        <v>265</v>
      </c>
      <c r="D2" s="2" t="s">
        <v>140</v>
      </c>
      <c r="E2" s="2" t="s">
        <v>267</v>
      </c>
      <c r="F2" s="2" t="s">
        <v>141</v>
      </c>
      <c r="G2" s="2" t="s">
        <v>270</v>
      </c>
      <c r="H2" s="2" t="s">
        <v>161</v>
      </c>
      <c r="I2" s="2" t="s">
        <v>117</v>
      </c>
      <c r="J2" s="2" t="s">
        <v>118</v>
      </c>
      <c r="L2" s="37">
        <v>12</v>
      </c>
      <c r="M2" s="37">
        <v>3000</v>
      </c>
      <c r="N2" s="2" t="s">
        <v>188</v>
      </c>
      <c r="S2" s="2" t="s">
        <v>175</v>
      </c>
      <c r="T2" s="2" t="s">
        <v>189</v>
      </c>
      <c r="X2" s="2" t="s">
        <v>66</v>
      </c>
      <c r="Z2" s="2" t="s">
        <v>190</v>
      </c>
      <c r="AA2" s="2" t="s">
        <v>89</v>
      </c>
      <c r="AC2" s="2" t="s">
        <v>191</v>
      </c>
      <c r="AF2" s="2" t="s">
        <v>157</v>
      </c>
      <c r="AH2" s="2" t="s">
        <v>192</v>
      </c>
      <c r="AJ2" s="2" t="s">
        <v>161</v>
      </c>
      <c r="AK2" s="2" t="s">
        <v>193</v>
      </c>
    </row>
    <row r="3" spans="1:37" ht="27" customHeight="1" x14ac:dyDescent="0.25">
      <c r="A3" s="2" t="s">
        <v>78</v>
      </c>
      <c r="B3" s="2" t="s">
        <v>108</v>
      </c>
      <c r="C3" s="2" t="s">
        <v>265</v>
      </c>
      <c r="D3" s="2" t="s">
        <v>109</v>
      </c>
      <c r="E3" s="2" t="s">
        <v>269</v>
      </c>
      <c r="F3" s="2" t="s">
        <v>110</v>
      </c>
      <c r="G3" s="2" t="s">
        <v>272</v>
      </c>
      <c r="H3" s="2" t="s">
        <v>116</v>
      </c>
      <c r="I3" s="2" t="s">
        <v>117</v>
      </c>
      <c r="J3" s="2" t="s">
        <v>118</v>
      </c>
      <c r="L3" s="37">
        <v>4</v>
      </c>
      <c r="M3" s="37">
        <v>38</v>
      </c>
      <c r="N3" s="2" t="s">
        <v>119</v>
      </c>
      <c r="P3" s="2" t="s">
        <v>120</v>
      </c>
      <c r="Q3" s="2" t="s">
        <v>121</v>
      </c>
      <c r="R3" s="2" t="s">
        <v>122</v>
      </c>
      <c r="S3" s="2" t="s">
        <v>119</v>
      </c>
      <c r="U3" s="2" t="s">
        <v>108</v>
      </c>
      <c r="V3" s="2" t="s">
        <v>109</v>
      </c>
      <c r="W3" s="2" t="s">
        <v>110</v>
      </c>
      <c r="X3" s="2" t="s">
        <v>66</v>
      </c>
      <c r="Z3" s="2" t="s">
        <v>123</v>
      </c>
      <c r="AA3" s="2" t="s">
        <v>124</v>
      </c>
      <c r="AC3" s="2" t="s">
        <v>125</v>
      </c>
      <c r="AH3" s="2" t="s">
        <v>126</v>
      </c>
      <c r="AI3" s="2" t="s">
        <v>127</v>
      </c>
      <c r="AK3" s="2" t="s">
        <v>128</v>
      </c>
    </row>
    <row r="4" spans="1:37" ht="27" customHeight="1" x14ac:dyDescent="0.25">
      <c r="A4" s="2" t="s">
        <v>78</v>
      </c>
      <c r="B4" s="2" t="s">
        <v>108</v>
      </c>
      <c r="C4" s="2" t="s">
        <v>265</v>
      </c>
      <c r="D4" s="2" t="s">
        <v>109</v>
      </c>
      <c r="E4" s="2" t="s">
        <v>269</v>
      </c>
      <c r="F4" s="2" t="s">
        <v>110</v>
      </c>
      <c r="G4" s="2" t="s">
        <v>272</v>
      </c>
      <c r="H4" s="2" t="s">
        <v>116</v>
      </c>
      <c r="I4" s="2" t="s">
        <v>117</v>
      </c>
      <c r="J4" s="2" t="s">
        <v>118</v>
      </c>
      <c r="L4" s="37">
        <v>2</v>
      </c>
      <c r="M4" s="37">
        <v>32</v>
      </c>
      <c r="N4" s="2" t="s">
        <v>119</v>
      </c>
      <c r="P4" s="2" t="s">
        <v>120</v>
      </c>
      <c r="Q4" s="2" t="s">
        <v>121</v>
      </c>
      <c r="R4" s="2" t="s">
        <v>122</v>
      </c>
      <c r="S4" s="2" t="s">
        <v>119</v>
      </c>
      <c r="U4" s="2" t="s">
        <v>108</v>
      </c>
      <c r="V4" s="2" t="s">
        <v>109</v>
      </c>
      <c r="W4" s="2" t="s">
        <v>110</v>
      </c>
      <c r="X4" s="2" t="s">
        <v>129</v>
      </c>
      <c r="Z4" s="2" t="s">
        <v>123</v>
      </c>
      <c r="AA4" s="2" t="s">
        <v>124</v>
      </c>
      <c r="AC4" s="2" t="s">
        <v>130</v>
      </c>
      <c r="AH4" s="2" t="s">
        <v>126</v>
      </c>
      <c r="AI4" s="2" t="s">
        <v>131</v>
      </c>
      <c r="AK4" s="2" t="s">
        <v>132</v>
      </c>
    </row>
    <row r="5" spans="1:37" ht="27" customHeight="1" x14ac:dyDescent="0.25">
      <c r="A5" s="2" t="s">
        <v>84</v>
      </c>
      <c r="B5" s="2" t="s">
        <v>108</v>
      </c>
      <c r="C5" s="2" t="s">
        <v>265</v>
      </c>
      <c r="D5" s="2" t="s">
        <v>109</v>
      </c>
      <c r="E5" s="2" t="s">
        <v>269</v>
      </c>
      <c r="F5" s="2" t="s">
        <v>110</v>
      </c>
      <c r="G5" s="2" t="s">
        <v>272</v>
      </c>
      <c r="H5" s="2" t="s">
        <v>116</v>
      </c>
      <c r="I5" s="2" t="s">
        <v>117</v>
      </c>
      <c r="J5" s="2" t="s">
        <v>133</v>
      </c>
      <c r="L5" s="37">
        <v>4</v>
      </c>
      <c r="M5" s="37">
        <v>120</v>
      </c>
      <c r="N5" s="2" t="s">
        <v>119</v>
      </c>
      <c r="P5" s="2" t="s">
        <v>120</v>
      </c>
      <c r="Q5" s="2" t="s">
        <v>121</v>
      </c>
      <c r="R5" s="2" t="s">
        <v>122</v>
      </c>
      <c r="S5" s="2" t="s">
        <v>119</v>
      </c>
      <c r="U5" s="2" t="s">
        <v>108</v>
      </c>
      <c r="V5" s="2" t="s">
        <v>109</v>
      </c>
      <c r="W5" s="2" t="s">
        <v>110</v>
      </c>
      <c r="X5" s="2" t="s">
        <v>129</v>
      </c>
      <c r="Z5" s="2" t="s">
        <v>123</v>
      </c>
      <c r="AA5" s="2" t="s">
        <v>89</v>
      </c>
      <c r="AC5" s="2" t="s">
        <v>130</v>
      </c>
      <c r="AH5" s="2" t="s">
        <v>126</v>
      </c>
      <c r="AI5" s="2" t="s">
        <v>134</v>
      </c>
      <c r="AK5" s="2" t="s">
        <v>135</v>
      </c>
    </row>
    <row r="6" spans="1:37" ht="27" customHeight="1" x14ac:dyDescent="0.25">
      <c r="A6" s="2" t="s">
        <v>136</v>
      </c>
      <c r="B6" s="2" t="s">
        <v>108</v>
      </c>
      <c r="C6" s="2" t="s">
        <v>265</v>
      </c>
      <c r="D6" s="2" t="s">
        <v>109</v>
      </c>
      <c r="E6" s="2" t="s">
        <v>269</v>
      </c>
      <c r="F6" s="2" t="s">
        <v>110</v>
      </c>
      <c r="G6" s="2" t="s">
        <v>272</v>
      </c>
      <c r="H6" s="2" t="s">
        <v>116</v>
      </c>
      <c r="I6" s="2" t="s">
        <v>117</v>
      </c>
      <c r="J6" s="2" t="s">
        <v>118</v>
      </c>
      <c r="L6" s="37">
        <v>2</v>
      </c>
      <c r="M6" s="37">
        <v>35</v>
      </c>
      <c r="N6" s="2" t="s">
        <v>119</v>
      </c>
      <c r="P6" s="2" t="s">
        <v>120</v>
      </c>
      <c r="Q6" s="2" t="s">
        <v>121</v>
      </c>
      <c r="R6" s="2" t="s">
        <v>122</v>
      </c>
      <c r="S6" s="2" t="s">
        <v>119</v>
      </c>
      <c r="U6" s="2" t="s">
        <v>108</v>
      </c>
      <c r="V6" s="2" t="s">
        <v>109</v>
      </c>
      <c r="W6" s="2" t="s">
        <v>110</v>
      </c>
      <c r="X6" s="2" t="s">
        <v>66</v>
      </c>
      <c r="Z6" s="2" t="s">
        <v>123</v>
      </c>
      <c r="AA6" s="2" t="s">
        <v>124</v>
      </c>
      <c r="AC6" s="2" t="s">
        <v>137</v>
      </c>
      <c r="AH6" s="2" t="s">
        <v>126</v>
      </c>
      <c r="AI6" s="2" t="s">
        <v>131</v>
      </c>
      <c r="AK6" s="2" t="s">
        <v>138</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13F4B-7E90-4106-82C6-34272E7A31CA}">
  <sheetPr>
    <tabColor rgb="FFFFC000"/>
  </sheetPr>
  <dimension ref="B1:L188"/>
  <sheetViews>
    <sheetView showGridLines="0" zoomScale="90" zoomScaleNormal="90" workbookViewId="0">
      <selection activeCell="B3" sqref="B3"/>
    </sheetView>
  </sheetViews>
  <sheetFormatPr defaultColWidth="11.5703125" defaultRowHeight="15" x14ac:dyDescent="0.25"/>
  <cols>
    <col min="1" max="1" width="5.28515625" style="4" customWidth="1"/>
    <col min="2" max="2" width="12.5703125" style="4" customWidth="1"/>
    <col min="3" max="4" width="15.140625" style="4" customWidth="1"/>
    <col min="5" max="5" width="14.85546875" style="4" customWidth="1"/>
    <col min="6" max="12" width="15" style="4" customWidth="1"/>
    <col min="13" max="16384" width="11.5703125" style="4"/>
  </cols>
  <sheetData>
    <row r="1" spans="2:5" x14ac:dyDescent="0.25">
      <c r="B1" s="3" t="s">
        <v>325</v>
      </c>
      <c r="C1" s="3"/>
      <c r="D1" s="3"/>
    </row>
    <row r="2" spans="2:5" x14ac:dyDescent="0.25">
      <c r="B2" s="5"/>
    </row>
    <row r="4" spans="2:5" x14ac:dyDescent="0.25">
      <c r="B4" s="6" t="s">
        <v>274</v>
      </c>
    </row>
    <row r="6" spans="2:5" x14ac:dyDescent="0.25">
      <c r="B6" s="40" t="s">
        <v>275</v>
      </c>
      <c r="C6" s="40"/>
      <c r="D6" s="7" t="s">
        <v>276</v>
      </c>
      <c r="E6" s="7" t="s">
        <v>277</v>
      </c>
    </row>
    <row r="7" spans="2:5" ht="15" customHeight="1" x14ac:dyDescent="0.25">
      <c r="B7" s="8" t="s">
        <v>278</v>
      </c>
      <c r="C7" s="9"/>
      <c r="D7" s="10">
        <f>COUNTA(Table1[B1. Evénement ou Prévention?])</f>
        <v>28</v>
      </c>
      <c r="E7" s="11">
        <f>D7/D9</f>
        <v>0.84848484848484851</v>
      </c>
    </row>
    <row r="8" spans="2:5" ht="15" customHeight="1" x14ac:dyDescent="0.25">
      <c r="B8" s="8" t="s">
        <v>194</v>
      </c>
      <c r="C8" s="12"/>
      <c r="D8" s="10">
        <f>COUNTA(Table4[B1. Evénement ou Prévention?])</f>
        <v>5</v>
      </c>
      <c r="E8" s="11">
        <f>D8/D9</f>
        <v>0.15151515151515152</v>
      </c>
    </row>
    <row r="9" spans="2:5" ht="15" customHeight="1" x14ac:dyDescent="0.25">
      <c r="B9" s="40" t="s">
        <v>195</v>
      </c>
      <c r="C9" s="40"/>
      <c r="D9" s="13">
        <f>SUM(D7:D8)</f>
        <v>33</v>
      </c>
      <c r="E9" s="14">
        <f>SUM(E7:E8)</f>
        <v>1</v>
      </c>
    </row>
    <row r="12" spans="2:5" x14ac:dyDescent="0.25">
      <c r="B12" s="6" t="s">
        <v>279</v>
      </c>
    </row>
    <row r="14" spans="2:5" x14ac:dyDescent="0.25">
      <c r="C14" s="41" t="s">
        <v>275</v>
      </c>
      <c r="D14" s="41"/>
    </row>
    <row r="15" spans="2:5" ht="30" x14ac:dyDescent="0.25">
      <c r="B15" s="15" t="s">
        <v>280</v>
      </c>
      <c r="C15" s="7" t="s">
        <v>278</v>
      </c>
      <c r="D15" s="16" t="s">
        <v>194</v>
      </c>
      <c r="E15" s="16" t="s">
        <v>281</v>
      </c>
    </row>
    <row r="16" spans="2:5" x14ac:dyDescent="0.25">
      <c r="B16" s="17" t="s">
        <v>108</v>
      </c>
      <c r="C16" s="10">
        <f>COUNTIF(Table1[A4. Région de l’enquête:],"Est")</f>
        <v>19</v>
      </c>
      <c r="D16" s="10">
        <f>COUNTIF(Table4[A4. Région de l’enquête:],"Est")</f>
        <v>5</v>
      </c>
      <c r="E16" s="10">
        <f>SUM(C16:D16)</f>
        <v>24</v>
      </c>
    </row>
    <row r="17" spans="2:12" x14ac:dyDescent="0.25">
      <c r="B17" s="17" t="s">
        <v>61</v>
      </c>
      <c r="C17" s="10">
        <f>COUNTIF(Table1[A4. Région de l’enquête:],"Nord")</f>
        <v>9</v>
      </c>
      <c r="D17" s="10">
        <f>COUNTIF(Table4[A4. Région de l’enquête:],"Nord")</f>
        <v>0</v>
      </c>
      <c r="E17" s="10">
        <f t="shared" ref="E17:E18" si="0">SUM(C17:D17)</f>
        <v>9</v>
      </c>
    </row>
    <row r="18" spans="2:12" x14ac:dyDescent="0.25">
      <c r="B18" s="17" t="s">
        <v>120</v>
      </c>
      <c r="C18" s="10">
        <f>COUNTIF(Table1[A4. Région de l’enquête:],"Adamaoua")</f>
        <v>0</v>
      </c>
      <c r="D18" s="10">
        <f>COUNTIF(Table4[A4. Région de l’enquête:],"Adamaoua")</f>
        <v>0</v>
      </c>
      <c r="E18" s="10">
        <f t="shared" si="0"/>
        <v>0</v>
      </c>
    </row>
    <row r="19" spans="2:12" x14ac:dyDescent="0.25">
      <c r="B19" s="15" t="s">
        <v>195</v>
      </c>
      <c r="C19" s="13">
        <f>SUM(C16:C18)</f>
        <v>28</v>
      </c>
      <c r="D19" s="13">
        <f>SUM(D16:D18)</f>
        <v>5</v>
      </c>
      <c r="E19" s="13">
        <f>SUM(E16:E18)</f>
        <v>33</v>
      </c>
    </row>
    <row r="23" spans="2:12" x14ac:dyDescent="0.25">
      <c r="B23" s="6" t="s">
        <v>282</v>
      </c>
      <c r="D23" s="18"/>
      <c r="E23" s="18"/>
      <c r="F23" s="18"/>
    </row>
    <row r="24" spans="2:12" x14ac:dyDescent="0.25">
      <c r="D24" s="18"/>
      <c r="E24" s="18"/>
      <c r="F24" s="7" t="s">
        <v>276</v>
      </c>
      <c r="G24" s="7" t="s">
        <v>277</v>
      </c>
    </row>
    <row r="25" spans="2:12" x14ac:dyDescent="0.25">
      <c r="B25" s="8" t="s">
        <v>66</v>
      </c>
      <c r="C25" s="19"/>
      <c r="D25" s="19"/>
      <c r="E25" s="9"/>
      <c r="F25" s="20">
        <f>COUNTIF(Table1[C1.1. Quel est le type d''évenement rapporté?],B25)</f>
        <v>24</v>
      </c>
      <c r="G25" s="11">
        <f>F25/$F$30</f>
        <v>0.8571428571428571</v>
      </c>
    </row>
    <row r="26" spans="2:12" x14ac:dyDescent="0.25">
      <c r="B26" s="8" t="s">
        <v>171</v>
      </c>
      <c r="C26" s="19"/>
      <c r="D26" s="19"/>
      <c r="E26" s="9"/>
      <c r="F26" s="20">
        <f>COUNTIF(Table1[C1.1. Quel est le type d''évenement rapporté?],B26)</f>
        <v>3</v>
      </c>
      <c r="G26" s="11">
        <f>F26/$F$30</f>
        <v>0.10714285714285714</v>
      </c>
      <c r="L26" s="21"/>
    </row>
    <row r="27" spans="2:12" x14ac:dyDescent="0.25">
      <c r="B27" s="8" t="s">
        <v>249</v>
      </c>
      <c r="C27" s="19"/>
      <c r="D27" s="19"/>
      <c r="E27" s="9"/>
      <c r="F27" s="20">
        <f>COUNTIF(Table1[C1.1. Quel est le type d''évenement rapporté?],B27)</f>
        <v>1</v>
      </c>
      <c r="G27" s="11">
        <f>F27/$F$30</f>
        <v>3.5714285714285712E-2</v>
      </c>
    </row>
    <row r="28" spans="2:12" x14ac:dyDescent="0.25">
      <c r="B28" s="8" t="s">
        <v>283</v>
      </c>
      <c r="C28" s="19"/>
      <c r="D28" s="19"/>
      <c r="E28" s="9"/>
      <c r="F28" s="20">
        <f>COUNTIF(Table1[C1.1. Quel est le type d''évenement rapporté?],B28)</f>
        <v>0</v>
      </c>
      <c r="G28" s="11">
        <f>F28/$F$30</f>
        <v>0</v>
      </c>
    </row>
    <row r="29" spans="2:12" x14ac:dyDescent="0.25">
      <c r="B29" s="8" t="s">
        <v>284</v>
      </c>
      <c r="C29" s="19"/>
      <c r="D29" s="19"/>
      <c r="E29" s="9"/>
      <c r="F29" s="20">
        <f>COUNTIF(Table1[C1.1. Quel est le type d''évenement rapporté?],B29)</f>
        <v>0</v>
      </c>
      <c r="G29" s="11">
        <f>F29/$F$30</f>
        <v>0</v>
      </c>
    </row>
    <row r="30" spans="2:12" x14ac:dyDescent="0.25">
      <c r="D30" s="18"/>
      <c r="E30" s="13" t="s">
        <v>281</v>
      </c>
      <c r="F30" s="13">
        <f>SUM(F25:F29)</f>
        <v>28</v>
      </c>
      <c r="G30" s="14">
        <f>SUM(G25:G29)</f>
        <v>0.99999999999999989</v>
      </c>
    </row>
    <row r="31" spans="2:12" x14ac:dyDescent="0.25">
      <c r="D31" s="18"/>
      <c r="E31" s="18"/>
      <c r="F31" s="18"/>
    </row>
    <row r="32" spans="2:12" x14ac:dyDescent="0.25">
      <c r="B32" s="6" t="s">
        <v>285</v>
      </c>
      <c r="D32" s="18"/>
      <c r="E32" s="18"/>
      <c r="F32" s="18"/>
    </row>
    <row r="33" spans="2:7" x14ac:dyDescent="0.25">
      <c r="D33" s="18"/>
      <c r="E33" s="18"/>
      <c r="F33" s="7" t="s">
        <v>276</v>
      </c>
      <c r="G33" s="7" t="s">
        <v>277</v>
      </c>
    </row>
    <row r="34" spans="2:7" x14ac:dyDescent="0.25">
      <c r="B34" s="8" t="s">
        <v>144</v>
      </c>
      <c r="C34" s="19"/>
      <c r="D34" s="19"/>
      <c r="E34" s="9"/>
      <c r="F34" s="20">
        <f>COUNTIF(Table1[C1.5. Raison(s) de l’évènement ? (Si conflit agro-pastoral en C.1.1) (3 réponses possibles)],"*Dégâts sur les cultures*")</f>
        <v>23</v>
      </c>
      <c r="G34" s="11">
        <f>F34/$F$25</f>
        <v>0.95833333333333337</v>
      </c>
    </row>
    <row r="35" spans="2:7" x14ac:dyDescent="0.25">
      <c r="B35" s="8" t="s">
        <v>261</v>
      </c>
      <c r="C35" s="19"/>
      <c r="D35" s="19"/>
      <c r="E35" s="9"/>
      <c r="F35" s="20">
        <f>COUNTIF(Table1[C1.5. Raison(s) de l’évènement ? (Si conflit agro-pastoral en C.1.1) (3 réponses possibles)],"*Parcours de transhumance inaccessibles (mis en culture, etc.)*")</f>
        <v>9</v>
      </c>
      <c r="G35" s="11">
        <f t="shared" ref="G35:G42" si="1">F35/$F$25</f>
        <v>0.375</v>
      </c>
    </row>
    <row r="36" spans="2:7" x14ac:dyDescent="0.25">
      <c r="B36" s="8" t="s">
        <v>286</v>
      </c>
      <c r="C36" s="19"/>
      <c r="D36" s="19"/>
      <c r="E36" s="9"/>
      <c r="F36" s="20">
        <f>COUNTIF(Table1[C1.5. Raison(s) de l’évènement ? (Si conflit agro-pastoral en C.1.1) (3 réponses possibles)],"*Non-utilisation des couloirs de transhumances officiels*")</f>
        <v>3</v>
      </c>
      <c r="G36" s="11">
        <f t="shared" si="1"/>
        <v>0.125</v>
      </c>
    </row>
    <row r="37" spans="2:7" x14ac:dyDescent="0.25">
      <c r="B37" s="8" t="s">
        <v>287</v>
      </c>
      <c r="C37" s="19"/>
      <c r="D37" s="19"/>
      <c r="E37" s="9"/>
      <c r="F37" s="20">
        <f>COUNTIF(Table1[C1.5. Raison(s) de l’évènement ? (Si conflit agro-pastoral en C.1.1) (3 réponses possibles)],"*Problèmes d’accès à l’eau des groupes pastoraux et leur bétail*")</f>
        <v>3</v>
      </c>
      <c r="G37" s="11">
        <f t="shared" si="1"/>
        <v>0.125</v>
      </c>
    </row>
    <row r="38" spans="2:7" x14ac:dyDescent="0.25">
      <c r="B38" s="8" t="s">
        <v>290</v>
      </c>
      <c r="C38" s="19"/>
      <c r="D38" s="19"/>
      <c r="E38" s="9"/>
      <c r="F38" s="20">
        <f>COUNTIF(Table1[C1.5. Raison(s) de l’évènement ? (Si conflit agro-pastoral en C.1.1) (3 réponses possibles)],"*Autre(s)*")</f>
        <v>3</v>
      </c>
      <c r="G38" s="11">
        <f t="shared" si="1"/>
        <v>0.125</v>
      </c>
    </row>
    <row r="39" spans="2:7" x14ac:dyDescent="0.25">
      <c r="B39" s="8" t="s">
        <v>259</v>
      </c>
      <c r="C39" s="19"/>
      <c r="D39" s="19"/>
      <c r="E39" s="9"/>
      <c r="F39" s="20">
        <f>COUNTIF(Table1[C1.5. Raison(s) de l’évènement ? (Si conflit agro-pastoral en C.1.1) (3 réponses possibles)],"*Compétition autour des ressources animales*")</f>
        <v>1</v>
      </c>
      <c r="G39" s="11">
        <f t="shared" si="1"/>
        <v>4.1666666666666664E-2</v>
      </c>
    </row>
    <row r="40" spans="2:7" x14ac:dyDescent="0.25">
      <c r="B40" s="8" t="s">
        <v>258</v>
      </c>
      <c r="C40" s="19"/>
      <c r="D40" s="19"/>
      <c r="E40" s="9"/>
      <c r="F40" s="20">
        <f>COUNTIF(Table1[C1.5. Raison(s) de l’évènement ? (Si conflit agro-pastoral en C.1.1) (3 réponses possibles)],"*Conflit autour de l’exploitation des ressources naturelles (bois, etc.)*")</f>
        <v>1</v>
      </c>
      <c r="G40" s="11">
        <f t="shared" si="1"/>
        <v>4.1666666666666664E-2</v>
      </c>
    </row>
    <row r="41" spans="2:7" x14ac:dyDescent="0.25">
      <c r="B41" s="8" t="s">
        <v>288</v>
      </c>
      <c r="C41" s="19"/>
      <c r="D41" s="19"/>
      <c r="E41" s="9"/>
      <c r="F41" s="20">
        <f>COUNTIF(Table1[C1.5. Raison(s) de l’évènement ? (Si conflit agro-pastoral en C.1.1) (3 réponses possibles)],"*Mouvement/Passage précoce ou tardif des groupes pastoraux*")</f>
        <v>0</v>
      </c>
      <c r="G41" s="11">
        <f t="shared" si="1"/>
        <v>0</v>
      </c>
    </row>
    <row r="42" spans="2:7" x14ac:dyDescent="0.25">
      <c r="B42" s="8" t="s">
        <v>289</v>
      </c>
      <c r="C42" s="19"/>
      <c r="D42" s="19"/>
      <c r="E42" s="9"/>
      <c r="F42" s="20">
        <f>COUNTIF(Table1[C1.5. Raison(s) de l’évènement ? (Si conflit agro-pastoral en C.1.1) (3 réponses possibles)],"*Risque lié au vol de bétail*")</f>
        <v>0</v>
      </c>
      <c r="G42" s="11">
        <f t="shared" si="1"/>
        <v>0</v>
      </c>
    </row>
    <row r="43" spans="2:7" x14ac:dyDescent="0.25">
      <c r="D43" s="18"/>
      <c r="E43" s="18"/>
      <c r="F43" s="18"/>
    </row>
    <row r="44" spans="2:7" x14ac:dyDescent="0.25">
      <c r="D44" s="18"/>
      <c r="E44" s="18"/>
      <c r="F44" s="18"/>
    </row>
    <row r="45" spans="2:7" x14ac:dyDescent="0.25">
      <c r="B45" s="6" t="s">
        <v>291</v>
      </c>
    </row>
    <row r="47" spans="2:7" x14ac:dyDescent="0.25">
      <c r="B47" s="22" t="s">
        <v>292</v>
      </c>
      <c r="C47" s="23"/>
      <c r="D47" s="24"/>
      <c r="E47" s="16" t="s">
        <v>276</v>
      </c>
      <c r="F47" s="25" t="s">
        <v>277</v>
      </c>
    </row>
    <row r="48" spans="2:7" x14ac:dyDescent="0.25">
      <c r="B48" s="8" t="s">
        <v>253</v>
      </c>
      <c r="C48" s="19"/>
      <c r="D48" s="9"/>
      <c r="E48" s="10">
        <f>COUNTIF(Table1[C1.6. Quels sont les acteurs impliqués directement dans cet évènement ? (Plusieurs réponses possibles)],"*Forestiers*")</f>
        <v>0</v>
      </c>
      <c r="F48" s="11">
        <f t="shared" ref="F48:F60" si="2">E48/$D$7</f>
        <v>0</v>
      </c>
    </row>
    <row r="49" spans="2:6" x14ac:dyDescent="0.25">
      <c r="B49" s="8" t="s">
        <v>294</v>
      </c>
      <c r="C49" s="19"/>
      <c r="D49" s="9"/>
      <c r="E49" s="10">
        <f>COUNTIF(Table1[C1.6. Quels sont les acteurs impliqués directement dans cet évènement ? (Plusieurs réponses possibles)],"*Non applicable (si désastre naturel)*")</f>
        <v>0</v>
      </c>
      <c r="F49" s="11">
        <f t="shared" si="2"/>
        <v>0</v>
      </c>
    </row>
    <row r="50" spans="2:6" x14ac:dyDescent="0.25">
      <c r="B50" s="8" t="s">
        <v>254</v>
      </c>
      <c r="C50" s="19"/>
      <c r="D50" s="9"/>
      <c r="E50" s="10">
        <f>COUNTIF(Table1[C1.6. Quels sont les acteurs impliqués directement dans cet évènement ? (Plusieurs réponses possibles)],"*Autorités nationales et/ou locales*")</f>
        <v>0</v>
      </c>
      <c r="F50" s="11">
        <f t="shared" si="2"/>
        <v>0</v>
      </c>
    </row>
    <row r="51" spans="2:6" x14ac:dyDescent="0.25">
      <c r="B51" s="8" t="s">
        <v>252</v>
      </c>
      <c r="C51" s="19"/>
      <c r="D51" s="9"/>
      <c r="E51" s="10">
        <f>COUNTIF(Table1[C1.6. Quels sont les acteurs impliqués directement dans cet évènement ? (Plusieurs réponses possibles)],"*Autorités traditionnelles*")</f>
        <v>0</v>
      </c>
      <c r="F51" s="11">
        <f t="shared" si="2"/>
        <v>0</v>
      </c>
    </row>
    <row r="52" spans="2:6" x14ac:dyDescent="0.25">
      <c r="B52" s="8" t="s">
        <v>293</v>
      </c>
      <c r="C52" s="19"/>
      <c r="D52" s="9"/>
      <c r="E52" s="10">
        <f>COUNTIF(Table1[C1.6. Quels sont les acteurs impliqués directement dans cet évènement ? (Plusieurs réponses possibles)],"*Gestionnaires de parcs*")</f>
        <v>1</v>
      </c>
      <c r="F52" s="11">
        <f t="shared" si="2"/>
        <v>3.5714285714285712E-2</v>
      </c>
    </row>
    <row r="53" spans="2:6" x14ac:dyDescent="0.25">
      <c r="B53" s="8" t="s">
        <v>256</v>
      </c>
      <c r="C53" s="19"/>
      <c r="D53" s="9"/>
      <c r="E53" s="10">
        <f>COUNTIF(Table1[C1.6. Quels sont les acteurs impliqués directement dans cet évènement ? (Plusieurs réponses possibles)],"*Forces de maintien de l’ordre*")</f>
        <v>1</v>
      </c>
      <c r="F53" s="11">
        <f t="shared" si="2"/>
        <v>3.5714285714285712E-2</v>
      </c>
    </row>
    <row r="54" spans="2:6" x14ac:dyDescent="0.25">
      <c r="B54" s="8" t="s">
        <v>295</v>
      </c>
      <c r="C54" s="19"/>
      <c r="D54" s="9"/>
      <c r="E54" s="10">
        <f>COUNTIF(Table1[C1.6. Quels sont les acteurs impliqués directement dans cet évènement ? (Plusieurs réponses possibles)],"*Groupes armés non étatiques*")</f>
        <v>1</v>
      </c>
      <c r="F54" s="11">
        <f t="shared" si="2"/>
        <v>3.5714285714285712E-2</v>
      </c>
    </row>
    <row r="55" spans="2:6" x14ac:dyDescent="0.25">
      <c r="B55" s="8" t="s">
        <v>255</v>
      </c>
      <c r="C55" s="19"/>
      <c r="D55" s="9"/>
      <c r="E55" s="10">
        <f>COUNTIF(Table1[C1.6. Quels sont les acteurs impliqués directement dans cet évènement ? (Plusieurs réponses possibles)],"*Groupes pastoraux en transhumance*")</f>
        <v>1</v>
      </c>
      <c r="F55" s="11">
        <f t="shared" si="2"/>
        <v>3.5714285714285712E-2</v>
      </c>
    </row>
    <row r="56" spans="2:6" x14ac:dyDescent="0.25">
      <c r="B56" s="8" t="s">
        <v>257</v>
      </c>
      <c r="C56" s="19"/>
      <c r="D56" s="9"/>
      <c r="E56" s="10">
        <f>COUNTIF(Table1[C1.6. Quels sont les acteurs impliqués directement dans cet évènement ? (Plusieurs réponses possibles)],"*Réfugiés*")</f>
        <v>2</v>
      </c>
      <c r="F56" s="11">
        <f t="shared" si="2"/>
        <v>7.1428571428571425E-2</v>
      </c>
    </row>
    <row r="57" spans="2:6" x14ac:dyDescent="0.25">
      <c r="B57" s="8" t="s">
        <v>175</v>
      </c>
      <c r="C57" s="19"/>
      <c r="D57" s="9"/>
      <c r="E57" s="10">
        <f>COUNTIF(Table1[C1.6. Quels sont les acteurs impliqués directement dans cet évènement ? (Plusieurs réponses possibles)],"*Autre(s)*")</f>
        <v>3</v>
      </c>
      <c r="F57" s="11">
        <f t="shared" si="2"/>
        <v>0.10714285714285714</v>
      </c>
    </row>
    <row r="58" spans="2:6" x14ac:dyDescent="0.25">
      <c r="B58" s="8" t="s">
        <v>296</v>
      </c>
      <c r="C58" s="19"/>
      <c r="D58" s="9"/>
      <c r="E58" s="10">
        <f>COUNTIF(Table1[C1.6. Quels sont les acteurs impliqués directement dans cet évènement ? (Plusieurs réponses possibles)],"*Eleveurs Camerounais*")</f>
        <v>10</v>
      </c>
      <c r="F58" s="11">
        <f t="shared" si="2"/>
        <v>0.35714285714285715</v>
      </c>
    </row>
    <row r="59" spans="2:6" x14ac:dyDescent="0.25">
      <c r="B59" s="8" t="s">
        <v>297</v>
      </c>
      <c r="C59" s="19"/>
      <c r="D59" s="9"/>
      <c r="E59" s="10">
        <f>COUNTIF(Table1[C1.6. Quels sont les acteurs impliqués directement dans cet évènement ? (Plusieurs réponses possibles)],"*Bergers*")</f>
        <v>18</v>
      </c>
      <c r="F59" s="11">
        <f t="shared" si="2"/>
        <v>0.6428571428571429</v>
      </c>
    </row>
    <row r="60" spans="2:6" x14ac:dyDescent="0.25">
      <c r="B60" s="8" t="s">
        <v>298</v>
      </c>
      <c r="C60" s="19"/>
      <c r="D60" s="9"/>
      <c r="E60" s="10">
        <f>COUNTIF(Table1[C1.6. Quels sont les acteurs impliqués directement dans cet évènement ? (Plusieurs réponses possibles)],"*Agriculteurs*")</f>
        <v>25</v>
      </c>
      <c r="F60" s="11">
        <f t="shared" si="2"/>
        <v>0.8928571428571429</v>
      </c>
    </row>
    <row r="61" spans="2:6" x14ac:dyDescent="0.25">
      <c r="D61" s="27"/>
      <c r="E61" s="28"/>
      <c r="F61" s="29"/>
    </row>
    <row r="62" spans="2:6" x14ac:dyDescent="0.25">
      <c r="B62" s="6" t="s">
        <v>299</v>
      </c>
      <c r="D62" s="27"/>
      <c r="E62" s="28"/>
      <c r="F62" s="29"/>
    </row>
    <row r="64" spans="2:6" x14ac:dyDescent="0.25">
      <c r="B64" s="22" t="s">
        <v>300</v>
      </c>
      <c r="C64" s="23"/>
      <c r="D64" s="24"/>
      <c r="E64" s="16" t="s">
        <v>276</v>
      </c>
      <c r="F64" s="25" t="s">
        <v>277</v>
      </c>
    </row>
    <row r="65" spans="2:6" x14ac:dyDescent="0.25">
      <c r="B65" s="8" t="s">
        <v>241</v>
      </c>
      <c r="C65" s="19"/>
      <c r="D65" s="9"/>
      <c r="E65" s="10">
        <f>COUNTIF(Table1[C1.6.1. Si Réfugiés, précisez la nationalité],B65)</f>
        <v>2</v>
      </c>
      <c r="F65" s="11">
        <f>E65/ANALYSE_Evènements!$E$72</f>
        <v>1</v>
      </c>
    </row>
    <row r="66" spans="2:6" x14ac:dyDescent="0.25">
      <c r="B66" s="8" t="s">
        <v>119</v>
      </c>
      <c r="C66" s="19"/>
      <c r="D66" s="9"/>
      <c r="E66" s="10">
        <f>COUNTIF(Table1[C1.6.1. Si Réfugiés, précisez la nationalité],B66)</f>
        <v>0</v>
      </c>
      <c r="F66" s="11">
        <f>E66/ANALYSE_Evènements!$E$72</f>
        <v>0</v>
      </c>
    </row>
    <row r="67" spans="2:6" x14ac:dyDescent="0.25">
      <c r="B67" s="8" t="s">
        <v>301</v>
      </c>
      <c r="C67" s="19"/>
      <c r="D67" s="9"/>
      <c r="E67" s="10">
        <f>COUNTIF(Table1[C1.6.1. Si Réfugiés, précisez la nationalité],B67)</f>
        <v>0</v>
      </c>
      <c r="F67" s="11">
        <f>E67/ANALYSE_Evènements!$E$72</f>
        <v>0</v>
      </c>
    </row>
    <row r="68" spans="2:6" x14ac:dyDescent="0.25">
      <c r="B68" s="8" t="s">
        <v>302</v>
      </c>
      <c r="C68" s="19"/>
      <c r="D68" s="9"/>
      <c r="E68" s="10">
        <f>COUNTIF(Table1[C1.6.1. Si Réfugiés, précisez la nationalité],B68)</f>
        <v>0</v>
      </c>
      <c r="F68" s="11">
        <f>E68/ANALYSE_Evènements!$E$72</f>
        <v>0</v>
      </c>
    </row>
    <row r="69" spans="2:6" x14ac:dyDescent="0.25">
      <c r="B69" s="8" t="s">
        <v>303</v>
      </c>
      <c r="C69" s="19"/>
      <c r="D69" s="9"/>
      <c r="E69" s="10">
        <f>COUNTIF(Table1[C1.6.1. Si Réfugiés, précisez la nationalité],B69)</f>
        <v>0</v>
      </c>
      <c r="F69" s="11">
        <f>E69/ANALYSE_Evènements!$E$72</f>
        <v>0</v>
      </c>
    </row>
    <row r="70" spans="2:6" x14ac:dyDescent="0.25">
      <c r="B70" s="8" t="s">
        <v>188</v>
      </c>
      <c r="C70" s="19"/>
      <c r="D70" s="9"/>
      <c r="E70" s="10">
        <f>COUNTIF(Table1[C1.6.1. Si Réfugiés, précisez la nationalité],B70)</f>
        <v>0</v>
      </c>
      <c r="F70" s="11">
        <f>E70/ANALYSE_Evènements!$E$72</f>
        <v>0</v>
      </c>
    </row>
    <row r="71" spans="2:6" x14ac:dyDescent="0.25">
      <c r="B71" s="8" t="s">
        <v>290</v>
      </c>
      <c r="C71" s="19"/>
      <c r="D71" s="9"/>
      <c r="E71" s="10">
        <f>COUNTIF(Table1[C1.6.1. Si Réfugiés, précisez la nationalité],B71)</f>
        <v>0</v>
      </c>
      <c r="F71" s="11">
        <f>E71/ANALYSE_Evènements!$E$72</f>
        <v>0</v>
      </c>
    </row>
    <row r="72" spans="2:6" x14ac:dyDescent="0.25">
      <c r="D72" s="7" t="s">
        <v>281</v>
      </c>
      <c r="E72" s="16">
        <f>SUM(E65:E71)</f>
        <v>2</v>
      </c>
      <c r="F72" s="26">
        <f>SUM(F65:F71)</f>
        <v>1</v>
      </c>
    </row>
    <row r="75" spans="2:6" x14ac:dyDescent="0.25">
      <c r="B75" s="6" t="s">
        <v>304</v>
      </c>
      <c r="C75"/>
      <c r="D75"/>
    </row>
    <row r="77" spans="2:6" ht="18.600000000000001" customHeight="1" x14ac:dyDescent="0.25">
      <c r="B77" s="42" t="s">
        <v>305</v>
      </c>
      <c r="C77" s="43"/>
      <c r="D77" s="7" t="s">
        <v>70</v>
      </c>
      <c r="E77" s="7" t="s">
        <v>73</v>
      </c>
      <c r="F77" s="7" t="s">
        <v>105</v>
      </c>
    </row>
    <row r="78" spans="2:6" x14ac:dyDescent="0.25">
      <c r="B78" s="38" t="s">
        <v>276</v>
      </c>
      <c r="C78" s="39"/>
      <c r="D78" s="10">
        <f>COUNTIF(Table1[C1.7. L’évènement est-il résolu?],"Oui")</f>
        <v>17</v>
      </c>
      <c r="E78" s="10">
        <f>COUNTIF(Table1[C1.7. L’évènement est-il résolu?],"Non")</f>
        <v>8</v>
      </c>
      <c r="F78" s="10">
        <f>COUNTIF(Table1[C1.7. L’évènement est-il résolu?],"Ne sait pas")</f>
        <v>3</v>
      </c>
    </row>
    <row r="79" spans="2:6" ht="29.45" customHeight="1" x14ac:dyDescent="0.25"/>
    <row r="80" spans="2:6" x14ac:dyDescent="0.25">
      <c r="B80" s="6" t="s">
        <v>306</v>
      </c>
    </row>
    <row r="82" spans="2:6" x14ac:dyDescent="0.25">
      <c r="B82" s="22" t="s">
        <v>292</v>
      </c>
      <c r="C82" s="23"/>
      <c r="D82" s="24"/>
      <c r="E82" s="16" t="s">
        <v>276</v>
      </c>
      <c r="F82" s="25" t="s">
        <v>277</v>
      </c>
    </row>
    <row r="83" spans="2:6" x14ac:dyDescent="0.25">
      <c r="B83" s="8" t="s">
        <v>146</v>
      </c>
      <c r="C83" s="19"/>
      <c r="D83" s="9"/>
      <c r="E83" s="10">
        <f>COUNTIF(Table1[C1.8. Si Oui, qui a résolu ce conflit (Plusieurs réponses possibles)],"*Résolution à l'amiable*")</f>
        <v>13</v>
      </c>
      <c r="F83" s="11">
        <f t="shared" ref="F83:F89" si="3">E83/$D$78</f>
        <v>0.76470588235294112</v>
      </c>
    </row>
    <row r="84" spans="2:6" x14ac:dyDescent="0.25">
      <c r="B84" s="8" t="s">
        <v>81</v>
      </c>
      <c r="C84" s="19"/>
      <c r="D84" s="9"/>
      <c r="E84" s="10">
        <f>COUNTIF(Table1[C1.8. Si Oui, qui a résolu ce conflit (Plusieurs réponses possibles)],"*Autorités locales et/ou nationales*")</f>
        <v>8</v>
      </c>
      <c r="F84" s="11">
        <f t="shared" si="3"/>
        <v>0.47058823529411764</v>
      </c>
    </row>
    <row r="85" spans="2:6" x14ac:dyDescent="0.25">
      <c r="B85" s="8" t="s">
        <v>90</v>
      </c>
      <c r="C85" s="19"/>
      <c r="D85" s="9"/>
      <c r="E85" s="10">
        <f>COUNTIF(Table1[C1.8. Si Oui, qui a résolu ce conflit (Plusieurs réponses possibles)],"*Leaders communautaires / chef coutumier*")</f>
        <v>1</v>
      </c>
      <c r="F85" s="11">
        <f t="shared" si="3"/>
        <v>5.8823529411764705E-2</v>
      </c>
    </row>
    <row r="86" spans="2:6" x14ac:dyDescent="0.25">
      <c r="B86" s="8" t="s">
        <v>307</v>
      </c>
      <c r="C86" s="19"/>
      <c r="D86" s="9"/>
      <c r="E86" s="10">
        <f>COUNTIF(Table1[C1.8. Si Oui, qui a résolu ce conflit (Plusieurs réponses possibles)],"*Comité de gestion des conflits actif dans la localité*")</f>
        <v>0</v>
      </c>
      <c r="F86" s="11">
        <f t="shared" si="3"/>
        <v>0</v>
      </c>
    </row>
    <row r="87" spans="2:6" x14ac:dyDescent="0.25">
      <c r="B87" s="8" t="s">
        <v>308</v>
      </c>
      <c r="C87" s="19"/>
      <c r="D87" s="9"/>
      <c r="E87" s="10">
        <f>COUNTIF(Table1[C1.8. Si Oui, qui a résolu ce conflit (Plusieurs réponses possibles)],"*Autre comité de gestion des conflits*")</f>
        <v>0</v>
      </c>
      <c r="F87" s="11">
        <f t="shared" si="3"/>
        <v>0</v>
      </c>
    </row>
    <row r="88" spans="2:6" x14ac:dyDescent="0.25">
      <c r="B88" s="8" t="s">
        <v>309</v>
      </c>
      <c r="C88" s="19"/>
      <c r="D88" s="9"/>
      <c r="E88" s="10">
        <f>COUNTIF(Table1[C1.8. Si Oui, qui a résolu ce conflit (Plusieurs réponses possibles)],"*Organisation pastorale*")</f>
        <v>0</v>
      </c>
      <c r="F88" s="11">
        <f t="shared" si="3"/>
        <v>0</v>
      </c>
    </row>
    <row r="89" spans="2:6" x14ac:dyDescent="0.25">
      <c r="B89" s="8" t="s">
        <v>175</v>
      </c>
      <c r="C89" s="19"/>
      <c r="D89" s="9"/>
      <c r="E89" s="10">
        <f>COUNTIF(Table1[C1.8. Si Oui, qui a résolu ce conflit (Plusieurs réponses possibles)],"*Autre(s)*")</f>
        <v>0</v>
      </c>
      <c r="F89" s="11">
        <f t="shared" si="3"/>
        <v>0</v>
      </c>
    </row>
    <row r="91" spans="2:6" x14ac:dyDescent="0.25">
      <c r="B91" s="6" t="s">
        <v>196</v>
      </c>
    </row>
    <row r="92" spans="2:6" x14ac:dyDescent="0.25">
      <c r="D92" s="27"/>
      <c r="E92" s="28"/>
      <c r="F92" s="29"/>
    </row>
    <row r="93" spans="2:6" x14ac:dyDescent="0.25">
      <c r="B93" s="44" t="s">
        <v>196</v>
      </c>
      <c r="C93" s="45"/>
      <c r="D93" s="7" t="s">
        <v>70</v>
      </c>
      <c r="E93" s="7" t="s">
        <v>73</v>
      </c>
      <c r="F93" s="7" t="s">
        <v>105</v>
      </c>
    </row>
    <row r="94" spans="2:6" x14ac:dyDescent="0.25">
      <c r="B94" s="38" t="s">
        <v>276</v>
      </c>
      <c r="C94" s="39"/>
      <c r="D94" s="10">
        <f>COUNTIF(Table1[C1.9. Des risques de représailles ou reprise du conflit demeurent-ils ?],"Oui")</f>
        <v>14</v>
      </c>
      <c r="E94" s="10">
        <f>COUNTIF(Table1[C1.9. Des risques de représailles ou reprise du conflit demeurent-ils ?],"Non")</f>
        <v>14</v>
      </c>
      <c r="F94" s="10">
        <f>COUNTIF(Table1[C1.9. Des risques de représailles ou reprise du conflit demeurent-ils ?],"Ne sait pas")</f>
        <v>0</v>
      </c>
    </row>
    <row r="95" spans="2:6" x14ac:dyDescent="0.25">
      <c r="B95" s="27"/>
      <c r="C95" s="18"/>
      <c r="D95" s="18"/>
      <c r="E95" s="18"/>
      <c r="F95" s="29"/>
    </row>
    <row r="96" spans="2:6" x14ac:dyDescent="0.25">
      <c r="B96" s="6" t="s">
        <v>310</v>
      </c>
      <c r="C96" s="18"/>
      <c r="D96" s="18"/>
      <c r="E96" s="18"/>
      <c r="F96" s="29"/>
    </row>
    <row r="97" spans="2:9" x14ac:dyDescent="0.25">
      <c r="B97" s="27"/>
      <c r="C97" s="18"/>
      <c r="D97" s="18"/>
      <c r="E97" s="18"/>
      <c r="F97" s="29"/>
    </row>
    <row r="98" spans="2:9" x14ac:dyDescent="0.25">
      <c r="B98" s="30" t="s">
        <v>292</v>
      </c>
      <c r="C98" s="31"/>
      <c r="D98" s="31"/>
      <c r="E98" s="32"/>
      <c r="F98" s="16" t="s">
        <v>276</v>
      </c>
      <c r="G98" s="25" t="s">
        <v>277</v>
      </c>
    </row>
    <row r="99" spans="2:9" x14ac:dyDescent="0.25">
      <c r="B99" s="8" t="s">
        <v>311</v>
      </c>
      <c r="C99" s="19"/>
      <c r="D99" s="19"/>
      <c r="E99" s="9"/>
      <c r="F99" s="10">
        <f>COUNTIF(Table1[C1.9.1. Si Oui, quelles mesures pourraient contribuer à l’apaisement des acteurs impliqués dans ce conflit ? (Jusqu’à 3 réponses possibles)],"*Dialogue entre les acteurs impliqués*")</f>
        <v>13</v>
      </c>
      <c r="G99" s="11">
        <f>F99/$D$94</f>
        <v>0.9285714285714286</v>
      </c>
    </row>
    <row r="100" spans="2:9" x14ac:dyDescent="0.25">
      <c r="B100" s="8" t="s">
        <v>312</v>
      </c>
      <c r="C100" s="19"/>
      <c r="D100" s="19"/>
      <c r="E100" s="9"/>
      <c r="F100" s="10">
        <f>COUNTIF(Table1[C1.9.1. Si Oui, quelles mesures pourraient contribuer à l’apaisement des acteurs impliqués dans ce conflit ? (Jusqu’à 3 réponses possibles)],"*Balisage des routes de transhumance*")</f>
        <v>5</v>
      </c>
      <c r="G100" s="11">
        <f t="shared" ref="G100:G107" si="4">F100/$D$94</f>
        <v>0.35714285714285715</v>
      </c>
    </row>
    <row r="101" spans="2:9" x14ac:dyDescent="0.25">
      <c r="B101" s="8" t="s">
        <v>316</v>
      </c>
      <c r="C101" s="19"/>
      <c r="D101" s="19"/>
      <c r="E101" s="9"/>
      <c r="F101" s="10">
        <f>COUNTIF(Table1[C1.9.1. Si Oui, quelles mesures pourraient contribuer à l’apaisement des acteurs impliqués dans ce conflit ? (Jusqu’à 3 réponses possibles)],"*Réhabilitation des infrastructures*")</f>
        <v>4</v>
      </c>
      <c r="G101" s="11">
        <f t="shared" si="4"/>
        <v>0.2857142857142857</v>
      </c>
    </row>
    <row r="102" spans="2:9" x14ac:dyDescent="0.25">
      <c r="B102" s="8" t="s">
        <v>175</v>
      </c>
      <c r="C102" s="19"/>
      <c r="D102" s="19"/>
      <c r="E102" s="9"/>
      <c r="F102" s="10">
        <f>COUNTIF(Table1[C1.9.1. Si Oui, quelles mesures pourraient contribuer à l’apaisement des acteurs impliqués dans ce conflit ? (Jusqu’à 3 réponses possibles)],"*Autre(s)*")</f>
        <v>3</v>
      </c>
      <c r="G102" s="11">
        <f t="shared" si="4"/>
        <v>0.21428571428571427</v>
      </c>
    </row>
    <row r="103" spans="2:9" x14ac:dyDescent="0.25">
      <c r="B103" s="8" t="s">
        <v>314</v>
      </c>
      <c r="C103" s="19"/>
      <c r="D103" s="19"/>
      <c r="E103" s="9"/>
      <c r="F103" s="10">
        <f>COUNTIF(Table1[C1.9.1. Si Oui, quelles mesures pourraient contribuer à l’apaisement des acteurs impliqués dans ce conflit ? (Jusqu’à 3 réponses possibles)],"*Restauration des espaces pastoraux*")</f>
        <v>2</v>
      </c>
      <c r="G103" s="11">
        <f t="shared" si="4"/>
        <v>0.14285714285714285</v>
      </c>
    </row>
    <row r="104" spans="2:9" x14ac:dyDescent="0.25">
      <c r="B104" s="8" t="s">
        <v>313</v>
      </c>
      <c r="C104" s="19"/>
      <c r="D104" s="19"/>
      <c r="E104" s="9"/>
      <c r="F104" s="10">
        <f>COUNTIF(Table1[C1.9.1. Si Oui, quelles mesures pourraient contribuer à l’apaisement des acteurs impliqués dans ce conflit ? (Jusqu’à 3 réponses possibles)],"*Plantation de culture fourragère*")</f>
        <v>0</v>
      </c>
      <c r="G104" s="11">
        <f t="shared" si="4"/>
        <v>0</v>
      </c>
    </row>
    <row r="105" spans="2:9" x14ac:dyDescent="0.25">
      <c r="B105" s="8" t="s">
        <v>315</v>
      </c>
      <c r="C105" s="19"/>
      <c r="D105" s="19"/>
      <c r="E105" s="9"/>
      <c r="F105" s="10">
        <f>COUNTIF(Table1[C1.9.1. Si Oui, quelles mesures pourraient contribuer à l’apaisement des acteurs impliqués dans ce conflit ? (Jusqu’à 3 réponses possibles)],"*Installation d’un point d’eau*")</f>
        <v>0</v>
      </c>
      <c r="G105" s="11">
        <f t="shared" si="4"/>
        <v>0</v>
      </c>
    </row>
    <row r="106" spans="2:9" x14ac:dyDescent="0.25">
      <c r="B106" s="8" t="s">
        <v>317</v>
      </c>
      <c r="C106" s="19"/>
      <c r="D106" s="19"/>
      <c r="E106" s="9"/>
      <c r="F106" s="10">
        <f>COUNTIF(Table1[C1.9.1. Si Oui, quelles mesures pourraient contribuer à l’apaisement des acteurs impliqués dans ce conflit ? (Jusqu’à 3 réponses possibles)],"*Appui au développement d’Activités génératrices de revenu*")</f>
        <v>0</v>
      </c>
      <c r="G106" s="11">
        <f t="shared" si="4"/>
        <v>0</v>
      </c>
    </row>
    <row r="107" spans="2:9" x14ac:dyDescent="0.25">
      <c r="B107" s="8" t="s">
        <v>318</v>
      </c>
      <c r="C107" s="19"/>
      <c r="D107" s="19"/>
      <c r="E107" s="9"/>
      <c r="F107" s="10">
        <f>COUNTIF(Table1[C1.9.1. Si Oui, quelles mesures pourraient contribuer à l’apaisement des acteurs impliqués dans ce conflit ? (Jusqu’à 3 réponses possibles)],"*Reboisement*")</f>
        <v>0</v>
      </c>
      <c r="G107" s="11">
        <f t="shared" si="4"/>
        <v>0</v>
      </c>
    </row>
    <row r="108" spans="2:9" x14ac:dyDescent="0.25">
      <c r="B108" s="27"/>
      <c r="C108" s="18"/>
      <c r="D108" s="18"/>
      <c r="E108" s="18"/>
      <c r="F108" s="29"/>
    </row>
    <row r="109" spans="2:9" x14ac:dyDescent="0.25">
      <c r="B109" s="6" t="s">
        <v>319</v>
      </c>
      <c r="C109" s="18"/>
      <c r="D109" s="18"/>
      <c r="E109" s="18"/>
      <c r="F109" s="29"/>
    </row>
    <row r="110" spans="2:9" x14ac:dyDescent="0.25">
      <c r="D110" s="27"/>
      <c r="E110" s="28"/>
      <c r="F110" s="7" t="s">
        <v>70</v>
      </c>
      <c r="G110" s="7" t="s">
        <v>73</v>
      </c>
      <c r="H110" s="7" t="s">
        <v>105</v>
      </c>
      <c r="I110" s="7" t="s">
        <v>281</v>
      </c>
    </row>
    <row r="111" spans="2:9" ht="16.149999999999999" customHeight="1" x14ac:dyDescent="0.25">
      <c r="B111" s="8" t="s">
        <v>320</v>
      </c>
      <c r="C111" s="19"/>
      <c r="D111" s="19"/>
      <c r="E111" s="9"/>
      <c r="F111" s="10">
        <f>COUNTIF(Table1[C3.5.Perte ou destruction : Autres structures agricole( puits, etc)],$F$110)</f>
        <v>1</v>
      </c>
      <c r="G111" s="10">
        <f>COUNTIF(Table1[C3.5.Perte ou destruction : Autres structures agricole( puits, etc)],$G$110)</f>
        <v>25</v>
      </c>
      <c r="H111" s="10">
        <f>COUNTIF(Table1[C3.5.Perte ou destruction : Autres structures agricole( puits, etc)],$H$110)</f>
        <v>2</v>
      </c>
      <c r="I111" s="33">
        <f t="shared" ref="I111:I117" si="5">SUM(F111:H111)</f>
        <v>28</v>
      </c>
    </row>
    <row r="112" spans="2:9" ht="16.149999999999999" customHeight="1" x14ac:dyDescent="0.25">
      <c r="B112" s="8" t="s">
        <v>321</v>
      </c>
      <c r="C112" s="19"/>
      <c r="D112" s="19"/>
      <c r="E112" s="9"/>
      <c r="F112" s="10">
        <f>COUNTIF(Table1[C3.3.Perte ou destruction : Outils agricoles],$F$110)</f>
        <v>1</v>
      </c>
      <c r="G112" s="10">
        <f>COUNTIF(Table1[C3.3.Perte ou destruction : Outils agricoles],$G$110)</f>
        <v>25</v>
      </c>
      <c r="H112" s="10">
        <f>COUNTIF(Table1[C3.3.Perte ou destruction : Outils agricoles],$H$110)</f>
        <v>2</v>
      </c>
      <c r="I112" s="33">
        <f t="shared" si="5"/>
        <v>28</v>
      </c>
    </row>
    <row r="113" spans="2:9" ht="16.149999999999999" customHeight="1" x14ac:dyDescent="0.25">
      <c r="B113" s="8" t="s">
        <v>322</v>
      </c>
      <c r="C113" s="19"/>
      <c r="D113" s="19"/>
      <c r="E113" s="9"/>
      <c r="F113" s="10">
        <f>COUNTIF(Table1[C3.1.Perte ou destruction : Habitat],$F$110)</f>
        <v>1</v>
      </c>
      <c r="G113" s="10">
        <f>COUNTIF(Table1[C3.1.Perte ou destruction : Habitat],$G$110)</f>
        <v>27</v>
      </c>
      <c r="H113" s="10">
        <f>COUNTIF(Table1[C3.1.Perte ou destruction : Habitat],$H$110)</f>
        <v>0</v>
      </c>
      <c r="I113" s="33">
        <f t="shared" si="5"/>
        <v>28</v>
      </c>
    </row>
    <row r="114" spans="2:9" ht="16.149999999999999" customHeight="1" x14ac:dyDescent="0.25">
      <c r="B114" s="8" t="s">
        <v>323</v>
      </c>
      <c r="C114" s="19"/>
      <c r="D114" s="19"/>
      <c r="E114" s="9"/>
      <c r="F114" s="10">
        <f>COUNTIF(Table1[C2.3. Y’a-t-il eu des pertes en vies humaines ou des blessés suite à cet évènement ?],$F$110)</f>
        <v>1</v>
      </c>
      <c r="G114" s="10">
        <f>COUNTIF(Table1[C2.3. Y’a-t-il eu des pertes en vies humaines ou des blessés suite à cet évènement ?],$G$110)</f>
        <v>27</v>
      </c>
      <c r="H114" s="10">
        <f>COUNTIF(Table1[C2.3. Y’a-t-il eu des pertes en vies humaines ou des blessés suite à cet évènement ?],$H$110)</f>
        <v>0</v>
      </c>
      <c r="I114" s="33">
        <f t="shared" si="5"/>
        <v>28</v>
      </c>
    </row>
    <row r="115" spans="2:9" ht="16.149999999999999" customHeight="1" x14ac:dyDescent="0.25">
      <c r="B115" s="8" t="s">
        <v>250</v>
      </c>
      <c r="C115" s="19"/>
      <c r="D115" s="19"/>
      <c r="E115" s="9"/>
      <c r="F115" s="10">
        <f>COUNTIF(Table1[C2.1 Y’a-t-il eu des déplacés liés à ce conflit ?],$F$110)</f>
        <v>2</v>
      </c>
      <c r="G115" s="10">
        <f>COUNTIF(Table1[C2.1 Y’a-t-il eu des déplacés liés à ce conflit ?],$G$110)</f>
        <v>25</v>
      </c>
      <c r="H115" s="10">
        <f>COUNTIF(Table1[C2.1 Y’a-t-il eu des déplacés liés à ce conflit ?],$H$110)</f>
        <v>1</v>
      </c>
      <c r="I115" s="33">
        <f t="shared" si="5"/>
        <v>28</v>
      </c>
    </row>
    <row r="116" spans="2:9" ht="16.149999999999999" customHeight="1" x14ac:dyDescent="0.25">
      <c r="B116" s="8" t="s">
        <v>251</v>
      </c>
      <c r="C116" s="19"/>
      <c r="D116" s="19"/>
      <c r="E116" s="9"/>
      <c r="F116" s="10">
        <f>COUNTIF(Table1[C3.4.Perte ou destruction : Betails],$F$110)</f>
        <v>2</v>
      </c>
      <c r="G116" s="10">
        <f>COUNTIF(Table1[C3.4.Perte ou destruction : Betails],$G$110)</f>
        <v>26</v>
      </c>
      <c r="H116" s="10">
        <f>COUNTIF(Table1[C3.4.Perte ou destruction : Betails],$H$110)</f>
        <v>0</v>
      </c>
      <c r="I116" s="33">
        <f t="shared" si="5"/>
        <v>28</v>
      </c>
    </row>
    <row r="117" spans="2:9" ht="16.149999999999999" customHeight="1" x14ac:dyDescent="0.25">
      <c r="B117" s="8" t="s">
        <v>324</v>
      </c>
      <c r="C117" s="19"/>
      <c r="D117" s="19"/>
      <c r="E117" s="9"/>
      <c r="F117" s="10">
        <f>COUNTIF(Table1[C3.2.Perte ou destruction : Cultures/Fourage/Intrants],$F$110)</f>
        <v>23</v>
      </c>
      <c r="G117" s="10">
        <f>COUNTIF(Table1[C3.2.Perte ou destruction : Cultures/Fourage/Intrants],$G$110)</f>
        <v>5</v>
      </c>
      <c r="H117" s="10">
        <f>COUNTIF(Table1[C3.2.Perte ou destruction : Cultures/Fourage/Intrants],$H$110)</f>
        <v>0</v>
      </c>
      <c r="I117" s="33">
        <f t="shared" si="5"/>
        <v>28</v>
      </c>
    </row>
    <row r="163" spans="3:5" x14ac:dyDescent="0.25">
      <c r="E163" s="4" t="s">
        <v>175</v>
      </c>
    </row>
    <row r="164" spans="3:5" ht="90" x14ac:dyDescent="0.25">
      <c r="E164" s="1" t="s">
        <v>258</v>
      </c>
    </row>
    <row r="165" spans="3:5" ht="90" x14ac:dyDescent="0.25">
      <c r="C165" s="1" t="s">
        <v>219</v>
      </c>
      <c r="E165" s="1" t="s">
        <v>144</v>
      </c>
    </row>
    <row r="166" spans="3:5" ht="75" x14ac:dyDescent="0.25">
      <c r="C166" s="1" t="s">
        <v>144</v>
      </c>
      <c r="E166" s="1" t="s">
        <v>261</v>
      </c>
    </row>
    <row r="167" spans="3:5" ht="60" x14ac:dyDescent="0.25">
      <c r="C167" s="1" t="s">
        <v>144</v>
      </c>
      <c r="E167" s="1" t="s">
        <v>259</v>
      </c>
    </row>
    <row r="168" spans="3:5" ht="60" x14ac:dyDescent="0.25">
      <c r="C168" s="1" t="s">
        <v>144</v>
      </c>
      <c r="E168" s="1" t="s">
        <v>260</v>
      </c>
    </row>
    <row r="169" spans="3:5" ht="105" x14ac:dyDescent="0.25">
      <c r="C169" s="1" t="s">
        <v>144</v>
      </c>
      <c r="E169" s="1" t="s">
        <v>114</v>
      </c>
    </row>
    <row r="170" spans="3:5" ht="180" x14ac:dyDescent="0.25">
      <c r="C170" s="1" t="s">
        <v>144</v>
      </c>
      <c r="E170" s="1" t="s">
        <v>69</v>
      </c>
    </row>
    <row r="171" spans="3:5" ht="180" x14ac:dyDescent="0.25">
      <c r="C171" s="1" t="s">
        <v>144</v>
      </c>
      <c r="E171" s="1" t="s">
        <v>80</v>
      </c>
    </row>
    <row r="172" spans="3:5" ht="30" x14ac:dyDescent="0.25">
      <c r="C172" s="1" t="s">
        <v>144</v>
      </c>
    </row>
    <row r="173" spans="3:5" ht="30" x14ac:dyDescent="0.25">
      <c r="C173" s="1" t="s">
        <v>144</v>
      </c>
    </row>
    <row r="174" spans="3:5" ht="30" x14ac:dyDescent="0.25">
      <c r="C174" s="1" t="s">
        <v>144</v>
      </c>
    </row>
    <row r="175" spans="3:5" ht="30" x14ac:dyDescent="0.25">
      <c r="C175" s="1" t="s">
        <v>144</v>
      </c>
    </row>
    <row r="176" spans="3:5" ht="30" x14ac:dyDescent="0.25">
      <c r="C176" s="1" t="s">
        <v>144</v>
      </c>
    </row>
    <row r="177" spans="3:3" ht="45" x14ac:dyDescent="0.25">
      <c r="C177" s="1" t="s">
        <v>103</v>
      </c>
    </row>
    <row r="178" spans="3:3" ht="45" x14ac:dyDescent="0.25">
      <c r="C178" s="1" t="s">
        <v>103</v>
      </c>
    </row>
    <row r="179" spans="3:3" ht="90" x14ac:dyDescent="0.25">
      <c r="C179" s="1" t="s">
        <v>180</v>
      </c>
    </row>
    <row r="180" spans="3:3" ht="165" x14ac:dyDescent="0.25">
      <c r="C180" s="1" t="s">
        <v>89</v>
      </c>
    </row>
    <row r="181" spans="3:3" ht="165" x14ac:dyDescent="0.25">
      <c r="C181" s="1" t="s">
        <v>89</v>
      </c>
    </row>
    <row r="182" spans="3:3" ht="165" x14ac:dyDescent="0.25">
      <c r="C182" s="1" t="s">
        <v>89</v>
      </c>
    </row>
    <row r="183" spans="3:3" ht="105" x14ac:dyDescent="0.25">
      <c r="C183" s="1" t="s">
        <v>114</v>
      </c>
    </row>
    <row r="184" spans="3:3" ht="105" x14ac:dyDescent="0.25">
      <c r="C184" s="1" t="s">
        <v>114</v>
      </c>
    </row>
    <row r="185" spans="3:3" ht="105" x14ac:dyDescent="0.25">
      <c r="C185" s="1" t="s">
        <v>114</v>
      </c>
    </row>
    <row r="186" spans="3:3" ht="165" x14ac:dyDescent="0.25">
      <c r="C186" s="1" t="s">
        <v>69</v>
      </c>
    </row>
    <row r="187" spans="3:3" ht="180" x14ac:dyDescent="0.25">
      <c r="C187" s="1" t="s">
        <v>80</v>
      </c>
    </row>
    <row r="188" spans="3:3" ht="180" x14ac:dyDescent="0.25">
      <c r="C188" s="1" t="s">
        <v>80</v>
      </c>
    </row>
  </sheetData>
  <mergeCells count="7">
    <mergeCell ref="B94:C94"/>
    <mergeCell ref="B6:C6"/>
    <mergeCell ref="B9:C9"/>
    <mergeCell ref="C14:D14"/>
    <mergeCell ref="B77:C77"/>
    <mergeCell ref="B78:C78"/>
    <mergeCell ref="B93:C93"/>
  </mergeCells>
  <conditionalFormatting sqref="G99:G107">
    <cfRule type="dataBar" priority="7">
      <dataBar>
        <cfvo type="min"/>
        <cfvo type="max"/>
        <color rgb="FF638EC6"/>
      </dataBar>
      <extLst>
        <ext xmlns:x14="http://schemas.microsoft.com/office/spreadsheetml/2009/9/main" uri="{B025F937-C7B1-47D3-B67F-A62EFF666E3E}">
          <x14:id>{3DE26342-57C9-4E64-83D2-B38D988C4436}</x14:id>
        </ext>
      </extLst>
    </cfRule>
  </conditionalFormatting>
  <conditionalFormatting sqref="F83:F89">
    <cfRule type="dataBar" priority="6">
      <dataBar>
        <cfvo type="min"/>
        <cfvo type="max"/>
        <color rgb="FF638EC6"/>
      </dataBar>
      <extLst>
        <ext xmlns:x14="http://schemas.microsoft.com/office/spreadsheetml/2009/9/main" uri="{B025F937-C7B1-47D3-B67F-A62EFF666E3E}">
          <x14:id>{2242B03B-6213-4B84-9A2D-AAE0A87D144A}</x14:id>
        </ext>
      </extLst>
    </cfRule>
  </conditionalFormatting>
  <conditionalFormatting sqref="F65:F71">
    <cfRule type="dataBar" priority="5">
      <dataBar>
        <cfvo type="min"/>
        <cfvo type="max"/>
        <color rgb="FF638EC6"/>
      </dataBar>
      <extLst>
        <ext xmlns:x14="http://schemas.microsoft.com/office/spreadsheetml/2009/9/main" uri="{B025F937-C7B1-47D3-B67F-A62EFF666E3E}">
          <x14:id>{54F1B2DC-C5F1-4F70-942A-DA282C30BF9F}</x14:id>
        </ext>
      </extLst>
    </cfRule>
  </conditionalFormatting>
  <conditionalFormatting sqref="F48:F60">
    <cfRule type="dataBar" priority="4">
      <dataBar>
        <cfvo type="min"/>
        <cfvo type="max"/>
        <color rgb="FF638EC6"/>
      </dataBar>
      <extLst>
        <ext xmlns:x14="http://schemas.microsoft.com/office/spreadsheetml/2009/9/main" uri="{B025F937-C7B1-47D3-B67F-A62EFF666E3E}">
          <x14:id>{BFBE6A48-EC15-4BC2-B0EB-D90A4193EAB1}</x14:id>
        </ext>
      </extLst>
    </cfRule>
  </conditionalFormatting>
  <conditionalFormatting sqref="E7:E8">
    <cfRule type="dataBar" priority="3">
      <dataBar>
        <cfvo type="min"/>
        <cfvo type="max"/>
        <color rgb="FF638EC6"/>
      </dataBar>
      <extLst>
        <ext xmlns:x14="http://schemas.microsoft.com/office/spreadsheetml/2009/9/main" uri="{B025F937-C7B1-47D3-B67F-A62EFF666E3E}">
          <x14:id>{AA8200F0-5F1B-4E2A-9284-A211AA0BA18A}</x14:id>
        </ext>
      </extLst>
    </cfRule>
  </conditionalFormatting>
  <conditionalFormatting sqref="G25:G29">
    <cfRule type="dataBar" priority="2">
      <dataBar>
        <cfvo type="min"/>
        <cfvo type="max"/>
        <color rgb="FF638EC6"/>
      </dataBar>
      <extLst>
        <ext xmlns:x14="http://schemas.microsoft.com/office/spreadsheetml/2009/9/main" uri="{B025F937-C7B1-47D3-B67F-A62EFF666E3E}">
          <x14:id>{2E4841AA-62E3-4CF4-8D71-B5A63DF33880}</x14:id>
        </ext>
      </extLst>
    </cfRule>
  </conditionalFormatting>
  <conditionalFormatting sqref="G34:G42">
    <cfRule type="dataBar" priority="1">
      <dataBar>
        <cfvo type="min"/>
        <cfvo type="max"/>
        <color rgb="FF638EC6"/>
      </dataBar>
      <extLst>
        <ext xmlns:x14="http://schemas.microsoft.com/office/spreadsheetml/2009/9/main" uri="{B025F937-C7B1-47D3-B67F-A62EFF666E3E}">
          <x14:id>{224A14BC-A6A6-4A8A-A2BB-06F51D042480}</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DE26342-57C9-4E64-83D2-B38D988C4436}">
            <x14:dataBar minLength="0" maxLength="100" border="1" negativeBarBorderColorSameAsPositive="0">
              <x14:cfvo type="autoMin"/>
              <x14:cfvo type="autoMax"/>
              <x14:borderColor rgb="FF638EC6"/>
              <x14:negativeFillColor rgb="FFFF0000"/>
              <x14:negativeBorderColor rgb="FFFF0000"/>
              <x14:axisColor rgb="FF000000"/>
            </x14:dataBar>
          </x14:cfRule>
          <xm:sqref>G99:G107</xm:sqref>
        </x14:conditionalFormatting>
        <x14:conditionalFormatting xmlns:xm="http://schemas.microsoft.com/office/excel/2006/main">
          <x14:cfRule type="dataBar" id="{2242B03B-6213-4B84-9A2D-AAE0A87D144A}">
            <x14:dataBar minLength="0" maxLength="100" border="1" negativeBarBorderColorSameAsPositive="0">
              <x14:cfvo type="autoMin"/>
              <x14:cfvo type="autoMax"/>
              <x14:borderColor rgb="FF638EC6"/>
              <x14:negativeFillColor rgb="FFFF0000"/>
              <x14:negativeBorderColor rgb="FFFF0000"/>
              <x14:axisColor rgb="FF000000"/>
            </x14:dataBar>
          </x14:cfRule>
          <xm:sqref>F83:F89</xm:sqref>
        </x14:conditionalFormatting>
        <x14:conditionalFormatting xmlns:xm="http://schemas.microsoft.com/office/excel/2006/main">
          <x14:cfRule type="dataBar" id="{54F1B2DC-C5F1-4F70-942A-DA282C30BF9F}">
            <x14:dataBar minLength="0" maxLength="100" border="1" negativeBarBorderColorSameAsPositive="0">
              <x14:cfvo type="autoMin"/>
              <x14:cfvo type="autoMax"/>
              <x14:borderColor rgb="FF638EC6"/>
              <x14:negativeFillColor rgb="FFFF0000"/>
              <x14:negativeBorderColor rgb="FFFF0000"/>
              <x14:axisColor rgb="FF000000"/>
            </x14:dataBar>
          </x14:cfRule>
          <xm:sqref>F65:F71</xm:sqref>
        </x14:conditionalFormatting>
        <x14:conditionalFormatting xmlns:xm="http://schemas.microsoft.com/office/excel/2006/main">
          <x14:cfRule type="dataBar" id="{BFBE6A48-EC15-4BC2-B0EB-D90A4193EAB1}">
            <x14:dataBar minLength="0" maxLength="100" border="1" negativeBarBorderColorSameAsPositive="0">
              <x14:cfvo type="autoMin"/>
              <x14:cfvo type="autoMax"/>
              <x14:borderColor rgb="FF638EC6"/>
              <x14:negativeFillColor rgb="FFFF0000"/>
              <x14:negativeBorderColor rgb="FFFF0000"/>
              <x14:axisColor rgb="FF000000"/>
            </x14:dataBar>
          </x14:cfRule>
          <xm:sqref>F48:F60</xm:sqref>
        </x14:conditionalFormatting>
        <x14:conditionalFormatting xmlns:xm="http://schemas.microsoft.com/office/excel/2006/main">
          <x14:cfRule type="dataBar" id="{AA8200F0-5F1B-4E2A-9284-A211AA0BA18A}">
            <x14:dataBar minLength="0" maxLength="100" border="1" negativeBarBorderColorSameAsPositive="0">
              <x14:cfvo type="autoMin"/>
              <x14:cfvo type="autoMax"/>
              <x14:borderColor rgb="FF638EC6"/>
              <x14:negativeFillColor rgb="FFFF0000"/>
              <x14:negativeBorderColor rgb="FFFF0000"/>
              <x14:axisColor rgb="FF000000"/>
            </x14:dataBar>
          </x14:cfRule>
          <xm:sqref>E7:E8</xm:sqref>
        </x14:conditionalFormatting>
        <x14:conditionalFormatting xmlns:xm="http://schemas.microsoft.com/office/excel/2006/main">
          <x14:cfRule type="dataBar" id="{2E4841AA-62E3-4CF4-8D71-B5A63DF33880}">
            <x14:dataBar minLength="0" maxLength="100" border="1" negativeBarBorderColorSameAsPositive="0">
              <x14:cfvo type="autoMin"/>
              <x14:cfvo type="autoMax"/>
              <x14:borderColor rgb="FF638EC6"/>
              <x14:negativeFillColor rgb="FFFF0000"/>
              <x14:negativeBorderColor rgb="FFFF0000"/>
              <x14:axisColor rgb="FF000000"/>
            </x14:dataBar>
          </x14:cfRule>
          <xm:sqref>G25:G29</xm:sqref>
        </x14:conditionalFormatting>
        <x14:conditionalFormatting xmlns:xm="http://schemas.microsoft.com/office/excel/2006/main">
          <x14:cfRule type="dataBar" id="{224A14BC-A6A6-4A8A-A2BB-06F51D042480}">
            <x14:dataBar minLength="0" maxLength="100" border="1" negativeBarBorderColorSameAsPositive="0">
              <x14:cfvo type="autoMin"/>
              <x14:cfvo type="autoMax"/>
              <x14:borderColor rgb="FF638EC6"/>
              <x14:negativeFillColor rgb="FFFF0000"/>
              <x14:negativeBorderColor rgb="FFFF0000"/>
              <x14:axisColor rgb="FF000000"/>
            </x14:dataBar>
          </x14:cfRule>
          <xm:sqref>G34:G42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AA397-A45F-49D7-8E50-D2044EF5F790}">
  <sheetPr>
    <tabColor rgb="FF92D050"/>
  </sheetPr>
  <dimension ref="B1:H86"/>
  <sheetViews>
    <sheetView showGridLines="0" workbookViewId="0">
      <selection activeCell="H83" sqref="H83"/>
    </sheetView>
  </sheetViews>
  <sheetFormatPr defaultColWidth="11.5703125" defaultRowHeight="15" x14ac:dyDescent="0.25"/>
  <cols>
    <col min="1" max="1" width="8.28515625" customWidth="1"/>
    <col min="2" max="5" width="14.28515625" customWidth="1"/>
    <col min="6" max="6" width="12.7109375" customWidth="1"/>
  </cols>
  <sheetData>
    <row r="1" spans="2:8" x14ac:dyDescent="0.25">
      <c r="B1" s="3" t="str">
        <f>ANALYSE_Evènements!B1</f>
        <v>PÉRIODE DU 1er AU 30 AOUT 2020</v>
      </c>
      <c r="C1" s="3"/>
      <c r="D1" s="3"/>
    </row>
    <row r="4" spans="2:8" x14ac:dyDescent="0.25">
      <c r="B4" s="6" t="s">
        <v>334</v>
      </c>
    </row>
    <row r="5" spans="2:8" x14ac:dyDescent="0.25">
      <c r="G5" s="7" t="s">
        <v>276</v>
      </c>
      <c r="H5" s="7" t="s">
        <v>277</v>
      </c>
    </row>
    <row r="6" spans="2:8" x14ac:dyDescent="0.25">
      <c r="B6" s="8" t="s">
        <v>118</v>
      </c>
      <c r="C6" s="19"/>
      <c r="D6" s="19"/>
      <c r="E6" s="19"/>
      <c r="F6" s="9"/>
      <c r="G6" s="20">
        <f>COUNTIF(Table4[D1.1. Type de mouvement ?],"Mouvement précoce ou tardif par rapport au calendrier de transhumance")</f>
        <v>4</v>
      </c>
      <c r="H6" s="11">
        <f>G6/$G$9</f>
        <v>0.8</v>
      </c>
    </row>
    <row r="7" spans="2:8" x14ac:dyDescent="0.25">
      <c r="B7" s="8" t="s">
        <v>133</v>
      </c>
      <c r="C7" s="19"/>
      <c r="D7" s="19"/>
      <c r="E7" s="19"/>
      <c r="F7" s="9"/>
      <c r="G7" s="20">
        <f>COUNTIF(Table4[D1.1. Type de mouvement ?],"Mouvement massif")</f>
        <v>1</v>
      </c>
      <c r="H7" s="11">
        <f t="shared" ref="H7:H8" si="0">G7/$G$9</f>
        <v>0.2</v>
      </c>
    </row>
    <row r="8" spans="2:8" x14ac:dyDescent="0.25">
      <c r="B8" s="8" t="s">
        <v>335</v>
      </c>
      <c r="C8" s="19"/>
      <c r="D8" s="19"/>
      <c r="E8" s="19"/>
      <c r="F8" s="9"/>
      <c r="G8" s="20">
        <f>COUNTIF(Table4[D1.1. Type de mouvement ?],"Autre mouvement important à rapport")</f>
        <v>0</v>
      </c>
      <c r="H8" s="11">
        <f t="shared" si="0"/>
        <v>0</v>
      </c>
    </row>
    <row r="9" spans="2:8" x14ac:dyDescent="0.25">
      <c r="F9" s="13" t="s">
        <v>281</v>
      </c>
      <c r="G9" s="13">
        <f>SUM(G6:G8)</f>
        <v>5</v>
      </c>
      <c r="H9" s="14">
        <f>SUM(H6:H8)</f>
        <v>1</v>
      </c>
    </row>
    <row r="11" spans="2:8" x14ac:dyDescent="0.25">
      <c r="B11" s="6" t="s">
        <v>336</v>
      </c>
    </row>
    <row r="12" spans="2:8" x14ac:dyDescent="0.25">
      <c r="G12" s="7" t="s">
        <v>276</v>
      </c>
    </row>
    <row r="13" spans="2:8" x14ac:dyDescent="0.25">
      <c r="B13" s="8" t="s">
        <v>337</v>
      </c>
      <c r="C13" s="19"/>
      <c r="D13" s="19"/>
      <c r="E13" s="19"/>
      <c r="F13" s="9"/>
      <c r="G13" s="34">
        <f>SUM(Table4[D1.2. Combien de personnes accompagnent les troupeaux ?])</f>
        <v>24</v>
      </c>
    </row>
    <row r="14" spans="2:8" x14ac:dyDescent="0.25">
      <c r="B14" s="8" t="s">
        <v>338</v>
      </c>
      <c r="C14" s="19"/>
      <c r="D14" s="19"/>
      <c r="E14" s="19"/>
      <c r="F14" s="9"/>
      <c r="G14" s="34">
        <f>SUM(Table4[D1.3. Quelle est la taille du troupeau ? (estimatoin du nombre de bêtes)])</f>
        <v>3225</v>
      </c>
    </row>
    <row r="16" spans="2:8" x14ac:dyDescent="0.25">
      <c r="B16" s="6" t="s">
        <v>339</v>
      </c>
      <c r="C16" s="4"/>
      <c r="D16" s="27"/>
      <c r="E16" s="28"/>
      <c r="F16" s="29"/>
    </row>
    <row r="17" spans="2:6" x14ac:dyDescent="0.25">
      <c r="B17" s="4"/>
      <c r="C17" s="4"/>
      <c r="D17" s="4"/>
      <c r="E17" s="4"/>
      <c r="F17" s="4"/>
    </row>
    <row r="18" spans="2:6" x14ac:dyDescent="0.25">
      <c r="B18" s="22" t="s">
        <v>340</v>
      </c>
      <c r="C18" s="23"/>
      <c r="D18" s="24"/>
      <c r="E18" s="16" t="s">
        <v>276</v>
      </c>
      <c r="F18" s="25" t="s">
        <v>277</v>
      </c>
    </row>
    <row r="19" spans="2:6" x14ac:dyDescent="0.25">
      <c r="B19" s="8" t="s">
        <v>119</v>
      </c>
      <c r="C19" s="19"/>
      <c r="D19" s="9"/>
      <c r="E19" s="10">
        <f>COUNTIF(Table4[D2.1. Pays de provenance du troupeau],B19)</f>
        <v>4</v>
      </c>
      <c r="F19" s="11">
        <f t="shared" ref="F19:F25" si="1">E19/$E$26</f>
        <v>0.8</v>
      </c>
    </row>
    <row r="20" spans="2:6" x14ac:dyDescent="0.25">
      <c r="B20" s="8" t="s">
        <v>188</v>
      </c>
      <c r="C20" s="19"/>
      <c r="D20" s="9"/>
      <c r="E20" s="10">
        <f>COUNTIF(Table4[D2.1. Pays de provenance du troupeau],B20)</f>
        <v>1</v>
      </c>
      <c r="F20" s="11">
        <f t="shared" si="1"/>
        <v>0.2</v>
      </c>
    </row>
    <row r="21" spans="2:6" x14ac:dyDescent="0.25">
      <c r="B21" s="8" t="s">
        <v>241</v>
      </c>
      <c r="C21" s="19"/>
      <c r="D21" s="9"/>
      <c r="E21" s="10">
        <f>COUNTIF(Table4[D2.1. Pays de provenance du troupeau],B21)</f>
        <v>0</v>
      </c>
      <c r="F21" s="11">
        <f t="shared" si="1"/>
        <v>0</v>
      </c>
    </row>
    <row r="22" spans="2:6" x14ac:dyDescent="0.25">
      <c r="B22" s="8" t="s">
        <v>301</v>
      </c>
      <c r="C22" s="19"/>
      <c r="D22" s="9"/>
      <c r="E22" s="10">
        <f>COUNTIF(Table4[D2.1. Pays de provenance du troupeau],B22)</f>
        <v>0</v>
      </c>
      <c r="F22" s="11">
        <f t="shared" si="1"/>
        <v>0</v>
      </c>
    </row>
    <row r="23" spans="2:6" x14ac:dyDescent="0.25">
      <c r="B23" s="8" t="s">
        <v>302</v>
      </c>
      <c r="C23" s="19"/>
      <c r="D23" s="9"/>
      <c r="E23" s="10">
        <f>COUNTIF(Table4[D2.1. Pays de provenance du troupeau],B23)</f>
        <v>0</v>
      </c>
      <c r="F23" s="11">
        <f t="shared" si="1"/>
        <v>0</v>
      </c>
    </row>
    <row r="24" spans="2:6" x14ac:dyDescent="0.25">
      <c r="B24" s="8" t="s">
        <v>303</v>
      </c>
      <c r="C24" s="19"/>
      <c r="D24" s="9"/>
      <c r="E24" s="10">
        <f>COUNTIF(Table4[D2.1. Pays de provenance du troupeau],B24)</f>
        <v>0</v>
      </c>
      <c r="F24" s="11">
        <f t="shared" si="1"/>
        <v>0</v>
      </c>
    </row>
    <row r="25" spans="2:6" x14ac:dyDescent="0.25">
      <c r="B25" s="8" t="s">
        <v>175</v>
      </c>
      <c r="C25" s="19"/>
      <c r="D25" s="9"/>
      <c r="E25" s="10">
        <f>COUNTIF(Table4[D2.1. Pays de provenance du troupeau],B25)</f>
        <v>0</v>
      </c>
      <c r="F25" s="11">
        <f t="shared" si="1"/>
        <v>0</v>
      </c>
    </row>
    <row r="26" spans="2:6" x14ac:dyDescent="0.25">
      <c r="B26" s="4"/>
      <c r="C26" s="4"/>
      <c r="D26" s="7" t="s">
        <v>281</v>
      </c>
      <c r="E26" s="16">
        <f>SUM(E19:E25)</f>
        <v>5</v>
      </c>
      <c r="F26" s="26">
        <f>SUM(F19:F25)</f>
        <v>1</v>
      </c>
    </row>
    <row r="28" spans="2:6" x14ac:dyDescent="0.25">
      <c r="B28" s="6" t="s">
        <v>341</v>
      </c>
      <c r="C28" s="4"/>
      <c r="D28" s="27"/>
      <c r="E28" s="28"/>
      <c r="F28" s="29"/>
    </row>
    <row r="29" spans="2:6" x14ac:dyDescent="0.25">
      <c r="B29" s="4"/>
      <c r="C29" s="4"/>
      <c r="D29" s="4"/>
      <c r="E29" s="4"/>
      <c r="F29" s="4"/>
    </row>
    <row r="30" spans="2:6" x14ac:dyDescent="0.25">
      <c r="B30" s="22" t="s">
        <v>340</v>
      </c>
      <c r="C30" s="23"/>
      <c r="D30" s="24"/>
      <c r="E30" s="16" t="s">
        <v>276</v>
      </c>
      <c r="F30" s="25" t="s">
        <v>277</v>
      </c>
    </row>
    <row r="31" spans="2:6" x14ac:dyDescent="0.25">
      <c r="B31" s="8" t="s">
        <v>119</v>
      </c>
      <c r="C31" s="19"/>
      <c r="D31" s="9"/>
      <c r="E31" s="10">
        <f>COUNTIF(Table4[D3.1. Pays de destination du troupeau],B31)</f>
        <v>4</v>
      </c>
      <c r="F31" s="11">
        <f t="shared" ref="F31:F37" si="2">E31/$E$26</f>
        <v>0.8</v>
      </c>
    </row>
    <row r="32" spans="2:6" x14ac:dyDescent="0.25">
      <c r="B32" s="8" t="s">
        <v>175</v>
      </c>
      <c r="C32" s="19"/>
      <c r="D32" s="9"/>
      <c r="E32" s="10">
        <f>COUNTIF(Table4[D3.1. Pays de destination du troupeau],B32)</f>
        <v>1</v>
      </c>
      <c r="F32" s="11">
        <f t="shared" si="2"/>
        <v>0.2</v>
      </c>
    </row>
    <row r="33" spans="2:6" x14ac:dyDescent="0.25">
      <c r="B33" s="8" t="s">
        <v>241</v>
      </c>
      <c r="C33" s="19"/>
      <c r="D33" s="9"/>
      <c r="E33" s="10">
        <f>COUNTIF(Table4[D3.1. Pays de destination du troupeau],B33)</f>
        <v>0</v>
      </c>
      <c r="F33" s="11">
        <f t="shared" si="2"/>
        <v>0</v>
      </c>
    </row>
    <row r="34" spans="2:6" x14ac:dyDescent="0.25">
      <c r="B34" s="8" t="s">
        <v>302</v>
      </c>
      <c r="C34" s="19"/>
      <c r="D34" s="9"/>
      <c r="E34" s="10">
        <f>COUNTIF(Table4[D3.1. Pays de destination du troupeau],B34)</f>
        <v>0</v>
      </c>
      <c r="F34" s="11">
        <f t="shared" si="2"/>
        <v>0</v>
      </c>
    </row>
    <row r="35" spans="2:6" x14ac:dyDescent="0.25">
      <c r="B35" s="8" t="s">
        <v>301</v>
      </c>
      <c r="C35" s="19"/>
      <c r="D35" s="9"/>
      <c r="E35" s="10">
        <f>COUNTIF(Table4[D3.1. Pays de destination du troupeau],B35)</f>
        <v>0</v>
      </c>
      <c r="F35" s="11">
        <f t="shared" si="2"/>
        <v>0</v>
      </c>
    </row>
    <row r="36" spans="2:6" x14ac:dyDescent="0.25">
      <c r="B36" s="8" t="s">
        <v>303</v>
      </c>
      <c r="C36" s="19"/>
      <c r="D36" s="9"/>
      <c r="E36" s="10">
        <f>COUNTIF(Table4[D3.1. Pays de destination du troupeau],B36)</f>
        <v>0</v>
      </c>
      <c r="F36" s="11">
        <f t="shared" si="2"/>
        <v>0</v>
      </c>
    </row>
    <row r="37" spans="2:6" x14ac:dyDescent="0.25">
      <c r="B37" s="8" t="s">
        <v>188</v>
      </c>
      <c r="C37" s="19"/>
      <c r="D37" s="9"/>
      <c r="E37" s="10">
        <f>COUNTIF(Table4[D3.1. Pays de destination du troupeau],B37)</f>
        <v>0</v>
      </c>
      <c r="F37" s="11">
        <f t="shared" si="2"/>
        <v>0</v>
      </c>
    </row>
    <row r="38" spans="2:6" x14ac:dyDescent="0.25">
      <c r="B38" s="4"/>
      <c r="C38" s="4"/>
      <c r="D38" s="7" t="s">
        <v>281</v>
      </c>
      <c r="E38" s="16">
        <f>SUM(E31:E37)</f>
        <v>5</v>
      </c>
      <c r="F38" s="26">
        <f>SUM(F31:F37)</f>
        <v>1</v>
      </c>
    </row>
    <row r="40" spans="2:6" x14ac:dyDescent="0.25">
      <c r="B40" s="6" t="s">
        <v>342</v>
      </c>
      <c r="C40" s="4"/>
      <c r="D40" s="18"/>
      <c r="E40" s="18"/>
      <c r="F40" s="18"/>
    </row>
    <row r="41" spans="2:6" x14ac:dyDescent="0.25">
      <c r="B41" s="4"/>
      <c r="C41" s="4"/>
      <c r="D41" s="18"/>
      <c r="E41" s="7" t="s">
        <v>276</v>
      </c>
      <c r="F41" s="7" t="s">
        <v>277</v>
      </c>
    </row>
    <row r="42" spans="2:6" x14ac:dyDescent="0.25">
      <c r="B42" s="8" t="s">
        <v>66</v>
      </c>
      <c r="C42" s="19"/>
      <c r="D42" s="19"/>
      <c r="E42" s="20">
        <f>COUNTIF(Table4[D4.1. Quels sont les risques potentiels associés à ce mouvement ? (Plusieurs réponses possibles)],"*Conflit agro-pastoral*")</f>
        <v>5</v>
      </c>
      <c r="F42" s="11">
        <f>E42/$G$9</f>
        <v>1</v>
      </c>
    </row>
    <row r="43" spans="2:6" x14ac:dyDescent="0.25">
      <c r="B43" s="8" t="s">
        <v>283</v>
      </c>
      <c r="C43" s="19"/>
      <c r="D43" s="19"/>
      <c r="E43" s="20">
        <f>COUNTIF(Table4[D4.1. Quels sont les risques potentiels associés à ce mouvement ? (Plusieurs réponses possibles)],"*Tensions intercommunautaires*")</f>
        <v>2</v>
      </c>
      <c r="F43" s="11">
        <f>E43/$G$9</f>
        <v>0.4</v>
      </c>
    </row>
    <row r="44" spans="2:6" x14ac:dyDescent="0.25">
      <c r="B44" s="8" t="s">
        <v>171</v>
      </c>
      <c r="C44" s="19"/>
      <c r="D44" s="19"/>
      <c r="E44" s="20">
        <f>COUNTIF(Table4[D4.1. Quels sont les risques potentiels associés à ce mouvement ? (Plusieurs réponses possibles)],"*Autre type de conflit*")</f>
        <v>0</v>
      </c>
      <c r="F44" s="11">
        <f>E44/$G$9</f>
        <v>0</v>
      </c>
    </row>
    <row r="45" spans="2:6" x14ac:dyDescent="0.25">
      <c r="B45" s="4"/>
      <c r="C45" s="4"/>
      <c r="D45" s="13" t="s">
        <v>281</v>
      </c>
      <c r="E45" s="16">
        <f>SUM(E42:E44)</f>
        <v>7</v>
      </c>
      <c r="F45" s="11"/>
    </row>
    <row r="47" spans="2:6" x14ac:dyDescent="0.25">
      <c r="B47" s="6" t="s">
        <v>342</v>
      </c>
      <c r="C47" s="4"/>
      <c r="D47" s="18"/>
      <c r="E47" s="18"/>
      <c r="F47" s="18"/>
    </row>
    <row r="48" spans="2:6" x14ac:dyDescent="0.25">
      <c r="B48" s="4"/>
      <c r="C48" s="4"/>
      <c r="D48" s="18"/>
      <c r="E48" s="7" t="s">
        <v>276</v>
      </c>
      <c r="F48" s="7" t="s">
        <v>277</v>
      </c>
    </row>
    <row r="49" spans="2:7" x14ac:dyDescent="0.25">
      <c r="B49" s="8" t="s">
        <v>123</v>
      </c>
      <c r="C49" s="19"/>
      <c r="D49" s="19"/>
      <c r="E49" s="20">
        <f>COUNTIF(Table4[D4.2. Quelle est la probabilité que ce risque potentiel se concrétise ? (Estimation)],B49)</f>
        <v>4</v>
      </c>
      <c r="F49" s="11">
        <f>E49/$E$52</f>
        <v>0.8</v>
      </c>
    </row>
    <row r="50" spans="2:7" x14ac:dyDescent="0.25">
      <c r="B50" s="8" t="s">
        <v>190</v>
      </c>
      <c r="C50" s="19"/>
      <c r="D50" s="19"/>
      <c r="E50" s="20">
        <f>COUNTIF(Table4[D4.2. Quelle est la probabilité que ce risque potentiel se concrétise ? (Estimation)],B50)</f>
        <v>1</v>
      </c>
      <c r="F50" s="11">
        <f>E50/$E$52</f>
        <v>0.2</v>
      </c>
    </row>
    <row r="51" spans="2:7" x14ac:dyDescent="0.25">
      <c r="B51" s="8" t="s">
        <v>343</v>
      </c>
      <c r="C51" s="19"/>
      <c r="D51" s="19"/>
      <c r="E51" s="20">
        <f>COUNTIF(Table4[D4.2. Quelle est la probabilité que ce risque potentiel se concrétise ? (Estimation)],B51)</f>
        <v>0</v>
      </c>
      <c r="F51" s="11">
        <f>E51/$E$52</f>
        <v>0</v>
      </c>
    </row>
    <row r="52" spans="2:7" x14ac:dyDescent="0.25">
      <c r="B52" s="4"/>
      <c r="C52" s="4"/>
      <c r="D52" s="13" t="s">
        <v>281</v>
      </c>
      <c r="E52" s="16">
        <f>SUM(E49:E51)</f>
        <v>5</v>
      </c>
      <c r="F52" s="11">
        <f>SUM(F49:F51)</f>
        <v>1</v>
      </c>
    </row>
    <row r="54" spans="2:7" x14ac:dyDescent="0.25">
      <c r="B54" s="6" t="s">
        <v>344</v>
      </c>
      <c r="C54" s="4"/>
      <c r="D54" s="18"/>
      <c r="E54" s="18"/>
      <c r="F54" s="18"/>
    </row>
    <row r="55" spans="2:7" x14ac:dyDescent="0.25">
      <c r="B55" s="4"/>
      <c r="C55" s="4"/>
      <c r="D55" s="18"/>
      <c r="E55" s="18"/>
      <c r="F55" s="7" t="s">
        <v>276</v>
      </c>
      <c r="G55" s="7" t="s">
        <v>277</v>
      </c>
    </row>
    <row r="56" spans="2:7" x14ac:dyDescent="0.25">
      <c r="B56" s="8" t="s">
        <v>286</v>
      </c>
      <c r="C56" s="19"/>
      <c r="D56" s="19"/>
      <c r="E56" s="9"/>
      <c r="F56" s="20">
        <f>COUNTIF(Table4[D4.3. Quels sont les risques liés au passage de ce mouvement ? (Plusieurs réponses possibles)],"*Non-utilisation des couloirs de transhumances officiels*")</f>
        <v>5</v>
      </c>
      <c r="G56" s="11">
        <f t="shared" ref="G56:G62" si="3">F56/$G$9</f>
        <v>1</v>
      </c>
    </row>
    <row r="57" spans="2:7" x14ac:dyDescent="0.25">
      <c r="B57" s="8" t="s">
        <v>144</v>
      </c>
      <c r="C57" s="19"/>
      <c r="D57" s="19"/>
      <c r="E57" s="9"/>
      <c r="F57" s="20">
        <f>COUNTIF(Table4[D4.3. Quels sont les risques liés au passage de ce mouvement ? (Plusieurs réponses possibles)],"*Dégâts sur les cultures*")</f>
        <v>5</v>
      </c>
      <c r="G57" s="11">
        <f t="shared" si="3"/>
        <v>1</v>
      </c>
    </row>
    <row r="58" spans="2:7" x14ac:dyDescent="0.25">
      <c r="B58" s="8" t="s">
        <v>261</v>
      </c>
      <c r="C58" s="19"/>
      <c r="D58" s="19"/>
      <c r="E58" s="9"/>
      <c r="F58" s="20">
        <f>COUNTIF(Table4[D4.3. Quels sont les risques liés au passage de ce mouvement ? (Plusieurs réponses possibles)],"*Parcours de transhumance inaccessibles (mis en culture, etc.)*")</f>
        <v>2</v>
      </c>
      <c r="G58" s="11">
        <f t="shared" si="3"/>
        <v>0.4</v>
      </c>
    </row>
    <row r="59" spans="2:7" x14ac:dyDescent="0.25">
      <c r="B59" s="8" t="s">
        <v>289</v>
      </c>
      <c r="C59" s="19"/>
      <c r="D59" s="19"/>
      <c r="E59" s="9"/>
      <c r="F59" s="20">
        <f>COUNTIF(Table4[D4.3. Quels sont les risques liés au passage de ce mouvement ? (Plusieurs réponses possibles)],"*Risque lié au vol de bétail*")</f>
        <v>0</v>
      </c>
      <c r="G59" s="11">
        <f t="shared" si="3"/>
        <v>0</v>
      </c>
    </row>
    <row r="60" spans="2:7" x14ac:dyDescent="0.25">
      <c r="B60" s="8" t="s">
        <v>287</v>
      </c>
      <c r="C60" s="19"/>
      <c r="D60" s="19"/>
      <c r="E60" s="9"/>
      <c r="F60" s="20">
        <f>COUNTIF(Table4[D4.3. Quels sont les risques liés au passage de ce mouvement ? (Plusieurs réponses possibles)],"*Problèmes d’accès à l’eau des groupes pastoraux et leur bétail*")</f>
        <v>0</v>
      </c>
      <c r="G60" s="11">
        <f t="shared" si="3"/>
        <v>0</v>
      </c>
    </row>
    <row r="61" spans="2:7" x14ac:dyDescent="0.25">
      <c r="B61" s="8" t="s">
        <v>258</v>
      </c>
      <c r="C61" s="19"/>
      <c r="D61" s="19"/>
      <c r="E61" s="9"/>
      <c r="F61" s="20">
        <f>COUNTIF(Table4[D4.3. Quels sont les risques liés au passage de ce mouvement ? (Plusieurs réponses possibles)],"*Conflit autour de l’exploitation des ressources naturelles (bois, etc.)*")</f>
        <v>0</v>
      </c>
      <c r="G61" s="11">
        <f t="shared" si="3"/>
        <v>0</v>
      </c>
    </row>
    <row r="62" spans="2:7" x14ac:dyDescent="0.25">
      <c r="B62" s="8" t="s">
        <v>175</v>
      </c>
      <c r="C62" s="19"/>
      <c r="D62" s="19"/>
      <c r="E62" s="9"/>
      <c r="F62" s="20">
        <f>COUNTIF(Table4[D4.3. Quels sont les risques liés au passage de ce mouvement ? (Plusieurs réponses possibles)],"*Autre(s)*")</f>
        <v>0</v>
      </c>
      <c r="G62" s="11">
        <f t="shared" si="3"/>
        <v>0</v>
      </c>
    </row>
    <row r="63" spans="2:7" x14ac:dyDescent="0.25">
      <c r="B63" s="4"/>
      <c r="C63" s="4"/>
      <c r="D63" s="18"/>
    </row>
    <row r="65" spans="2:6" x14ac:dyDescent="0.25">
      <c r="B65" s="6" t="s">
        <v>345</v>
      </c>
      <c r="C65" s="4"/>
      <c r="D65" s="4"/>
      <c r="E65" s="4"/>
      <c r="F65" s="4"/>
    </row>
    <row r="66" spans="2:6" x14ac:dyDescent="0.25">
      <c r="B66" s="4"/>
      <c r="C66" s="4"/>
      <c r="D66" s="4"/>
      <c r="E66" s="4"/>
      <c r="F66" s="4"/>
    </row>
    <row r="67" spans="2:6" x14ac:dyDescent="0.25">
      <c r="B67" s="22" t="s">
        <v>292</v>
      </c>
      <c r="C67" s="23"/>
      <c r="D67" s="24"/>
      <c r="E67" s="16" t="s">
        <v>276</v>
      </c>
      <c r="F67" s="25" t="s">
        <v>277</v>
      </c>
    </row>
    <row r="68" spans="2:6" x14ac:dyDescent="0.25">
      <c r="B68" s="8" t="s">
        <v>297</v>
      </c>
      <c r="C68" s="19"/>
      <c r="D68" s="9"/>
      <c r="E68" s="10">
        <f>COUNTIF(Table4[D4.4. Quels sont les acteurs qui pourraient être impliqués dans un potentiel évènement ? (Plusieurs réponses possibles)],"*Bergers*")</f>
        <v>5</v>
      </c>
      <c r="F68" s="11">
        <f t="shared" ref="F68:F80" si="4">E68/$G$9</f>
        <v>1</v>
      </c>
    </row>
    <row r="69" spans="2:6" x14ac:dyDescent="0.25">
      <c r="B69" s="8" t="s">
        <v>298</v>
      </c>
      <c r="C69" s="19"/>
      <c r="D69" s="9"/>
      <c r="E69" s="10">
        <f>COUNTIF(Table4[D4.4. Quels sont les acteurs qui pourraient être impliqués dans un potentiel évènement ? (Plusieurs réponses possibles)],"*Agriculteurs*")</f>
        <v>5</v>
      </c>
      <c r="F69" s="11">
        <f t="shared" si="4"/>
        <v>1</v>
      </c>
    </row>
    <row r="70" spans="2:6" x14ac:dyDescent="0.25">
      <c r="B70" s="8" t="s">
        <v>252</v>
      </c>
      <c r="C70" s="19"/>
      <c r="D70" s="9"/>
      <c r="E70" s="10">
        <f>COUNTIF(Table4[D4.4. Quels sont les acteurs qui pourraient être impliqués dans un potentiel évènement ? (Plusieurs réponses possibles)],"*Autorités traditionnelles*")</f>
        <v>4</v>
      </c>
      <c r="F70" s="11">
        <f t="shared" si="4"/>
        <v>0.8</v>
      </c>
    </row>
    <row r="71" spans="2:6" x14ac:dyDescent="0.25">
      <c r="B71" s="8" t="s">
        <v>296</v>
      </c>
      <c r="C71" s="19"/>
      <c r="D71" s="9"/>
      <c r="E71" s="10">
        <f>COUNTIF(Table4[D4.4. Quels sont les acteurs qui pourraient être impliqués dans un potentiel évènement ? (Plusieurs réponses possibles)],"*Eleveurs Camerounais*")</f>
        <v>2</v>
      </c>
      <c r="F71" s="11">
        <f t="shared" si="4"/>
        <v>0.4</v>
      </c>
    </row>
    <row r="72" spans="2:6" x14ac:dyDescent="0.25">
      <c r="B72" s="8" t="s">
        <v>255</v>
      </c>
      <c r="C72" s="19"/>
      <c r="D72" s="9"/>
      <c r="E72" s="10">
        <f>COUNTIF(Table4[D4.4. Quels sont les acteurs qui pourraient être impliqués dans un potentiel évènement ? (Plusieurs réponses possibles)],"*Groupes pastoraux en transhumance*")</f>
        <v>2</v>
      </c>
      <c r="F72" s="11">
        <f t="shared" si="4"/>
        <v>0.4</v>
      </c>
    </row>
    <row r="73" spans="2:6" x14ac:dyDescent="0.25">
      <c r="B73" s="8" t="s">
        <v>254</v>
      </c>
      <c r="C73" s="19"/>
      <c r="D73" s="9"/>
      <c r="E73" s="10">
        <f>COUNTIF(Table4[D4.4. Quels sont les acteurs qui pourraient être impliqués dans un potentiel évènement ? (Plusieurs réponses possibles)],"*Autorités nationales et/ou locales*")</f>
        <v>1</v>
      </c>
      <c r="F73" s="11">
        <f t="shared" si="4"/>
        <v>0.2</v>
      </c>
    </row>
    <row r="74" spans="2:6" x14ac:dyDescent="0.25">
      <c r="B74" s="8" t="s">
        <v>256</v>
      </c>
      <c r="C74" s="19"/>
      <c r="D74" s="9"/>
      <c r="E74" s="10">
        <f>COUNTIF(Table4[D4.4. Quels sont les acteurs qui pourraient être impliqués dans un potentiel évènement ? (Plusieurs réponses possibles)],"*Forces de maintien de l’ordre*")</f>
        <v>1</v>
      </c>
      <c r="F74" s="11">
        <f t="shared" si="4"/>
        <v>0.2</v>
      </c>
    </row>
    <row r="75" spans="2:6" x14ac:dyDescent="0.25">
      <c r="B75" s="8" t="s">
        <v>293</v>
      </c>
      <c r="C75" s="19"/>
      <c r="D75" s="9"/>
      <c r="E75" s="10">
        <f>COUNTIF(Table4[D4.4. Quels sont les acteurs qui pourraient être impliqués dans un potentiel évènement ? (Plusieurs réponses possibles)],"*Gestionnaires de parcs*")</f>
        <v>0</v>
      </c>
      <c r="F75" s="11">
        <f t="shared" si="4"/>
        <v>0</v>
      </c>
    </row>
    <row r="76" spans="2:6" x14ac:dyDescent="0.25">
      <c r="B76" s="8" t="s">
        <v>257</v>
      </c>
      <c r="C76" s="19"/>
      <c r="D76" s="9"/>
      <c r="E76" s="10">
        <f>COUNTIF(Table4[D4.4. Quels sont les acteurs qui pourraient être impliqués dans un potentiel évènement ? (Plusieurs réponses possibles)],"*Réfugiés*")</f>
        <v>0</v>
      </c>
      <c r="F76" s="11">
        <f t="shared" si="4"/>
        <v>0</v>
      </c>
    </row>
    <row r="77" spans="2:6" x14ac:dyDescent="0.25">
      <c r="B77" s="8" t="s">
        <v>295</v>
      </c>
      <c r="C77" s="19"/>
      <c r="D77" s="9"/>
      <c r="E77" s="10">
        <f>COUNTIF(Table4[D4.4. Quels sont les acteurs qui pourraient être impliqués dans un potentiel évènement ? (Plusieurs réponses possibles)],"*Groupes armés non étatiques*")</f>
        <v>0</v>
      </c>
      <c r="F77" s="11">
        <f t="shared" si="4"/>
        <v>0</v>
      </c>
    </row>
    <row r="78" spans="2:6" x14ac:dyDescent="0.25">
      <c r="B78" s="8" t="s">
        <v>253</v>
      </c>
      <c r="C78" s="19"/>
      <c r="D78" s="9"/>
      <c r="E78" s="10">
        <f>COUNTIF(Table4[D4.4. Quels sont les acteurs qui pourraient être impliqués dans un potentiel évènement ? (Plusieurs réponses possibles)],"*Forestiers*")</f>
        <v>0</v>
      </c>
      <c r="F78" s="11">
        <f t="shared" si="4"/>
        <v>0</v>
      </c>
    </row>
    <row r="79" spans="2:6" x14ac:dyDescent="0.25">
      <c r="B79" s="8" t="s">
        <v>294</v>
      </c>
      <c r="C79" s="19"/>
      <c r="D79" s="9"/>
      <c r="E79" s="10">
        <f>COUNTIF(Table4[D4.4. Quels sont les acteurs qui pourraient être impliqués dans un potentiel évènement ? (Plusieurs réponses possibles)],"*Non applicable (si désastre naturel)*")</f>
        <v>0</v>
      </c>
      <c r="F79" s="11">
        <f t="shared" si="4"/>
        <v>0</v>
      </c>
    </row>
    <row r="80" spans="2:6" x14ac:dyDescent="0.25">
      <c r="B80" s="8" t="s">
        <v>175</v>
      </c>
      <c r="C80" s="19"/>
      <c r="D80" s="9"/>
      <c r="E80" s="10">
        <f>COUNTIF(Table4[D4.4. Quels sont les acteurs qui pourraient être impliqués dans un potentiel évènement ? (Plusieurs réponses possibles)],"*Autre(s)*")</f>
        <v>0</v>
      </c>
      <c r="F80" s="11">
        <f t="shared" si="4"/>
        <v>0</v>
      </c>
    </row>
    <row r="81" spans="2:6" x14ac:dyDescent="0.25">
      <c r="B81" s="4"/>
      <c r="C81" s="4"/>
    </row>
    <row r="82" spans="2:6" x14ac:dyDescent="0.25">
      <c r="B82" s="6" t="s">
        <v>346</v>
      </c>
      <c r="C82" s="4"/>
      <c r="D82" s="18"/>
      <c r="E82" s="18"/>
      <c r="F82" s="18"/>
    </row>
    <row r="83" spans="2:6" x14ac:dyDescent="0.25">
      <c r="B83" s="4"/>
      <c r="C83" s="4"/>
      <c r="D83" s="18"/>
      <c r="E83" s="7" t="s">
        <v>276</v>
      </c>
      <c r="F83" s="7" t="s">
        <v>277</v>
      </c>
    </row>
    <row r="84" spans="2:6" x14ac:dyDescent="0.25">
      <c r="B84" s="8" t="s">
        <v>126</v>
      </c>
      <c r="C84" s="19"/>
      <c r="D84" s="19"/>
      <c r="E84" s="20">
        <f>COUNTIF(Table4[D4.5. Dans quelles localités pensez-vous que ce potentiel évènement se produira ?],B84)</f>
        <v>4</v>
      </c>
      <c r="F84" s="11">
        <f>E84/$E$86</f>
        <v>0.8</v>
      </c>
    </row>
    <row r="85" spans="2:6" x14ac:dyDescent="0.25">
      <c r="B85" s="8" t="s">
        <v>192</v>
      </c>
      <c r="C85" s="19"/>
      <c r="D85" s="19"/>
      <c r="E85" s="20">
        <f>COUNTIF(Table4[D4.5. Dans quelles localités pensez-vous que ce potentiel évènement se produira ?],B85)</f>
        <v>1</v>
      </c>
      <c r="F85" s="11">
        <f>E85/$E$86</f>
        <v>0.2</v>
      </c>
    </row>
    <row r="86" spans="2:6" x14ac:dyDescent="0.25">
      <c r="B86" s="4"/>
      <c r="C86" s="4"/>
      <c r="D86" s="13" t="s">
        <v>281</v>
      </c>
      <c r="E86" s="16">
        <f>SUM(E84:E85)</f>
        <v>5</v>
      </c>
      <c r="F86" s="11">
        <f>SUM(F84:F85)</f>
        <v>1</v>
      </c>
    </row>
  </sheetData>
  <conditionalFormatting sqref="F19:F25">
    <cfRule type="dataBar" priority="7">
      <dataBar>
        <cfvo type="min"/>
        <cfvo type="max"/>
        <color rgb="FF638EC6"/>
      </dataBar>
      <extLst>
        <ext xmlns:x14="http://schemas.microsoft.com/office/spreadsheetml/2009/9/main" uri="{B025F937-C7B1-47D3-B67F-A62EFF666E3E}">
          <x14:id>{72A3B47E-2149-4F17-8E04-7535A64312D9}</x14:id>
        </ext>
      </extLst>
    </cfRule>
  </conditionalFormatting>
  <conditionalFormatting sqref="F31:F37">
    <cfRule type="dataBar" priority="6">
      <dataBar>
        <cfvo type="min"/>
        <cfvo type="max"/>
        <color rgb="FF638EC6"/>
      </dataBar>
      <extLst>
        <ext xmlns:x14="http://schemas.microsoft.com/office/spreadsheetml/2009/9/main" uri="{B025F937-C7B1-47D3-B67F-A62EFF666E3E}">
          <x14:id>{FDD80CD8-5D4E-4DF1-B999-047DEC628C6D}</x14:id>
        </ext>
      </extLst>
    </cfRule>
  </conditionalFormatting>
  <conditionalFormatting sqref="F42:F45">
    <cfRule type="dataBar" priority="5">
      <dataBar>
        <cfvo type="min"/>
        <cfvo type="max"/>
        <color rgb="FF638EC6"/>
      </dataBar>
      <extLst>
        <ext xmlns:x14="http://schemas.microsoft.com/office/spreadsheetml/2009/9/main" uri="{B025F937-C7B1-47D3-B67F-A62EFF666E3E}">
          <x14:id>{1EFBDDE4-A365-4CC2-92FD-1BF7B73A9B2C}</x14:id>
        </ext>
      </extLst>
    </cfRule>
  </conditionalFormatting>
  <conditionalFormatting sqref="F49:F52">
    <cfRule type="dataBar" priority="4">
      <dataBar>
        <cfvo type="min"/>
        <cfvo type="max"/>
        <color rgb="FF638EC6"/>
      </dataBar>
      <extLst>
        <ext xmlns:x14="http://schemas.microsoft.com/office/spreadsheetml/2009/9/main" uri="{B025F937-C7B1-47D3-B67F-A62EFF666E3E}">
          <x14:id>{DA83655B-4B5F-4599-A346-56FB559161FA}</x14:id>
        </ext>
      </extLst>
    </cfRule>
  </conditionalFormatting>
  <conditionalFormatting sqref="F68:F80">
    <cfRule type="dataBar" priority="3">
      <dataBar>
        <cfvo type="min"/>
        <cfvo type="max"/>
        <color rgb="FF638EC6"/>
      </dataBar>
      <extLst>
        <ext xmlns:x14="http://schemas.microsoft.com/office/spreadsheetml/2009/9/main" uri="{B025F937-C7B1-47D3-B67F-A62EFF666E3E}">
          <x14:id>{620563AD-4647-42D2-B84C-7910C85F6629}</x14:id>
        </ext>
      </extLst>
    </cfRule>
  </conditionalFormatting>
  <conditionalFormatting sqref="G56:G62">
    <cfRule type="dataBar" priority="2">
      <dataBar>
        <cfvo type="min"/>
        <cfvo type="max"/>
        <color rgb="FF638EC6"/>
      </dataBar>
      <extLst>
        <ext xmlns:x14="http://schemas.microsoft.com/office/spreadsheetml/2009/9/main" uri="{B025F937-C7B1-47D3-B67F-A62EFF666E3E}">
          <x14:id>{FEB3A530-77B2-4089-A0C4-9BF93590DD6C}</x14:id>
        </ext>
      </extLst>
    </cfRule>
  </conditionalFormatting>
  <conditionalFormatting sqref="H6:H8">
    <cfRule type="dataBar" priority="1">
      <dataBar>
        <cfvo type="min"/>
        <cfvo type="max"/>
        <color rgb="FF638EC6"/>
      </dataBar>
      <extLst>
        <ext xmlns:x14="http://schemas.microsoft.com/office/spreadsheetml/2009/9/main" uri="{B025F937-C7B1-47D3-B67F-A62EFF666E3E}">
          <x14:id>{48DAD845-B61B-435B-8210-5B8EBC0A5A3E}</x14:id>
        </ext>
      </extLst>
    </cfRule>
  </conditionalFormatting>
  <conditionalFormatting sqref="F84:F86">
    <cfRule type="dataBar" priority="8">
      <dataBar>
        <cfvo type="min"/>
        <cfvo type="max"/>
        <color rgb="FF638EC6"/>
      </dataBar>
      <extLst>
        <ext xmlns:x14="http://schemas.microsoft.com/office/spreadsheetml/2009/9/main" uri="{B025F937-C7B1-47D3-B67F-A62EFF666E3E}">
          <x14:id>{0A32AEB0-131C-44D6-A092-5F296C318CBD}</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2A3B47E-2149-4F17-8E04-7535A64312D9}">
            <x14:dataBar minLength="0" maxLength="100" border="1" negativeBarBorderColorSameAsPositive="0">
              <x14:cfvo type="autoMin"/>
              <x14:cfvo type="autoMax"/>
              <x14:borderColor rgb="FF638EC6"/>
              <x14:negativeFillColor rgb="FFFF0000"/>
              <x14:negativeBorderColor rgb="FFFF0000"/>
              <x14:axisColor rgb="FF000000"/>
            </x14:dataBar>
          </x14:cfRule>
          <xm:sqref>F19:F25</xm:sqref>
        </x14:conditionalFormatting>
        <x14:conditionalFormatting xmlns:xm="http://schemas.microsoft.com/office/excel/2006/main">
          <x14:cfRule type="dataBar" id="{FDD80CD8-5D4E-4DF1-B999-047DEC628C6D}">
            <x14:dataBar minLength="0" maxLength="100" border="1" negativeBarBorderColorSameAsPositive="0">
              <x14:cfvo type="autoMin"/>
              <x14:cfvo type="autoMax"/>
              <x14:borderColor rgb="FF638EC6"/>
              <x14:negativeFillColor rgb="FFFF0000"/>
              <x14:negativeBorderColor rgb="FFFF0000"/>
              <x14:axisColor rgb="FF000000"/>
            </x14:dataBar>
          </x14:cfRule>
          <xm:sqref>F31:F37</xm:sqref>
        </x14:conditionalFormatting>
        <x14:conditionalFormatting xmlns:xm="http://schemas.microsoft.com/office/excel/2006/main">
          <x14:cfRule type="dataBar" id="{1EFBDDE4-A365-4CC2-92FD-1BF7B73A9B2C}">
            <x14:dataBar minLength="0" maxLength="100" border="1" negativeBarBorderColorSameAsPositive="0">
              <x14:cfvo type="autoMin"/>
              <x14:cfvo type="autoMax"/>
              <x14:borderColor rgb="FF638EC6"/>
              <x14:negativeFillColor rgb="FFFF0000"/>
              <x14:negativeBorderColor rgb="FFFF0000"/>
              <x14:axisColor rgb="FF000000"/>
            </x14:dataBar>
          </x14:cfRule>
          <xm:sqref>F42:F45</xm:sqref>
        </x14:conditionalFormatting>
        <x14:conditionalFormatting xmlns:xm="http://schemas.microsoft.com/office/excel/2006/main">
          <x14:cfRule type="dataBar" id="{DA83655B-4B5F-4599-A346-56FB559161FA}">
            <x14:dataBar minLength="0" maxLength="100" border="1" negativeBarBorderColorSameAsPositive="0">
              <x14:cfvo type="autoMin"/>
              <x14:cfvo type="autoMax"/>
              <x14:borderColor rgb="FF638EC6"/>
              <x14:negativeFillColor rgb="FFFF0000"/>
              <x14:negativeBorderColor rgb="FFFF0000"/>
              <x14:axisColor rgb="FF000000"/>
            </x14:dataBar>
          </x14:cfRule>
          <xm:sqref>F49:F52</xm:sqref>
        </x14:conditionalFormatting>
        <x14:conditionalFormatting xmlns:xm="http://schemas.microsoft.com/office/excel/2006/main">
          <x14:cfRule type="dataBar" id="{620563AD-4647-42D2-B84C-7910C85F6629}">
            <x14:dataBar minLength="0" maxLength="100" border="1" negativeBarBorderColorSameAsPositive="0">
              <x14:cfvo type="autoMin"/>
              <x14:cfvo type="autoMax"/>
              <x14:borderColor rgb="FF638EC6"/>
              <x14:negativeFillColor rgb="FFFF0000"/>
              <x14:negativeBorderColor rgb="FFFF0000"/>
              <x14:axisColor rgb="FF000000"/>
            </x14:dataBar>
          </x14:cfRule>
          <xm:sqref>F68:F80</xm:sqref>
        </x14:conditionalFormatting>
        <x14:conditionalFormatting xmlns:xm="http://schemas.microsoft.com/office/excel/2006/main">
          <x14:cfRule type="dataBar" id="{FEB3A530-77B2-4089-A0C4-9BF93590DD6C}">
            <x14:dataBar minLength="0" maxLength="100" border="1" negativeBarBorderColorSameAsPositive="0">
              <x14:cfvo type="autoMin"/>
              <x14:cfvo type="autoMax"/>
              <x14:borderColor rgb="FF638EC6"/>
              <x14:negativeFillColor rgb="FFFF0000"/>
              <x14:negativeBorderColor rgb="FFFF0000"/>
              <x14:axisColor rgb="FF000000"/>
            </x14:dataBar>
          </x14:cfRule>
          <xm:sqref>G56:G62</xm:sqref>
        </x14:conditionalFormatting>
        <x14:conditionalFormatting xmlns:xm="http://schemas.microsoft.com/office/excel/2006/main">
          <x14:cfRule type="dataBar" id="{48DAD845-B61B-435B-8210-5B8EBC0A5A3E}">
            <x14:dataBar minLength="0" maxLength="100" border="1" negativeBarBorderColorSameAsPositive="0">
              <x14:cfvo type="autoMin"/>
              <x14:cfvo type="autoMax"/>
              <x14:borderColor rgb="FF638EC6"/>
              <x14:negativeFillColor rgb="FFFF0000"/>
              <x14:negativeBorderColor rgb="FFFF0000"/>
              <x14:axisColor rgb="FF000000"/>
            </x14:dataBar>
          </x14:cfRule>
          <xm:sqref>H6:H8</xm:sqref>
        </x14:conditionalFormatting>
        <x14:conditionalFormatting xmlns:xm="http://schemas.microsoft.com/office/excel/2006/main">
          <x14:cfRule type="dataBar" id="{0A32AEB0-131C-44D6-A092-5F296C318CBD}">
            <x14:dataBar minLength="0" maxLength="100" border="1" negativeBarBorderColorSameAsPositive="0">
              <x14:cfvo type="autoMin"/>
              <x14:cfvo type="autoMax"/>
              <x14:borderColor rgb="FF638EC6"/>
              <x14:negativeFillColor rgb="FFFF0000"/>
              <x14:negativeBorderColor rgb="FFFF0000"/>
              <x14:axisColor rgb="FF000000"/>
            </x14:dataBar>
          </x14:cfRule>
          <xm:sqref>F84:F86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EVENEMENTS</vt:lpstr>
      <vt:lpstr>MOUVEMENTS INATTENDUS</vt:lpstr>
      <vt:lpstr>ANALYSE_Evènements</vt:lpstr>
      <vt:lpstr>ANALYSE_Mouvements inattendus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Yaya</dc:creator>
  <cp:lastModifiedBy>ZONG-NABA Issa</cp:lastModifiedBy>
  <cp:lastPrinted>2020-08-26T11:37:47Z</cp:lastPrinted>
  <dcterms:created xsi:type="dcterms:W3CDTF">2020-08-26T11:13:20Z</dcterms:created>
  <dcterms:modified xsi:type="dcterms:W3CDTF">2021-01-19T16:38:30Z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2020-08-29T15:51:04Z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588a520d-770c-4163-9304-000021be3a29</vt:lpwstr>
  </property>
  <property fmtid="{D5CDD505-2E9C-101B-9397-08002B2CF9AE}" pid="8" name="MSIP_Label_2059aa38-f392-4105-be92-628035578272_ContentBits">
    <vt:lpwstr>0</vt:lpwstr>
  </property>
</Properties>
</file>